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chartsheets/sheet1.xml" ContentType="application/vnd.openxmlformats-officedocument.spreadsheetml.chart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hidePivotFieldList="1"/>
  <bookViews>
    <workbookView xWindow="2550" yWindow="1485" windowWidth="11865" windowHeight="4185" tabRatio="928" activeTab="7"/>
  </bookViews>
  <sheets>
    <sheet name="TOMEK" sheetId="6" r:id="rId1"/>
    <sheet name="MIRU" sheetId="1" r:id="rId2"/>
    <sheet name="PIOTR L" sheetId="3" r:id="rId3"/>
    <sheet name="BARTEK" sheetId="2" r:id="rId4"/>
    <sheet name="PIOTR" sheetId="4" r:id="rId5"/>
    <sheet name="KRZYSZTOF" sheetId="5" r:id="rId6"/>
    <sheet name="Artur" sheetId="103" r:id="rId7"/>
    <sheet name="DH" sheetId="70" r:id="rId8"/>
    <sheet name="WYPŁATY" sheetId="8" r:id="rId9"/>
    <sheet name="REALIZACJE" sheetId="102" r:id="rId10"/>
    <sheet name="Target 2017" sheetId="88" r:id="rId11"/>
    <sheet name="Wykres1" sheetId="104" r:id="rId12"/>
    <sheet name="I" sheetId="89" r:id="rId13"/>
    <sheet name="II" sheetId="90" r:id="rId14"/>
    <sheet name="III" sheetId="91" r:id="rId15"/>
    <sheet name="IV" sheetId="92" r:id="rId16"/>
    <sheet name="V" sheetId="93" r:id="rId17"/>
    <sheet name="VI" sheetId="94" r:id="rId18"/>
    <sheet name="VII" sheetId="95" r:id="rId19"/>
    <sheet name="VIII" sheetId="96" r:id="rId20"/>
    <sheet name="IX" sheetId="97" r:id="rId21"/>
    <sheet name="X" sheetId="98" r:id="rId22"/>
    <sheet name="XI" sheetId="99" r:id="rId23"/>
    <sheet name="XII" sheetId="100" r:id="rId24"/>
    <sheet name="Arkusz1" sheetId="101" r:id="rId25"/>
  </sheets>
  <definedNames>
    <definedName name="_xlnm.Database">#REF!</definedName>
  </definedNames>
  <calcPr calcId="145621"/>
</workbook>
</file>

<file path=xl/calcChain.xml><?xml version="1.0" encoding="utf-8"?>
<calcChain xmlns="http://schemas.openxmlformats.org/spreadsheetml/2006/main">
  <c r="R65" i="70" l="1"/>
  <c r="R73" i="70"/>
  <c r="R59" i="70"/>
  <c r="L56" i="70" l="1"/>
  <c r="L65" i="70"/>
  <c r="D11" i="5" l="1"/>
  <c r="I8" i="100" l="1"/>
  <c r="J13" i="100"/>
  <c r="I7" i="100" s="1"/>
  <c r="C11" i="5" l="1"/>
  <c r="I3" i="99"/>
  <c r="I8" i="98" l="1"/>
  <c r="I4" i="98"/>
  <c r="H69" i="6" l="1"/>
  <c r="H69" i="4"/>
  <c r="H43" i="1"/>
  <c r="H69" i="2"/>
  <c r="H69" i="3"/>
  <c r="H69" i="5"/>
  <c r="E5" i="102" l="1"/>
  <c r="I5" i="102"/>
  <c r="M5" i="102"/>
  <c r="L5" i="102"/>
  <c r="M24" i="102"/>
  <c r="M8" i="102"/>
  <c r="B11" i="3" l="1"/>
  <c r="N15" i="88"/>
  <c r="M15" i="88"/>
  <c r="L15" i="88"/>
  <c r="I3" i="97" l="1"/>
  <c r="I4" i="97"/>
  <c r="H11" i="3" l="1"/>
  <c r="G11" i="3"/>
  <c r="H11" i="4"/>
  <c r="G11" i="4"/>
  <c r="H11" i="5"/>
  <c r="G11" i="5"/>
  <c r="G69" i="5"/>
  <c r="F69" i="5"/>
  <c r="G69" i="4"/>
  <c r="F69" i="4"/>
  <c r="G69" i="2"/>
  <c r="F69" i="2"/>
  <c r="G69" i="3"/>
  <c r="F69" i="3"/>
  <c r="G43" i="1"/>
  <c r="F43" i="1"/>
  <c r="G69" i="6"/>
  <c r="F69" i="6"/>
  <c r="I6" i="96"/>
  <c r="I6" i="95"/>
  <c r="H4" i="3" l="1"/>
  <c r="G4" i="3"/>
  <c r="H4" i="2"/>
  <c r="G4" i="2"/>
  <c r="L69" i="5" l="1"/>
  <c r="L69" i="3"/>
  <c r="L69" i="2"/>
  <c r="L43" i="1"/>
  <c r="L69" i="4"/>
  <c r="L69" i="6"/>
  <c r="I6" i="94" l="1"/>
  <c r="I13" i="102" l="1"/>
  <c r="I5" i="94" l="1"/>
  <c r="L4" i="4" l="1"/>
  <c r="L11" i="3"/>
  <c r="L4" i="3"/>
  <c r="L11" i="5"/>
  <c r="L6" i="2" l="1"/>
  <c r="K15" i="88" l="1"/>
  <c r="J15" i="88"/>
  <c r="I15" i="88"/>
  <c r="K5" i="88"/>
  <c r="J5" i="88"/>
  <c r="I5" i="88"/>
  <c r="H61" i="6" l="1"/>
  <c r="G61" i="6"/>
  <c r="F61" i="6"/>
  <c r="D61" i="6"/>
  <c r="C61" i="6"/>
  <c r="B61" i="6"/>
  <c r="J61" i="6"/>
  <c r="L61" i="6"/>
  <c r="K61" i="6"/>
  <c r="K69" i="2"/>
  <c r="J69" i="2"/>
  <c r="K69" i="5" l="1"/>
  <c r="J69" i="5"/>
  <c r="K69" i="4"/>
  <c r="J69" i="4"/>
  <c r="K69" i="3"/>
  <c r="J69" i="3"/>
  <c r="K43" i="1"/>
  <c r="J43" i="1"/>
  <c r="K69" i="6"/>
  <c r="J69" i="6"/>
  <c r="I3" i="93"/>
  <c r="F52" i="70" l="1"/>
  <c r="F65" i="70"/>
  <c r="H30" i="88" l="1"/>
  <c r="I30" i="88"/>
  <c r="F8" i="88" s="1"/>
  <c r="J30" i="88"/>
  <c r="K30" i="88"/>
  <c r="L30" i="88"/>
  <c r="M30" i="88"/>
  <c r="H31" i="88"/>
  <c r="I31" i="88"/>
  <c r="J31" i="88"/>
  <c r="K31" i="88"/>
  <c r="L31" i="88"/>
  <c r="M31" i="88"/>
  <c r="M29" i="88"/>
  <c r="L29" i="88"/>
  <c r="K29" i="88"/>
  <c r="J29" i="88"/>
  <c r="I29" i="88"/>
  <c r="H29" i="88"/>
  <c r="P69" i="5"/>
  <c r="O69" i="5"/>
  <c r="N69" i="5"/>
  <c r="P69" i="4"/>
  <c r="O69" i="4"/>
  <c r="N69" i="4"/>
  <c r="P69" i="2"/>
  <c r="O69" i="2"/>
  <c r="N69" i="2"/>
  <c r="P69" i="3"/>
  <c r="O69" i="3"/>
  <c r="N69" i="3"/>
  <c r="P43" i="1"/>
  <c r="O43" i="1"/>
  <c r="N43" i="1"/>
  <c r="P69" i="6"/>
  <c r="O69" i="6"/>
  <c r="N69" i="6"/>
  <c r="P6" i="4" l="1"/>
  <c r="P61" i="6" l="1"/>
  <c r="O61" i="6"/>
  <c r="N61" i="6"/>
  <c r="I6" i="89"/>
  <c r="P37" i="70"/>
  <c r="O37" i="70"/>
  <c r="N37" i="70"/>
  <c r="L37" i="70"/>
  <c r="K37" i="70"/>
  <c r="J37" i="70"/>
  <c r="H37" i="70"/>
  <c r="G37" i="70"/>
  <c r="F37" i="70"/>
  <c r="D37" i="70"/>
  <c r="C37" i="70"/>
  <c r="J43" i="5" l="1"/>
  <c r="F43" i="5"/>
  <c r="B43" i="5"/>
  <c r="N43" i="5"/>
  <c r="J43" i="4"/>
  <c r="F43" i="4"/>
  <c r="B43" i="4"/>
  <c r="N43" i="4"/>
  <c r="J43" i="2"/>
  <c r="F43" i="2"/>
  <c r="B43" i="2"/>
  <c r="N43" i="2"/>
  <c r="J43" i="3"/>
  <c r="F43" i="3"/>
  <c r="B43" i="3"/>
  <c r="N43" i="3"/>
  <c r="N43" i="103"/>
  <c r="J43" i="103"/>
  <c r="F43" i="103"/>
  <c r="B43" i="103"/>
  <c r="J43" i="6"/>
  <c r="F43" i="6"/>
  <c r="B43" i="6"/>
  <c r="N43" i="6"/>
  <c r="N43" i="70" l="1"/>
  <c r="L55" i="70"/>
  <c r="K55" i="70"/>
  <c r="J55" i="70"/>
  <c r="L54" i="70"/>
  <c r="K54" i="70"/>
  <c r="J54" i="70"/>
  <c r="L53" i="70"/>
  <c r="K53" i="70"/>
  <c r="J53" i="70"/>
  <c r="L52" i="70"/>
  <c r="K52" i="70"/>
  <c r="J52" i="70"/>
  <c r="L51" i="70"/>
  <c r="K51" i="70"/>
  <c r="J51" i="70"/>
  <c r="L50" i="70"/>
  <c r="K50" i="70"/>
  <c r="J50" i="70"/>
  <c r="L49" i="70"/>
  <c r="K49" i="70"/>
  <c r="J49" i="70"/>
  <c r="L48" i="70"/>
  <c r="K48" i="70"/>
  <c r="J48" i="70"/>
  <c r="L47" i="70"/>
  <c r="K47" i="70"/>
  <c r="J47" i="70"/>
  <c r="L46" i="70"/>
  <c r="K46" i="70"/>
  <c r="J46" i="70"/>
  <c r="L45" i="70"/>
  <c r="K45" i="70"/>
  <c r="J45" i="70"/>
  <c r="L44" i="70"/>
  <c r="K44" i="70"/>
  <c r="J44" i="70"/>
  <c r="L43" i="70"/>
  <c r="K43" i="70"/>
  <c r="J43" i="70"/>
  <c r="H55" i="70"/>
  <c r="G55" i="70"/>
  <c r="F55" i="70"/>
  <c r="H54" i="70"/>
  <c r="G54" i="70"/>
  <c r="F54" i="70"/>
  <c r="H53" i="70"/>
  <c r="G53" i="70"/>
  <c r="F53" i="70"/>
  <c r="H52" i="70"/>
  <c r="G52" i="70"/>
  <c r="H51" i="70"/>
  <c r="G51" i="70"/>
  <c r="F51" i="70"/>
  <c r="H50" i="70"/>
  <c r="G50" i="70"/>
  <c r="F50" i="70"/>
  <c r="H49" i="70"/>
  <c r="G49" i="70"/>
  <c r="F49" i="70"/>
  <c r="H48" i="70"/>
  <c r="G48" i="70"/>
  <c r="F48" i="70"/>
  <c r="H47" i="70"/>
  <c r="G47" i="70"/>
  <c r="F47" i="70"/>
  <c r="H46" i="70"/>
  <c r="G46" i="70"/>
  <c r="F46" i="70"/>
  <c r="H45" i="70"/>
  <c r="G45" i="70"/>
  <c r="F45" i="70"/>
  <c r="H44" i="70"/>
  <c r="G44" i="70"/>
  <c r="F44" i="70"/>
  <c r="H43" i="70"/>
  <c r="G43" i="70"/>
  <c r="F43" i="70"/>
  <c r="D55" i="70"/>
  <c r="C55" i="70"/>
  <c r="B55" i="70"/>
  <c r="D54" i="70"/>
  <c r="C54" i="70"/>
  <c r="B54" i="70"/>
  <c r="D53" i="70"/>
  <c r="C53" i="70"/>
  <c r="B53" i="70"/>
  <c r="D52" i="70"/>
  <c r="C52" i="70"/>
  <c r="B52" i="70"/>
  <c r="D51" i="70"/>
  <c r="C51" i="70"/>
  <c r="B51" i="70"/>
  <c r="D50" i="70"/>
  <c r="C50" i="70"/>
  <c r="B50" i="70"/>
  <c r="D49" i="70"/>
  <c r="C49" i="70"/>
  <c r="B49" i="70"/>
  <c r="D48" i="70"/>
  <c r="C48" i="70"/>
  <c r="B48" i="70"/>
  <c r="D47" i="70"/>
  <c r="C47" i="70"/>
  <c r="B47" i="70"/>
  <c r="D46" i="70"/>
  <c r="C46" i="70"/>
  <c r="B46" i="70"/>
  <c r="D45" i="70"/>
  <c r="C45" i="70"/>
  <c r="B45" i="70"/>
  <c r="D44" i="70"/>
  <c r="C44" i="70"/>
  <c r="B44" i="70"/>
  <c r="D43" i="70"/>
  <c r="C43" i="70"/>
  <c r="B43" i="70"/>
  <c r="H78" i="70"/>
  <c r="G78" i="70"/>
  <c r="F78" i="70"/>
  <c r="H77" i="70"/>
  <c r="G77" i="70"/>
  <c r="F77" i="70"/>
  <c r="H76" i="70"/>
  <c r="G76" i="70"/>
  <c r="F76" i="70"/>
  <c r="H75" i="70"/>
  <c r="G75" i="70"/>
  <c r="F75" i="70"/>
  <c r="H74" i="70"/>
  <c r="G74" i="70"/>
  <c r="F74" i="70"/>
  <c r="H73" i="70"/>
  <c r="G73" i="70"/>
  <c r="F73" i="70"/>
  <c r="H72" i="70"/>
  <c r="G72" i="70"/>
  <c r="F72" i="70"/>
  <c r="H71" i="70"/>
  <c r="G71" i="70"/>
  <c r="F71" i="70"/>
  <c r="H70" i="70"/>
  <c r="G70" i="70"/>
  <c r="F70" i="70"/>
  <c r="H69" i="70"/>
  <c r="G69" i="70"/>
  <c r="F69" i="70"/>
  <c r="H68" i="70"/>
  <c r="G68" i="70"/>
  <c r="F68" i="70"/>
  <c r="H67" i="70"/>
  <c r="G67" i="70"/>
  <c r="F67" i="70"/>
  <c r="H66" i="70"/>
  <c r="G66" i="70"/>
  <c r="F66" i="70"/>
  <c r="H65" i="70"/>
  <c r="G65" i="70"/>
  <c r="H64" i="70"/>
  <c r="G64" i="70"/>
  <c r="F64" i="70"/>
  <c r="H63" i="70"/>
  <c r="G63" i="70"/>
  <c r="F63" i="70"/>
  <c r="H62" i="70"/>
  <c r="G62" i="70"/>
  <c r="F62" i="70"/>
  <c r="H61" i="70"/>
  <c r="G61" i="70"/>
  <c r="F61" i="70"/>
  <c r="H60" i="70"/>
  <c r="G60" i="70"/>
  <c r="F60" i="70"/>
  <c r="H59" i="70"/>
  <c r="G59" i="70"/>
  <c r="F59" i="70"/>
  <c r="D78" i="70"/>
  <c r="C78" i="70"/>
  <c r="B78" i="70"/>
  <c r="D77" i="70"/>
  <c r="C77" i="70"/>
  <c r="B77" i="70"/>
  <c r="D76" i="70"/>
  <c r="C76" i="70"/>
  <c r="B76" i="70"/>
  <c r="D75" i="70"/>
  <c r="C75" i="70"/>
  <c r="B75" i="70"/>
  <c r="D74" i="70"/>
  <c r="C74" i="70"/>
  <c r="B74" i="70"/>
  <c r="D73" i="70"/>
  <c r="C73" i="70"/>
  <c r="B73" i="70"/>
  <c r="D72" i="70"/>
  <c r="C72" i="70"/>
  <c r="B72" i="70"/>
  <c r="D71" i="70"/>
  <c r="C71" i="70"/>
  <c r="B71" i="70"/>
  <c r="D70" i="70"/>
  <c r="C70" i="70"/>
  <c r="B70" i="70"/>
  <c r="D69" i="70"/>
  <c r="C69" i="70"/>
  <c r="B69" i="70"/>
  <c r="D68" i="70"/>
  <c r="C68" i="70"/>
  <c r="B68" i="70"/>
  <c r="D67" i="70"/>
  <c r="C67" i="70"/>
  <c r="B67" i="70"/>
  <c r="D66" i="70"/>
  <c r="C66" i="70"/>
  <c r="B66" i="70"/>
  <c r="D65" i="70"/>
  <c r="C65" i="70"/>
  <c r="B65" i="70"/>
  <c r="D64" i="70"/>
  <c r="C64" i="70"/>
  <c r="B64" i="70"/>
  <c r="D63" i="70"/>
  <c r="C63" i="70"/>
  <c r="B63" i="70"/>
  <c r="D62" i="70"/>
  <c r="C62" i="70"/>
  <c r="B62" i="70"/>
  <c r="D61" i="70"/>
  <c r="C61" i="70"/>
  <c r="B61" i="70"/>
  <c r="D60" i="70"/>
  <c r="C60" i="70"/>
  <c r="B60" i="70"/>
  <c r="D59" i="70"/>
  <c r="C59" i="70"/>
  <c r="B59" i="70"/>
  <c r="B6" i="103"/>
  <c r="K56" i="70" l="1"/>
  <c r="J56" i="70"/>
  <c r="F56" i="70"/>
  <c r="G82" i="88"/>
  <c r="F82" i="88"/>
  <c r="E82" i="88"/>
  <c r="D82" i="88"/>
  <c r="C82" i="88"/>
  <c r="B82" i="88"/>
  <c r="M27" i="88"/>
  <c r="L27" i="88"/>
  <c r="K27" i="88"/>
  <c r="J27" i="88"/>
  <c r="I27" i="88"/>
  <c r="H27" i="88"/>
  <c r="M26" i="88"/>
  <c r="L26" i="88"/>
  <c r="K26" i="88"/>
  <c r="J26" i="88"/>
  <c r="I26" i="88"/>
  <c r="H26" i="88"/>
  <c r="M25" i="88"/>
  <c r="L25" i="88"/>
  <c r="K25" i="88"/>
  <c r="J25" i="88"/>
  <c r="I25" i="88"/>
  <c r="H25" i="88"/>
  <c r="G31" i="88"/>
  <c r="F31" i="88"/>
  <c r="E31" i="88"/>
  <c r="D31" i="88"/>
  <c r="C31" i="88"/>
  <c r="B31" i="88"/>
  <c r="G30" i="88"/>
  <c r="F30" i="88"/>
  <c r="E30" i="88"/>
  <c r="D30" i="88"/>
  <c r="C30" i="88"/>
  <c r="B30" i="88"/>
  <c r="G29" i="88"/>
  <c r="F29" i="88"/>
  <c r="E29" i="88"/>
  <c r="D29" i="88"/>
  <c r="C29" i="88"/>
  <c r="B29" i="88"/>
  <c r="G28" i="88"/>
  <c r="F28" i="88"/>
  <c r="E28" i="88"/>
  <c r="D28" i="88"/>
  <c r="C28" i="88"/>
  <c r="B28" i="88"/>
  <c r="G27" i="88"/>
  <c r="F27" i="88"/>
  <c r="E27" i="88"/>
  <c r="D27" i="88"/>
  <c r="C27" i="88"/>
  <c r="B27" i="88"/>
  <c r="G26" i="88"/>
  <c r="F26" i="88"/>
  <c r="E26" i="88"/>
  <c r="D26" i="88"/>
  <c r="C26" i="88"/>
  <c r="B26" i="88"/>
  <c r="G25" i="88"/>
  <c r="F25" i="88"/>
  <c r="E25" i="88"/>
  <c r="D25" i="88"/>
  <c r="C25" i="88"/>
  <c r="B25" i="88"/>
  <c r="H49" i="88"/>
  <c r="H46" i="88"/>
  <c r="I46" i="88"/>
  <c r="I47" i="88"/>
  <c r="H47" i="88"/>
  <c r="I50" i="88"/>
  <c r="H50" i="88"/>
  <c r="I49" i="88"/>
  <c r="I48" i="88"/>
  <c r="H48" i="88"/>
  <c r="H45" i="88"/>
  <c r="C6" i="103"/>
  <c r="N36" i="88"/>
  <c r="N35" i="88"/>
  <c r="E51" i="88" l="1"/>
  <c r="I45" i="88"/>
  <c r="B51" i="88"/>
  <c r="F51" i="88"/>
  <c r="C51" i="88"/>
  <c r="G51" i="88"/>
  <c r="D51" i="88"/>
  <c r="I44" i="88"/>
  <c r="H44" i="88"/>
  <c r="H51" i="88" s="1"/>
  <c r="I51" i="88" l="1"/>
  <c r="N44" i="70"/>
  <c r="O44" i="70"/>
  <c r="P44" i="70"/>
  <c r="N45" i="70"/>
  <c r="O45" i="70"/>
  <c r="P45" i="70"/>
  <c r="N46" i="70"/>
  <c r="O46" i="70"/>
  <c r="P46" i="70"/>
  <c r="N47" i="70"/>
  <c r="O47" i="70"/>
  <c r="P47" i="70"/>
  <c r="N48" i="70"/>
  <c r="O48" i="70"/>
  <c r="P48" i="70"/>
  <c r="N49" i="70"/>
  <c r="O49" i="70"/>
  <c r="P49" i="70"/>
  <c r="N50" i="70"/>
  <c r="O50" i="70"/>
  <c r="P50" i="70"/>
  <c r="N51" i="70"/>
  <c r="O51" i="70"/>
  <c r="P51" i="70"/>
  <c r="N52" i="70"/>
  <c r="O52" i="70"/>
  <c r="P52" i="70"/>
  <c r="N53" i="70"/>
  <c r="O53" i="70"/>
  <c r="P53" i="70"/>
  <c r="N54" i="70"/>
  <c r="O54" i="70"/>
  <c r="P54" i="70"/>
  <c r="N55" i="70"/>
  <c r="O55" i="70"/>
  <c r="P55" i="70"/>
  <c r="P43" i="70"/>
  <c r="O43" i="70"/>
  <c r="I61" i="6"/>
  <c r="N60" i="70"/>
  <c r="P78" i="70" l="1"/>
  <c r="P77" i="70"/>
  <c r="P76" i="70"/>
  <c r="P75" i="70"/>
  <c r="P74" i="70"/>
  <c r="P73" i="70"/>
  <c r="P72" i="70"/>
  <c r="P71" i="70"/>
  <c r="P70" i="70"/>
  <c r="P69" i="70"/>
  <c r="P68" i="70"/>
  <c r="P67" i="70"/>
  <c r="P66" i="70"/>
  <c r="P65" i="70"/>
  <c r="P62" i="70"/>
  <c r="P61" i="70"/>
  <c r="P60" i="70"/>
  <c r="P59" i="70"/>
  <c r="O78" i="70"/>
  <c r="O77" i="70"/>
  <c r="O76" i="70"/>
  <c r="O75" i="70"/>
  <c r="O74" i="70"/>
  <c r="O73" i="70"/>
  <c r="O72" i="70"/>
  <c r="O71" i="70"/>
  <c r="O70" i="70"/>
  <c r="O69" i="70"/>
  <c r="O68" i="70"/>
  <c r="O67" i="70"/>
  <c r="O66" i="70"/>
  <c r="O65" i="70"/>
  <c r="O62" i="70"/>
  <c r="O61" i="70"/>
  <c r="O60" i="70"/>
  <c r="O59" i="70"/>
  <c r="N65" i="70"/>
  <c r="N66" i="70"/>
  <c r="N67" i="70"/>
  <c r="N68" i="70"/>
  <c r="N69" i="70"/>
  <c r="N70" i="70"/>
  <c r="N71" i="70"/>
  <c r="N72" i="70"/>
  <c r="N73" i="70"/>
  <c r="N74" i="70"/>
  <c r="N75" i="70"/>
  <c r="N76" i="70"/>
  <c r="N77" i="70"/>
  <c r="N78" i="70"/>
  <c r="N61" i="70"/>
  <c r="N62" i="70"/>
  <c r="N59" i="70"/>
  <c r="L78" i="70"/>
  <c r="L77" i="70"/>
  <c r="L76" i="70"/>
  <c r="L75" i="70"/>
  <c r="L74" i="70"/>
  <c r="L73" i="70"/>
  <c r="L72" i="70"/>
  <c r="L71" i="70"/>
  <c r="L70" i="70"/>
  <c r="L69" i="70"/>
  <c r="L68" i="70"/>
  <c r="L67" i="70"/>
  <c r="L66" i="70"/>
  <c r="L64" i="70"/>
  <c r="L62" i="70"/>
  <c r="L61" i="70"/>
  <c r="L60" i="70"/>
  <c r="L59" i="70"/>
  <c r="K78" i="70"/>
  <c r="K77" i="70"/>
  <c r="K76" i="70"/>
  <c r="K75" i="70"/>
  <c r="K74" i="70"/>
  <c r="K73" i="70"/>
  <c r="K72" i="70"/>
  <c r="K71" i="70"/>
  <c r="K70" i="70"/>
  <c r="K69" i="70"/>
  <c r="K68" i="70"/>
  <c r="K67" i="70"/>
  <c r="K66" i="70"/>
  <c r="K65" i="70"/>
  <c r="K64" i="70"/>
  <c r="K62" i="70"/>
  <c r="K61" i="70"/>
  <c r="K60" i="70"/>
  <c r="K59" i="70"/>
  <c r="J67" i="70"/>
  <c r="J68" i="70"/>
  <c r="J69" i="70"/>
  <c r="J70" i="70"/>
  <c r="J71" i="70"/>
  <c r="J72" i="70"/>
  <c r="J73" i="70"/>
  <c r="J74" i="70"/>
  <c r="J75" i="70"/>
  <c r="J76" i="70"/>
  <c r="J77" i="70"/>
  <c r="J78" i="70"/>
  <c r="J66" i="70"/>
  <c r="J65" i="70"/>
  <c r="J64" i="70"/>
  <c r="J62" i="70"/>
  <c r="J61" i="70"/>
  <c r="J60" i="70"/>
  <c r="J59" i="70"/>
  <c r="P63" i="70" l="1"/>
  <c r="O63" i="70"/>
  <c r="K63" i="70"/>
  <c r="L63" i="70"/>
  <c r="P64" i="70"/>
  <c r="O64" i="70"/>
  <c r="N64" i="70"/>
  <c r="C11" i="3" l="1"/>
  <c r="D11" i="3"/>
  <c r="S28" i="88" l="1"/>
  <c r="O28" i="88"/>
  <c r="N28" i="88"/>
  <c r="R28" i="88"/>
  <c r="Q28" i="88"/>
  <c r="P28" i="88"/>
  <c r="I66" i="88"/>
  <c r="H66" i="88"/>
  <c r="H70" i="88" l="1"/>
  <c r="O61" i="103" l="1"/>
  <c r="P61" i="103"/>
  <c r="C6" i="88" l="1"/>
  <c r="B4" i="103" s="1"/>
  <c r="D6" i="88"/>
  <c r="C4" i="103" s="1"/>
  <c r="E6" i="88"/>
  <c r="D4" i="103" s="1"/>
  <c r="F6" i="88"/>
  <c r="N4" i="103" s="1"/>
  <c r="N5" i="103" s="1"/>
  <c r="G6" i="88"/>
  <c r="O4" i="103" s="1"/>
  <c r="H6" i="88"/>
  <c r="P4" i="103" s="1"/>
  <c r="C16" i="88"/>
  <c r="B11" i="103" s="1"/>
  <c r="D16" i="88"/>
  <c r="C11" i="103" s="1"/>
  <c r="E16" i="88"/>
  <c r="D11" i="103" s="1"/>
  <c r="F16" i="88"/>
  <c r="G16" i="88"/>
  <c r="H16" i="88"/>
  <c r="K11" i="103"/>
  <c r="K4" i="103"/>
  <c r="L11" i="103"/>
  <c r="L4" i="103"/>
  <c r="N6" i="103"/>
  <c r="N7" i="103" s="1"/>
  <c r="N24" i="103" s="1"/>
  <c r="O6" i="103"/>
  <c r="P6" i="103"/>
  <c r="D6" i="103"/>
  <c r="N13" i="103"/>
  <c r="O13" i="103"/>
  <c r="P13" i="103"/>
  <c r="B13" i="103"/>
  <c r="C13" i="103"/>
  <c r="C18" i="103" s="1"/>
  <c r="D13" i="103"/>
  <c r="N26" i="103"/>
  <c r="O26" i="103"/>
  <c r="P26" i="103"/>
  <c r="B26" i="103"/>
  <c r="C26" i="103"/>
  <c r="D26" i="103"/>
  <c r="N32" i="103"/>
  <c r="O32" i="103"/>
  <c r="P32" i="103"/>
  <c r="B32" i="103"/>
  <c r="C32" i="103"/>
  <c r="D32" i="103"/>
  <c r="N36" i="103"/>
  <c r="N38" i="103" s="1"/>
  <c r="O36" i="103"/>
  <c r="O38" i="103" s="1"/>
  <c r="P36" i="103"/>
  <c r="B36" i="103"/>
  <c r="B38" i="103" s="1"/>
  <c r="C36" i="103"/>
  <c r="C38" i="103" s="1"/>
  <c r="D36" i="103"/>
  <c r="D38" i="103" s="1"/>
  <c r="P38" i="103"/>
  <c r="Q48" i="103"/>
  <c r="E48" i="103"/>
  <c r="Q49" i="103"/>
  <c r="E49" i="103"/>
  <c r="Q50" i="103"/>
  <c r="E50" i="103"/>
  <c r="Q51" i="103"/>
  <c r="E51" i="103"/>
  <c r="Q52" i="103"/>
  <c r="E52" i="103"/>
  <c r="Q53" i="103"/>
  <c r="E53" i="103"/>
  <c r="Q54" i="103"/>
  <c r="E54" i="103"/>
  <c r="Q55" i="103"/>
  <c r="E55" i="103"/>
  <c r="Q58" i="103"/>
  <c r="E58" i="103"/>
  <c r="Q59" i="103"/>
  <c r="E59" i="103"/>
  <c r="Q60" i="103"/>
  <c r="E60" i="103"/>
  <c r="N61" i="103"/>
  <c r="B61" i="103"/>
  <c r="C61" i="103"/>
  <c r="D61" i="103"/>
  <c r="Q64" i="103"/>
  <c r="E64" i="103"/>
  <c r="Q65" i="103"/>
  <c r="E65" i="103"/>
  <c r="Q70" i="103"/>
  <c r="E70" i="103"/>
  <c r="Q71" i="103"/>
  <c r="E71" i="103"/>
  <c r="Q75" i="103"/>
  <c r="E75" i="103"/>
  <c r="Q76" i="103"/>
  <c r="E76" i="103"/>
  <c r="Q77" i="103"/>
  <c r="E77" i="103"/>
  <c r="Q78" i="103"/>
  <c r="E78" i="103"/>
  <c r="Q80" i="103"/>
  <c r="E80" i="103"/>
  <c r="Q81" i="103"/>
  <c r="E81" i="103"/>
  <c r="Q82" i="103"/>
  <c r="E82" i="103"/>
  <c r="M82" i="103"/>
  <c r="I82" i="103"/>
  <c r="M81" i="103"/>
  <c r="I81" i="103"/>
  <c r="M80" i="103"/>
  <c r="I80" i="103"/>
  <c r="M78" i="103"/>
  <c r="I78" i="103"/>
  <c r="M77" i="103"/>
  <c r="I77" i="103"/>
  <c r="M76" i="103"/>
  <c r="I76" i="103"/>
  <c r="M75" i="103"/>
  <c r="I75" i="103"/>
  <c r="M71" i="103"/>
  <c r="I71" i="103"/>
  <c r="M70" i="103"/>
  <c r="I70" i="103"/>
  <c r="M65" i="103"/>
  <c r="I65" i="103"/>
  <c r="M64" i="103"/>
  <c r="I64" i="103"/>
  <c r="L61" i="103"/>
  <c r="K61" i="103"/>
  <c r="J61" i="103"/>
  <c r="H61" i="103"/>
  <c r="G61" i="103"/>
  <c r="F61" i="103"/>
  <c r="M60" i="103"/>
  <c r="I60" i="103"/>
  <c r="M59" i="103"/>
  <c r="I59" i="103"/>
  <c r="M58" i="103"/>
  <c r="I58" i="103"/>
  <c r="R57" i="103"/>
  <c r="R56" i="103"/>
  <c r="M55" i="103"/>
  <c r="I55" i="103"/>
  <c r="M54" i="103"/>
  <c r="I54" i="103"/>
  <c r="M53" i="103"/>
  <c r="I53" i="103"/>
  <c r="M52" i="103"/>
  <c r="I52" i="103"/>
  <c r="M51" i="103"/>
  <c r="I51" i="103"/>
  <c r="M50" i="103"/>
  <c r="I50" i="103"/>
  <c r="M49" i="103"/>
  <c r="I49" i="103"/>
  <c r="M48" i="103"/>
  <c r="I48" i="103"/>
  <c r="L36" i="103"/>
  <c r="L38" i="103" s="1"/>
  <c r="K36" i="103"/>
  <c r="K38" i="103" s="1"/>
  <c r="J36" i="103"/>
  <c r="J38" i="103" s="1"/>
  <c r="H36" i="103"/>
  <c r="H38" i="103" s="1"/>
  <c r="G36" i="103"/>
  <c r="G38" i="103" s="1"/>
  <c r="F36" i="103"/>
  <c r="F38" i="103" s="1"/>
  <c r="L32" i="103"/>
  <c r="K32" i="103"/>
  <c r="J32" i="103"/>
  <c r="H32" i="103"/>
  <c r="G32" i="103"/>
  <c r="F32" i="103"/>
  <c r="L26" i="103"/>
  <c r="K26" i="103"/>
  <c r="J26" i="103"/>
  <c r="H26" i="103"/>
  <c r="G26" i="103"/>
  <c r="F26" i="103"/>
  <c r="L13" i="103"/>
  <c r="K13" i="103"/>
  <c r="J13" i="103"/>
  <c r="H13" i="103"/>
  <c r="G13" i="103"/>
  <c r="F13" i="103"/>
  <c r="L6" i="103"/>
  <c r="K6" i="103"/>
  <c r="J6" i="103"/>
  <c r="H6" i="103"/>
  <c r="G6" i="103"/>
  <c r="F6" i="103"/>
  <c r="N26" i="88"/>
  <c r="O26" i="88"/>
  <c r="P26" i="88"/>
  <c r="Q26" i="88"/>
  <c r="R26" i="88"/>
  <c r="S26" i="88"/>
  <c r="N29" i="88"/>
  <c r="O29" i="88"/>
  <c r="P29" i="88"/>
  <c r="Q29" i="88"/>
  <c r="R29" i="88"/>
  <c r="S29" i="88"/>
  <c r="N30" i="88"/>
  <c r="O30" i="88"/>
  <c r="P30" i="88"/>
  <c r="Q30" i="88"/>
  <c r="R30" i="88"/>
  <c r="S30" i="88"/>
  <c r="N31" i="88"/>
  <c r="O31" i="88"/>
  <c r="P31" i="88"/>
  <c r="Q31" i="88"/>
  <c r="R31" i="88"/>
  <c r="S31" i="88"/>
  <c r="S25" i="88"/>
  <c r="R25" i="88"/>
  <c r="Q25" i="88"/>
  <c r="P25" i="88"/>
  <c r="O25" i="88"/>
  <c r="N25" i="88"/>
  <c r="G72" i="88"/>
  <c r="H67" i="88"/>
  <c r="I67" i="88"/>
  <c r="B72" i="88"/>
  <c r="D72" i="88"/>
  <c r="H68" i="88"/>
  <c r="I68" i="88"/>
  <c r="H69" i="88"/>
  <c r="I69" i="88"/>
  <c r="I70" i="88"/>
  <c r="H71" i="88"/>
  <c r="I71" i="88"/>
  <c r="E72" i="88"/>
  <c r="R58" i="103" l="1"/>
  <c r="O7" i="103"/>
  <c r="P7" i="103" s="1"/>
  <c r="N41" i="103" s="1"/>
  <c r="J4" i="103"/>
  <c r="J11" i="103"/>
  <c r="I72" i="88"/>
  <c r="G18" i="103"/>
  <c r="R54" i="103"/>
  <c r="R78" i="103"/>
  <c r="R75" i="103"/>
  <c r="N12" i="103"/>
  <c r="F18" i="103"/>
  <c r="K18" i="103"/>
  <c r="Q61" i="103"/>
  <c r="E6" i="103"/>
  <c r="E61" i="103"/>
  <c r="R64" i="103"/>
  <c r="P8" i="103"/>
  <c r="N23" i="103"/>
  <c r="N25" i="103" s="1"/>
  <c r="N27" i="103" s="1"/>
  <c r="N28" i="103" s="1"/>
  <c r="N10" i="103"/>
  <c r="N8" i="103"/>
  <c r="O5" i="103"/>
  <c r="P5" i="103" s="1"/>
  <c r="N40" i="103" s="1"/>
  <c r="O8" i="103"/>
  <c r="Q13" i="103"/>
  <c r="N18" i="103"/>
  <c r="N14" i="103"/>
  <c r="N19" i="103" s="1"/>
  <c r="Q6" i="103"/>
  <c r="R80" i="103"/>
  <c r="R71" i="103"/>
  <c r="R65" i="103"/>
  <c r="R50" i="103"/>
  <c r="E13" i="103"/>
  <c r="R51" i="103"/>
  <c r="R59" i="103"/>
  <c r="R70" i="103"/>
  <c r="P18" i="103"/>
  <c r="N15" i="103"/>
  <c r="N9" i="103"/>
  <c r="H18" i="103"/>
  <c r="R82" i="103"/>
  <c r="H84" i="103" s="1"/>
  <c r="B18" i="103"/>
  <c r="B14" i="103"/>
  <c r="M13" i="103"/>
  <c r="I13" i="103"/>
  <c r="R77" i="103"/>
  <c r="D18" i="103"/>
  <c r="O18" i="103"/>
  <c r="B7" i="103"/>
  <c r="C7" i="103" s="1"/>
  <c r="M6" i="103"/>
  <c r="F14" i="103"/>
  <c r="G14" i="103" s="1"/>
  <c r="G30" i="103" s="1"/>
  <c r="J18" i="103"/>
  <c r="F7" i="103"/>
  <c r="F24" i="103" s="1"/>
  <c r="I6" i="103"/>
  <c r="R55" i="103"/>
  <c r="R60" i="103"/>
  <c r="J7" i="103"/>
  <c r="L18" i="103"/>
  <c r="R48" i="103"/>
  <c r="R49" i="103"/>
  <c r="M61" i="103"/>
  <c r="R76" i="103"/>
  <c r="J14" i="103"/>
  <c r="R52" i="103"/>
  <c r="R53" i="103"/>
  <c r="I61" i="103"/>
  <c r="R81" i="103"/>
  <c r="F72" i="88"/>
  <c r="C72" i="88"/>
  <c r="H72" i="88"/>
  <c r="N42" i="103" l="1"/>
  <c r="N44" i="103" s="1"/>
  <c r="N45" i="103" s="1"/>
  <c r="F16" i="8" s="1"/>
  <c r="O24" i="103"/>
  <c r="R6" i="103"/>
  <c r="P6" i="88" s="1"/>
  <c r="N29" i="103"/>
  <c r="N17" i="103"/>
  <c r="N30" i="103"/>
  <c r="H14" i="103"/>
  <c r="H30" i="103" s="1"/>
  <c r="O9" i="103"/>
  <c r="O10" i="103"/>
  <c r="O23" i="103"/>
  <c r="O25" i="103" s="1"/>
  <c r="O27" i="103" s="1"/>
  <c r="O28" i="103" s="1"/>
  <c r="P24" i="103"/>
  <c r="F30" i="103"/>
  <c r="R13" i="103"/>
  <c r="P16" i="88" s="1"/>
  <c r="O14" i="103"/>
  <c r="N16" i="103"/>
  <c r="C24" i="103"/>
  <c r="D7" i="103"/>
  <c r="B41" i="103" s="1"/>
  <c r="P9" i="103"/>
  <c r="P23" i="103"/>
  <c r="R61" i="103"/>
  <c r="G7" i="103"/>
  <c r="G24" i="103" s="1"/>
  <c r="B19" i="103"/>
  <c r="B24" i="103"/>
  <c r="B30" i="103"/>
  <c r="C14" i="103"/>
  <c r="P10" i="103"/>
  <c r="F19" i="103"/>
  <c r="J24" i="103"/>
  <c r="J19" i="103"/>
  <c r="J30" i="103"/>
  <c r="K14" i="103"/>
  <c r="K7" i="103"/>
  <c r="Q56" i="2"/>
  <c r="H7" i="103" l="1"/>
  <c r="P25" i="103"/>
  <c r="P27" i="103" s="1"/>
  <c r="P28" i="103" s="1"/>
  <c r="N31" i="103"/>
  <c r="N33" i="103" s="1"/>
  <c r="N34" i="103" s="1"/>
  <c r="N39" i="103" s="1"/>
  <c r="G19" i="103"/>
  <c r="O19" i="103"/>
  <c r="O30" i="103"/>
  <c r="P14" i="103"/>
  <c r="C30" i="103"/>
  <c r="D14" i="103"/>
  <c r="C19" i="103"/>
  <c r="D24" i="103"/>
  <c r="L7" i="103"/>
  <c r="J41" i="103" s="1"/>
  <c r="K24" i="103"/>
  <c r="K19" i="103"/>
  <c r="L14" i="103"/>
  <c r="K30" i="103"/>
  <c r="H19" i="103" l="1"/>
  <c r="F41" i="103"/>
  <c r="H24" i="103"/>
  <c r="P30" i="103"/>
  <c r="P19" i="103"/>
  <c r="D30" i="103"/>
  <c r="D19" i="103"/>
  <c r="L30" i="103"/>
  <c r="L24" i="103"/>
  <c r="L19" i="103"/>
  <c r="R57" i="6" l="1"/>
  <c r="R31" i="1"/>
  <c r="R57" i="3"/>
  <c r="R57" i="2"/>
  <c r="R57" i="5"/>
  <c r="M57" i="4"/>
  <c r="Q57" i="4"/>
  <c r="E57" i="4"/>
  <c r="I57" i="4"/>
  <c r="I56" i="4"/>
  <c r="E56" i="4"/>
  <c r="Q56" i="4"/>
  <c r="M56" i="4"/>
  <c r="M64" i="2"/>
  <c r="M65" i="2"/>
  <c r="M70" i="2"/>
  <c r="M71" i="2"/>
  <c r="M75" i="2"/>
  <c r="M76" i="2"/>
  <c r="M77" i="2"/>
  <c r="M78" i="2"/>
  <c r="M80" i="2"/>
  <c r="M81" i="2"/>
  <c r="M82" i="2"/>
  <c r="R53" i="70" l="1"/>
  <c r="R52" i="70"/>
  <c r="R54" i="70"/>
  <c r="R55" i="70"/>
  <c r="R51" i="70"/>
  <c r="R57" i="4"/>
  <c r="F3" i="88" l="1"/>
  <c r="G3" i="88" l="1"/>
  <c r="H3" i="88"/>
  <c r="F4" i="88"/>
  <c r="G4" i="88"/>
  <c r="H4" i="88"/>
  <c r="F5" i="88"/>
  <c r="G5" i="88"/>
  <c r="K4" i="3" s="1"/>
  <c r="H5" i="88"/>
  <c r="F7" i="88"/>
  <c r="G7" i="88"/>
  <c r="H7" i="88"/>
  <c r="G8" i="88"/>
  <c r="K4" i="4" s="1"/>
  <c r="H8" i="88"/>
  <c r="F9" i="88"/>
  <c r="J4" i="5" s="1"/>
  <c r="G9" i="88"/>
  <c r="K4" i="5" s="1"/>
  <c r="H9" i="88"/>
  <c r="L4" i="5" s="1"/>
  <c r="R16" i="70" l="1"/>
  <c r="P19" i="102"/>
  <c r="O19" i="102"/>
  <c r="N19" i="102"/>
  <c r="L19" i="102"/>
  <c r="K19" i="102"/>
  <c r="J19" i="102"/>
  <c r="H19" i="102"/>
  <c r="G19" i="102"/>
  <c r="F19" i="102"/>
  <c r="D19" i="102"/>
  <c r="C19" i="102"/>
  <c r="B19" i="102"/>
  <c r="P3" i="102" l="1"/>
  <c r="O3" i="102"/>
  <c r="N3" i="102"/>
  <c r="L3" i="102"/>
  <c r="K3" i="102"/>
  <c r="J3" i="102"/>
  <c r="H3" i="102"/>
  <c r="G3" i="102"/>
  <c r="F3" i="102"/>
  <c r="D3" i="102"/>
  <c r="C3" i="102"/>
  <c r="B3" i="102"/>
  <c r="B20" i="102"/>
  <c r="C20" i="102" s="1"/>
  <c r="D20" i="102" s="1"/>
  <c r="F20" i="102" s="1"/>
  <c r="G20" i="102" s="1"/>
  <c r="H20" i="102" s="1"/>
  <c r="J20" i="102" s="1"/>
  <c r="R19" i="102"/>
  <c r="Q19" i="102"/>
  <c r="Q21" i="102" s="1"/>
  <c r="M19" i="102"/>
  <c r="I19" i="102"/>
  <c r="E19" i="102"/>
  <c r="I3" i="102" l="1"/>
  <c r="K20" i="102"/>
  <c r="L20" i="102" s="1"/>
  <c r="N20" i="102" s="1"/>
  <c r="O20" i="102" s="1"/>
  <c r="P20" i="102" s="1"/>
  <c r="Q3" i="102"/>
  <c r="R3" i="102"/>
  <c r="M3" i="102"/>
  <c r="E3" i="102"/>
  <c r="B4" i="102"/>
  <c r="C4" i="102" s="1"/>
  <c r="D4" i="102" s="1"/>
  <c r="F4" i="102" s="1"/>
  <c r="G4" i="102" s="1"/>
  <c r="H4" i="102" s="1"/>
  <c r="J4" i="102" s="1"/>
  <c r="K4" i="102" s="1"/>
  <c r="L4" i="102" s="1"/>
  <c r="N4" i="102" s="1"/>
  <c r="O4" i="102" s="1"/>
  <c r="P4" i="102" s="1"/>
  <c r="P19" i="70" l="1"/>
  <c r="P22" i="102" s="1"/>
  <c r="O19" i="70"/>
  <c r="O22" i="102" s="1"/>
  <c r="N19" i="70"/>
  <c r="N22" i="102" s="1"/>
  <c r="L19" i="70"/>
  <c r="L22" i="102" s="1"/>
  <c r="L61" i="3"/>
  <c r="K61" i="3"/>
  <c r="J61" i="3"/>
  <c r="H61" i="3"/>
  <c r="G61" i="3"/>
  <c r="F61" i="3"/>
  <c r="D61" i="3"/>
  <c r="C61" i="3"/>
  <c r="B61" i="3"/>
  <c r="P61" i="3"/>
  <c r="O61" i="3"/>
  <c r="N61" i="3"/>
  <c r="Q22" i="102" l="1"/>
  <c r="K19" i="70"/>
  <c r="K22" i="102" s="1"/>
  <c r="G19" i="70"/>
  <c r="G22" i="102" s="1"/>
  <c r="P6" i="70"/>
  <c r="P6" i="102" s="1"/>
  <c r="K6" i="70"/>
  <c r="K6" i="102" s="1"/>
  <c r="C6" i="70"/>
  <c r="C6" i="102" s="1"/>
  <c r="B6" i="70"/>
  <c r="E14" i="88"/>
  <c r="P11" i="1" s="1"/>
  <c r="K4" i="2"/>
  <c r="E82" i="4"/>
  <c r="E81" i="4"/>
  <c r="E80" i="4"/>
  <c r="E78" i="4"/>
  <c r="E77" i="4"/>
  <c r="E76" i="4"/>
  <c r="E75" i="4"/>
  <c r="E71" i="4"/>
  <c r="E70" i="4"/>
  <c r="E65" i="4"/>
  <c r="E64" i="4"/>
  <c r="I82" i="4"/>
  <c r="I81" i="4"/>
  <c r="I80" i="4"/>
  <c r="I78" i="4"/>
  <c r="I77" i="4"/>
  <c r="I76" i="4"/>
  <c r="I75" i="4"/>
  <c r="I71" i="4"/>
  <c r="I70" i="4"/>
  <c r="I65" i="4"/>
  <c r="I64" i="4"/>
  <c r="E82" i="5"/>
  <c r="E81" i="5"/>
  <c r="E80" i="5"/>
  <c r="E78" i="5"/>
  <c r="E77" i="5"/>
  <c r="E76" i="5"/>
  <c r="E75" i="5"/>
  <c r="E71" i="5"/>
  <c r="E70" i="5"/>
  <c r="E65" i="5"/>
  <c r="E64" i="5"/>
  <c r="I82" i="5"/>
  <c r="I81" i="5"/>
  <c r="I80" i="5"/>
  <c r="I78" i="5"/>
  <c r="I77" i="5"/>
  <c r="I76" i="5"/>
  <c r="I75" i="5"/>
  <c r="I71" i="5"/>
  <c r="I70" i="5"/>
  <c r="I65" i="5"/>
  <c r="I64" i="5"/>
  <c r="Q56" i="1"/>
  <c r="Q55" i="1"/>
  <c r="Q54" i="1"/>
  <c r="Q52" i="1"/>
  <c r="Q51" i="1"/>
  <c r="Q50" i="1"/>
  <c r="Q49" i="1"/>
  <c r="Q45" i="1"/>
  <c r="Q44" i="1"/>
  <c r="Q39" i="1"/>
  <c r="Q38" i="1"/>
  <c r="M56" i="1"/>
  <c r="M55" i="1"/>
  <c r="M54" i="1"/>
  <c r="M52" i="1"/>
  <c r="M51" i="1"/>
  <c r="M50" i="1"/>
  <c r="M49" i="1"/>
  <c r="M45" i="1"/>
  <c r="M44" i="1"/>
  <c r="M39" i="1"/>
  <c r="M38" i="1"/>
  <c r="I56" i="1"/>
  <c r="I55" i="1"/>
  <c r="I54" i="1"/>
  <c r="I52" i="1"/>
  <c r="I51" i="1"/>
  <c r="I50" i="1"/>
  <c r="I49" i="1"/>
  <c r="I45" i="1"/>
  <c r="I44" i="1"/>
  <c r="I39" i="1"/>
  <c r="I38" i="1"/>
  <c r="E56" i="1"/>
  <c r="E55" i="1"/>
  <c r="E54" i="1"/>
  <c r="E52" i="1"/>
  <c r="E51" i="1"/>
  <c r="E50" i="1"/>
  <c r="E49" i="1"/>
  <c r="E45" i="1"/>
  <c r="E44" i="1"/>
  <c r="E39" i="1"/>
  <c r="E38" i="1"/>
  <c r="E82" i="3"/>
  <c r="E81" i="3"/>
  <c r="E80" i="3"/>
  <c r="E78" i="3"/>
  <c r="E77" i="3"/>
  <c r="E76" i="3"/>
  <c r="E75" i="3"/>
  <c r="E71" i="3"/>
  <c r="E70" i="3"/>
  <c r="E65" i="3"/>
  <c r="E64" i="3"/>
  <c r="I82" i="3"/>
  <c r="I81" i="3"/>
  <c r="I80" i="3"/>
  <c r="I78" i="3"/>
  <c r="I77" i="3"/>
  <c r="I76" i="3"/>
  <c r="I75" i="3"/>
  <c r="I71" i="3"/>
  <c r="I70" i="3"/>
  <c r="I65" i="3"/>
  <c r="I64" i="3"/>
  <c r="E64" i="6"/>
  <c r="E82" i="6"/>
  <c r="E81" i="6"/>
  <c r="E80" i="6"/>
  <c r="E78" i="6"/>
  <c r="E77" i="6"/>
  <c r="E76" i="6"/>
  <c r="E75" i="6"/>
  <c r="E71" i="6"/>
  <c r="E70" i="6"/>
  <c r="E65" i="6"/>
  <c r="I64" i="6"/>
  <c r="I82" i="6"/>
  <c r="I81" i="6"/>
  <c r="I80" i="6"/>
  <c r="I78" i="6"/>
  <c r="I77" i="6"/>
  <c r="I76" i="6"/>
  <c r="I75" i="6"/>
  <c r="I71" i="6"/>
  <c r="I70" i="6"/>
  <c r="I65" i="6"/>
  <c r="M64" i="6"/>
  <c r="R56" i="5"/>
  <c r="R56" i="4"/>
  <c r="R56" i="2"/>
  <c r="R56" i="3"/>
  <c r="R30" i="1"/>
  <c r="R56" i="6"/>
  <c r="C6" i="2"/>
  <c r="B13" i="1"/>
  <c r="B14" i="1" s="1"/>
  <c r="R3" i="70"/>
  <c r="P11" i="103"/>
  <c r="F6" i="6"/>
  <c r="F6" i="1"/>
  <c r="F7" i="1" s="1"/>
  <c r="F6" i="3"/>
  <c r="F6" i="2"/>
  <c r="F7" i="2" s="1"/>
  <c r="F6" i="4"/>
  <c r="F6" i="5"/>
  <c r="F7" i="5" s="1"/>
  <c r="F24" i="5" s="1"/>
  <c r="F13" i="5"/>
  <c r="F14" i="5" s="1"/>
  <c r="F30" i="5" s="1"/>
  <c r="F13" i="4"/>
  <c r="F14" i="4" s="1"/>
  <c r="F30" i="4" s="1"/>
  <c r="F13" i="2"/>
  <c r="F14" i="2" s="1"/>
  <c r="F13" i="6"/>
  <c r="F14" i="6" s="1"/>
  <c r="F30" i="6" s="1"/>
  <c r="F13" i="1"/>
  <c r="F14" i="1" s="1"/>
  <c r="F13" i="3"/>
  <c r="J6" i="1"/>
  <c r="J7" i="1" s="1"/>
  <c r="P6" i="1"/>
  <c r="O6" i="1"/>
  <c r="N6" i="1"/>
  <c r="N7" i="1" s="1"/>
  <c r="I14" i="88"/>
  <c r="J14" i="88"/>
  <c r="G11" i="1" s="1"/>
  <c r="K14" i="88"/>
  <c r="H11" i="1" s="1"/>
  <c r="O11" i="103"/>
  <c r="I17" i="88"/>
  <c r="F11" i="2" s="1"/>
  <c r="J17" i="88"/>
  <c r="G11" i="2" s="1"/>
  <c r="K17" i="88"/>
  <c r="H11" i="2" s="1"/>
  <c r="I18" i="88"/>
  <c r="J18" i="88"/>
  <c r="K18" i="88"/>
  <c r="I19" i="88"/>
  <c r="J19" i="88"/>
  <c r="K19" i="88"/>
  <c r="K13" i="88"/>
  <c r="H11" i="6" s="1"/>
  <c r="J13" i="88"/>
  <c r="I13" i="88"/>
  <c r="I4" i="88"/>
  <c r="J4" i="88"/>
  <c r="G4" i="1" s="1"/>
  <c r="K4" i="88"/>
  <c r="H4" i="1" s="1"/>
  <c r="I7" i="88"/>
  <c r="J7" i="88"/>
  <c r="K7" i="88"/>
  <c r="I8" i="88"/>
  <c r="J8" i="88"/>
  <c r="G4" i="4" s="1"/>
  <c r="K8" i="88"/>
  <c r="H4" i="4" s="1"/>
  <c r="I9" i="88"/>
  <c r="J9" i="88"/>
  <c r="G4" i="5" s="1"/>
  <c r="K9" i="88"/>
  <c r="H4" i="5" s="1"/>
  <c r="K3" i="88"/>
  <c r="H4" i="6" s="1"/>
  <c r="I3" i="88"/>
  <c r="J3" i="88"/>
  <c r="G4" i="6" s="1"/>
  <c r="L6" i="1"/>
  <c r="K6" i="1"/>
  <c r="P13" i="6"/>
  <c r="O13" i="6"/>
  <c r="N13" i="6"/>
  <c r="N14" i="6" s="1"/>
  <c r="N30" i="6" s="1"/>
  <c r="F14" i="88"/>
  <c r="J11" i="1" s="1"/>
  <c r="G14" i="88"/>
  <c r="K11" i="1" s="1"/>
  <c r="H14" i="88"/>
  <c r="L11" i="1" s="1"/>
  <c r="F15" i="88"/>
  <c r="J11" i="3" s="1"/>
  <c r="G15" i="88"/>
  <c r="K11" i="3" s="1"/>
  <c r="H15" i="88"/>
  <c r="F17" i="88"/>
  <c r="J11" i="2" s="1"/>
  <c r="J12" i="2" s="1"/>
  <c r="G17" i="88"/>
  <c r="K11" i="2" s="1"/>
  <c r="H17" i="88"/>
  <c r="L11" i="2" s="1"/>
  <c r="F18" i="88"/>
  <c r="J11" i="4" s="1"/>
  <c r="J12" i="4" s="1"/>
  <c r="G18" i="88"/>
  <c r="K11" i="4" s="1"/>
  <c r="H18" i="88"/>
  <c r="L11" i="4" s="1"/>
  <c r="F19" i="88"/>
  <c r="J11" i="5" s="1"/>
  <c r="G19" i="88"/>
  <c r="K11" i="5" s="1"/>
  <c r="H19" i="88"/>
  <c r="H13" i="88"/>
  <c r="L11" i="6" s="1"/>
  <c r="G13" i="88"/>
  <c r="K11" i="6" s="1"/>
  <c r="F13" i="88"/>
  <c r="J11" i="6" s="1"/>
  <c r="J12" i="6" s="1"/>
  <c r="J4" i="1"/>
  <c r="K4" i="1"/>
  <c r="L4" i="1"/>
  <c r="J4" i="3"/>
  <c r="J5" i="3" s="1"/>
  <c r="J4" i="2"/>
  <c r="L4" i="2"/>
  <c r="J4" i="4"/>
  <c r="L4" i="6"/>
  <c r="K4" i="6"/>
  <c r="J4" i="6"/>
  <c r="E3" i="88"/>
  <c r="P4" i="6" s="1"/>
  <c r="J26" i="6"/>
  <c r="B17" i="70"/>
  <c r="B40" i="88"/>
  <c r="B4" i="70"/>
  <c r="C4" i="70" s="1"/>
  <c r="D4" i="70" s="1"/>
  <c r="Q3" i="70"/>
  <c r="C17" i="70"/>
  <c r="D17" i="70" s="1"/>
  <c r="F17" i="70"/>
  <c r="G17" i="70" s="1"/>
  <c r="N6" i="6"/>
  <c r="L6" i="70"/>
  <c r="L6" i="102" s="1"/>
  <c r="M82" i="5"/>
  <c r="Q82" i="5"/>
  <c r="M81" i="5"/>
  <c r="Q81" i="5"/>
  <c r="M80" i="5"/>
  <c r="Q80" i="5"/>
  <c r="M78" i="5"/>
  <c r="Q78" i="5"/>
  <c r="M77" i="5"/>
  <c r="Q77" i="5"/>
  <c r="M76" i="5"/>
  <c r="Q76" i="5"/>
  <c r="M75" i="5"/>
  <c r="Q75" i="5"/>
  <c r="M71" i="5"/>
  <c r="Q71" i="5"/>
  <c r="M70" i="5"/>
  <c r="Q70" i="5"/>
  <c r="M65" i="5"/>
  <c r="Q65" i="5"/>
  <c r="M64" i="5"/>
  <c r="Q64" i="5"/>
  <c r="D61" i="5"/>
  <c r="C61" i="5"/>
  <c r="B61" i="5"/>
  <c r="H61" i="5"/>
  <c r="G61" i="5"/>
  <c r="F61" i="5"/>
  <c r="L61" i="5"/>
  <c r="K61" i="5"/>
  <c r="J61" i="5"/>
  <c r="N61" i="5"/>
  <c r="O61" i="5"/>
  <c r="P61" i="5"/>
  <c r="E60" i="5"/>
  <c r="I60" i="5"/>
  <c r="M60" i="5"/>
  <c r="Q60" i="5"/>
  <c r="E59" i="5"/>
  <c r="I59" i="5"/>
  <c r="M59" i="5"/>
  <c r="Q59" i="5"/>
  <c r="E58" i="5"/>
  <c r="I58" i="5"/>
  <c r="M58" i="5"/>
  <c r="Q58" i="5"/>
  <c r="E55" i="5"/>
  <c r="I55" i="5"/>
  <c r="M55" i="5"/>
  <c r="Q55" i="5"/>
  <c r="E54" i="5"/>
  <c r="I54" i="5"/>
  <c r="M54" i="5"/>
  <c r="Q54" i="5"/>
  <c r="E53" i="5"/>
  <c r="I53" i="5"/>
  <c r="M53" i="5"/>
  <c r="Q53" i="5"/>
  <c r="E52" i="5"/>
  <c r="I52" i="5"/>
  <c r="M52" i="5"/>
  <c r="Q52" i="5"/>
  <c r="E51" i="5"/>
  <c r="I51" i="5"/>
  <c r="M51" i="5"/>
  <c r="Q51" i="5"/>
  <c r="E50" i="5"/>
  <c r="I50" i="5"/>
  <c r="M50" i="5"/>
  <c r="Q50" i="5"/>
  <c r="E49" i="5"/>
  <c r="I49" i="5"/>
  <c r="M49" i="5"/>
  <c r="Q49" i="5"/>
  <c r="E48" i="5"/>
  <c r="I48" i="5"/>
  <c r="M48" i="5"/>
  <c r="Q48" i="5"/>
  <c r="M82" i="4"/>
  <c r="Q82" i="4"/>
  <c r="M81" i="4"/>
  <c r="Q81" i="4"/>
  <c r="M80" i="4"/>
  <c r="Q80" i="4"/>
  <c r="M78" i="4"/>
  <c r="Q78" i="4"/>
  <c r="M77" i="4"/>
  <c r="Q77" i="4"/>
  <c r="M76" i="4"/>
  <c r="Q76" i="4"/>
  <c r="M75" i="4"/>
  <c r="Q75" i="4"/>
  <c r="M71" i="4"/>
  <c r="Q71" i="4"/>
  <c r="M70" i="4"/>
  <c r="Q70" i="4"/>
  <c r="M65" i="4"/>
  <c r="Q65" i="4"/>
  <c r="M64" i="4"/>
  <c r="Q64" i="4"/>
  <c r="D61" i="4"/>
  <c r="C61" i="4"/>
  <c r="B61" i="4"/>
  <c r="H61" i="4"/>
  <c r="G61" i="4"/>
  <c r="F61" i="4"/>
  <c r="L61" i="4"/>
  <c r="K61" i="4"/>
  <c r="J61" i="4"/>
  <c r="N61" i="4"/>
  <c r="O61" i="4"/>
  <c r="P61" i="4"/>
  <c r="E60" i="4"/>
  <c r="I60" i="4"/>
  <c r="M60" i="4"/>
  <c r="Q60" i="4"/>
  <c r="E59" i="4"/>
  <c r="I59" i="4"/>
  <c r="M59" i="4"/>
  <c r="Q59" i="4"/>
  <c r="E58" i="4"/>
  <c r="I58" i="4"/>
  <c r="M58" i="4"/>
  <c r="Q58" i="4"/>
  <c r="E55" i="4"/>
  <c r="Q55" i="4"/>
  <c r="M55" i="4"/>
  <c r="I55" i="4"/>
  <c r="E54" i="4"/>
  <c r="I54" i="4"/>
  <c r="M54" i="4"/>
  <c r="Q54" i="4"/>
  <c r="E53" i="4"/>
  <c r="I53" i="4"/>
  <c r="M53" i="4"/>
  <c r="Q53" i="4"/>
  <c r="E52" i="4"/>
  <c r="I52" i="4"/>
  <c r="M52" i="4"/>
  <c r="Q52" i="4"/>
  <c r="E51" i="4"/>
  <c r="Q51" i="4"/>
  <c r="M51" i="4"/>
  <c r="I51" i="4"/>
  <c r="E50" i="4"/>
  <c r="I50" i="4"/>
  <c r="M50" i="4"/>
  <c r="Q50" i="4"/>
  <c r="E49" i="4"/>
  <c r="I49" i="4"/>
  <c r="M49" i="4"/>
  <c r="Q49" i="4"/>
  <c r="E48" i="4"/>
  <c r="I48" i="4"/>
  <c r="M48" i="4"/>
  <c r="Q48" i="4"/>
  <c r="Q82" i="2"/>
  <c r="Q81" i="2"/>
  <c r="R81" i="2" s="1"/>
  <c r="Q80" i="2"/>
  <c r="Q78" i="2"/>
  <c r="Q77" i="2"/>
  <c r="Q76" i="2"/>
  <c r="Q75" i="2"/>
  <c r="Q71" i="2"/>
  <c r="Q70" i="2"/>
  <c r="Q65" i="2"/>
  <c r="Q64" i="2"/>
  <c r="D61" i="2"/>
  <c r="C61" i="2"/>
  <c r="B61" i="2"/>
  <c r="H61" i="2"/>
  <c r="F61" i="2"/>
  <c r="G61" i="2"/>
  <c r="L61" i="2"/>
  <c r="K61" i="2"/>
  <c r="J61" i="2"/>
  <c r="N61" i="2"/>
  <c r="O61" i="2"/>
  <c r="P61" i="2"/>
  <c r="E60" i="2"/>
  <c r="I60" i="2"/>
  <c r="M60" i="2"/>
  <c r="Q60" i="2"/>
  <c r="E59" i="2"/>
  <c r="I59" i="2"/>
  <c r="M59" i="2"/>
  <c r="Q59" i="2"/>
  <c r="E58" i="2"/>
  <c r="I58" i="2"/>
  <c r="M58" i="2"/>
  <c r="Q58" i="2"/>
  <c r="E55" i="2"/>
  <c r="I55" i="2"/>
  <c r="M55" i="2"/>
  <c r="Q55" i="2"/>
  <c r="E54" i="2"/>
  <c r="I54" i="2"/>
  <c r="M54" i="2"/>
  <c r="Q54" i="2"/>
  <c r="E53" i="2"/>
  <c r="I53" i="2"/>
  <c r="M53" i="2"/>
  <c r="Q53" i="2"/>
  <c r="E52" i="2"/>
  <c r="I52" i="2"/>
  <c r="M52" i="2"/>
  <c r="Q52" i="2"/>
  <c r="E51" i="2"/>
  <c r="I51" i="2"/>
  <c r="M51" i="2"/>
  <c r="Q51" i="2"/>
  <c r="E50" i="2"/>
  <c r="I50" i="2"/>
  <c r="M50" i="2"/>
  <c r="Q50" i="2"/>
  <c r="E49" i="2"/>
  <c r="I49" i="2"/>
  <c r="M49" i="2"/>
  <c r="Q49" i="2"/>
  <c r="E48" i="2"/>
  <c r="I48" i="2"/>
  <c r="M48" i="2"/>
  <c r="Q48" i="2"/>
  <c r="M82" i="3"/>
  <c r="Q82" i="3"/>
  <c r="M81" i="3"/>
  <c r="Q81" i="3"/>
  <c r="M80" i="3"/>
  <c r="Q80" i="3"/>
  <c r="M78" i="3"/>
  <c r="Q78" i="3"/>
  <c r="M77" i="3"/>
  <c r="Q77" i="3"/>
  <c r="M76" i="3"/>
  <c r="Q76" i="3"/>
  <c r="M75" i="3"/>
  <c r="Q75" i="3"/>
  <c r="M71" i="3"/>
  <c r="Q71" i="3"/>
  <c r="M70" i="3"/>
  <c r="Q70" i="3"/>
  <c r="M65" i="3"/>
  <c r="Q65" i="3"/>
  <c r="M64" i="3"/>
  <c r="Q64" i="3"/>
  <c r="E61" i="3"/>
  <c r="I61" i="3"/>
  <c r="M61" i="3"/>
  <c r="Q61" i="3"/>
  <c r="E60" i="3"/>
  <c r="I60" i="3"/>
  <c r="Q60" i="3"/>
  <c r="M60" i="3"/>
  <c r="E59" i="3"/>
  <c r="I59" i="3"/>
  <c r="M59" i="3"/>
  <c r="Q59" i="3"/>
  <c r="E58" i="3"/>
  <c r="I58" i="3"/>
  <c r="Q58" i="3"/>
  <c r="M58" i="3"/>
  <c r="E55" i="3"/>
  <c r="I55" i="3"/>
  <c r="Q55" i="3"/>
  <c r="M55" i="3"/>
  <c r="E54" i="3"/>
  <c r="I54" i="3"/>
  <c r="Q54" i="3"/>
  <c r="M54" i="3"/>
  <c r="E53" i="3"/>
  <c r="I53" i="3"/>
  <c r="Q53" i="3"/>
  <c r="M53" i="3"/>
  <c r="E52" i="3"/>
  <c r="I52" i="3"/>
  <c r="Q52" i="3"/>
  <c r="M52" i="3"/>
  <c r="E51" i="3"/>
  <c r="I51" i="3"/>
  <c r="M51" i="3"/>
  <c r="Q51" i="3"/>
  <c r="E50" i="3"/>
  <c r="I50" i="3"/>
  <c r="M50" i="3"/>
  <c r="Q50" i="3"/>
  <c r="E49" i="3"/>
  <c r="I49" i="3"/>
  <c r="M49" i="3"/>
  <c r="Q49" i="3"/>
  <c r="E48" i="3"/>
  <c r="I48" i="3"/>
  <c r="Q48" i="3"/>
  <c r="M48" i="3"/>
  <c r="R22" i="1"/>
  <c r="R23" i="1"/>
  <c r="R24" i="1"/>
  <c r="R25" i="1"/>
  <c r="R26" i="1"/>
  <c r="R27" i="1"/>
  <c r="R28" i="1"/>
  <c r="R29" i="1"/>
  <c r="R32" i="1"/>
  <c r="R33" i="1"/>
  <c r="R34" i="1"/>
  <c r="N35" i="1"/>
  <c r="O35" i="1"/>
  <c r="P35" i="1"/>
  <c r="J35" i="1"/>
  <c r="K35" i="1"/>
  <c r="L35" i="1"/>
  <c r="F35" i="1"/>
  <c r="G35" i="1"/>
  <c r="H35" i="1"/>
  <c r="B35" i="1"/>
  <c r="C35" i="1"/>
  <c r="D35" i="1"/>
  <c r="M82" i="6"/>
  <c r="M81" i="6"/>
  <c r="Q81" i="6"/>
  <c r="M80" i="6"/>
  <c r="M78" i="6"/>
  <c r="M77" i="6"/>
  <c r="M76" i="6"/>
  <c r="M75" i="6"/>
  <c r="M71" i="6"/>
  <c r="Q71" i="6"/>
  <c r="M70" i="6"/>
  <c r="M65" i="6"/>
  <c r="Q82" i="6"/>
  <c r="Q80" i="6"/>
  <c r="Q76" i="6"/>
  <c r="Q77" i="6"/>
  <c r="Q78" i="6"/>
  <c r="Q75" i="6"/>
  <c r="Q70" i="6"/>
  <c r="Q65" i="6"/>
  <c r="Q64" i="6"/>
  <c r="D32" i="5"/>
  <c r="C32" i="5"/>
  <c r="B32" i="5"/>
  <c r="H32" i="5"/>
  <c r="G32" i="5"/>
  <c r="F32" i="5"/>
  <c r="L32" i="5"/>
  <c r="K32" i="5"/>
  <c r="J32" i="5"/>
  <c r="P32" i="5"/>
  <c r="O32" i="5"/>
  <c r="N32" i="5"/>
  <c r="D32" i="4"/>
  <c r="C32" i="4"/>
  <c r="B32" i="4"/>
  <c r="H32" i="4"/>
  <c r="G32" i="4"/>
  <c r="F32" i="4"/>
  <c r="L32" i="4"/>
  <c r="K32" i="4"/>
  <c r="J32" i="4"/>
  <c r="P32" i="4"/>
  <c r="O32" i="4"/>
  <c r="N32" i="4"/>
  <c r="D26" i="4"/>
  <c r="C26" i="4"/>
  <c r="B26" i="4"/>
  <c r="H26" i="4"/>
  <c r="G26" i="4"/>
  <c r="F26" i="4"/>
  <c r="L26" i="4"/>
  <c r="K26" i="4"/>
  <c r="J26" i="4"/>
  <c r="P26" i="4"/>
  <c r="O26" i="4"/>
  <c r="N26" i="4"/>
  <c r="D32" i="6"/>
  <c r="C32" i="6"/>
  <c r="B32" i="6"/>
  <c r="H32" i="6"/>
  <c r="G32" i="6"/>
  <c r="F32" i="6"/>
  <c r="L32" i="6"/>
  <c r="K32" i="6"/>
  <c r="J32" i="6"/>
  <c r="P32" i="6"/>
  <c r="O32" i="6"/>
  <c r="N32" i="6"/>
  <c r="D26" i="6"/>
  <c r="C26" i="6"/>
  <c r="B26" i="6"/>
  <c r="H26" i="6"/>
  <c r="G26" i="6"/>
  <c r="F26" i="6"/>
  <c r="L26" i="6"/>
  <c r="K26" i="6"/>
  <c r="P26" i="6"/>
  <c r="O26" i="6"/>
  <c r="N26" i="6"/>
  <c r="D32" i="2"/>
  <c r="C32" i="2"/>
  <c r="B32" i="2"/>
  <c r="H32" i="2"/>
  <c r="G32" i="2"/>
  <c r="F32" i="2"/>
  <c r="L32" i="2"/>
  <c r="K32" i="2"/>
  <c r="J32" i="2"/>
  <c r="P32" i="2"/>
  <c r="O32" i="2"/>
  <c r="N32" i="2"/>
  <c r="D26" i="2"/>
  <c r="C26" i="2"/>
  <c r="B26" i="2"/>
  <c r="H26" i="2"/>
  <c r="G26" i="2"/>
  <c r="F26" i="2"/>
  <c r="L26" i="2"/>
  <c r="K26" i="2"/>
  <c r="J26" i="2"/>
  <c r="P26" i="2"/>
  <c r="O26" i="2"/>
  <c r="N26" i="2"/>
  <c r="D32" i="3"/>
  <c r="C32" i="3"/>
  <c r="B32" i="3"/>
  <c r="H32" i="3"/>
  <c r="G32" i="3"/>
  <c r="F32" i="3"/>
  <c r="L32" i="3"/>
  <c r="K32" i="3"/>
  <c r="J32" i="3"/>
  <c r="P32" i="3"/>
  <c r="O32" i="3"/>
  <c r="D26" i="3"/>
  <c r="C26" i="3"/>
  <c r="B26" i="3"/>
  <c r="H26" i="3"/>
  <c r="G26" i="3"/>
  <c r="F26" i="3"/>
  <c r="L26" i="3"/>
  <c r="K26" i="3"/>
  <c r="J26" i="3"/>
  <c r="P26" i="3"/>
  <c r="O26" i="3"/>
  <c r="N32" i="3"/>
  <c r="N36" i="3"/>
  <c r="N38" i="3" s="1"/>
  <c r="O36" i="3"/>
  <c r="O38" i="3" s="1"/>
  <c r="P36" i="3"/>
  <c r="P38" i="3" s="1"/>
  <c r="J36" i="3"/>
  <c r="J38" i="3" s="1"/>
  <c r="K36" i="3"/>
  <c r="K38" i="3" s="1"/>
  <c r="L36" i="3"/>
  <c r="L38" i="3" s="1"/>
  <c r="F36" i="3"/>
  <c r="F38" i="3" s="1"/>
  <c r="G36" i="3"/>
  <c r="G38" i="3" s="1"/>
  <c r="H36" i="3"/>
  <c r="H38" i="3" s="1"/>
  <c r="B36" i="3"/>
  <c r="B38" i="3" s="1"/>
  <c r="C36" i="3"/>
  <c r="C38" i="3" s="1"/>
  <c r="D36" i="3"/>
  <c r="D38" i="3" s="1"/>
  <c r="C14" i="88"/>
  <c r="N11" i="1" s="1"/>
  <c r="D14" i="88"/>
  <c r="O11" i="1" s="1"/>
  <c r="C15" i="88"/>
  <c r="D15" i="88"/>
  <c r="E15" i="88"/>
  <c r="P11" i="3" s="1"/>
  <c r="P12" i="3" s="1"/>
  <c r="C17" i="88"/>
  <c r="N11" i="2" s="1"/>
  <c r="D17" i="88"/>
  <c r="O11" i="2" s="1"/>
  <c r="E17" i="88"/>
  <c r="P11" i="2" s="1"/>
  <c r="C18" i="88"/>
  <c r="N11" i="4" s="1"/>
  <c r="D18" i="88"/>
  <c r="O11" i="4" s="1"/>
  <c r="E18" i="88"/>
  <c r="P11" i="4" s="1"/>
  <c r="C19" i="88"/>
  <c r="N11" i="5" s="1"/>
  <c r="D19" i="88"/>
  <c r="O11" i="5" s="1"/>
  <c r="E19" i="88"/>
  <c r="P11" i="5" s="1"/>
  <c r="C4" i="88"/>
  <c r="N4" i="1" s="1"/>
  <c r="D4" i="88"/>
  <c r="O4" i="1" s="1"/>
  <c r="E4" i="88"/>
  <c r="P4" i="1" s="1"/>
  <c r="C5" i="88"/>
  <c r="D5" i="88"/>
  <c r="O4" i="3" s="1"/>
  <c r="E5" i="88"/>
  <c r="P4" i="3" s="1"/>
  <c r="C7" i="88"/>
  <c r="N4" i="2" s="1"/>
  <c r="N5" i="2" s="1"/>
  <c r="N23" i="2" s="1"/>
  <c r="D7" i="88"/>
  <c r="O4" i="2" s="1"/>
  <c r="E7" i="88"/>
  <c r="P4" i="2" s="1"/>
  <c r="C8" i="88"/>
  <c r="N4" i="4" s="1"/>
  <c r="D8" i="88"/>
  <c r="O4" i="4" s="1"/>
  <c r="E8" i="88"/>
  <c r="P4" i="4" s="1"/>
  <c r="C9" i="88"/>
  <c r="D9" i="88"/>
  <c r="O4" i="5" s="1"/>
  <c r="E9" i="88"/>
  <c r="P4" i="5" s="1"/>
  <c r="N6" i="70"/>
  <c r="E60" i="6"/>
  <c r="E59" i="6"/>
  <c r="E58" i="6"/>
  <c r="E55" i="6"/>
  <c r="E54" i="6"/>
  <c r="E53" i="6"/>
  <c r="E52" i="6"/>
  <c r="E51" i="6"/>
  <c r="E50" i="6"/>
  <c r="E49" i="6"/>
  <c r="E48" i="6"/>
  <c r="I60" i="6"/>
  <c r="I59" i="6"/>
  <c r="I58" i="6"/>
  <c r="I55" i="6"/>
  <c r="I54" i="6"/>
  <c r="I53" i="6"/>
  <c r="I52" i="6"/>
  <c r="I51" i="6"/>
  <c r="I50" i="6"/>
  <c r="Q50" i="6"/>
  <c r="M50" i="6"/>
  <c r="I49" i="6"/>
  <c r="I48" i="6"/>
  <c r="M60" i="6"/>
  <c r="M59" i="6"/>
  <c r="M58" i="6"/>
  <c r="M55" i="6"/>
  <c r="M54" i="6"/>
  <c r="Q54" i="6"/>
  <c r="M53" i="6"/>
  <c r="M52" i="6"/>
  <c r="Q52" i="6"/>
  <c r="M51" i="6"/>
  <c r="M49" i="6"/>
  <c r="M48" i="6"/>
  <c r="Q49" i="6"/>
  <c r="Q51" i="6"/>
  <c r="Q53" i="6"/>
  <c r="Q55" i="6"/>
  <c r="Q58" i="6"/>
  <c r="Q59" i="6"/>
  <c r="Q60" i="6"/>
  <c r="Q48" i="6"/>
  <c r="E13" i="88"/>
  <c r="P11" i="6" s="1"/>
  <c r="D13" i="88"/>
  <c r="O11" i="6" s="1"/>
  <c r="C13" i="88"/>
  <c r="N11" i="6" s="1"/>
  <c r="D3" i="88"/>
  <c r="O4" i="6" s="1"/>
  <c r="C3" i="88"/>
  <c r="O13" i="4"/>
  <c r="D13" i="5"/>
  <c r="C13" i="5"/>
  <c r="H13" i="5"/>
  <c r="G13" i="5"/>
  <c r="L13" i="5"/>
  <c r="K13" i="5"/>
  <c r="J13" i="5"/>
  <c r="J14" i="5" s="1"/>
  <c r="P13" i="5"/>
  <c r="O13" i="5"/>
  <c r="N13" i="5"/>
  <c r="N14" i="5" s="1"/>
  <c r="N30" i="5" s="1"/>
  <c r="D13" i="4"/>
  <c r="C13" i="4"/>
  <c r="B13" i="4"/>
  <c r="H13" i="4"/>
  <c r="G13" i="4"/>
  <c r="L13" i="4"/>
  <c r="K13" i="4"/>
  <c r="J13" i="4"/>
  <c r="J14" i="4" s="1"/>
  <c r="P13" i="4"/>
  <c r="N13" i="4"/>
  <c r="N14" i="4" s="1"/>
  <c r="N30" i="4" s="1"/>
  <c r="D13" i="3"/>
  <c r="C13" i="3"/>
  <c r="H13" i="3"/>
  <c r="G13" i="3"/>
  <c r="L13" i="3"/>
  <c r="K13" i="3"/>
  <c r="J13" i="3"/>
  <c r="P13" i="3"/>
  <c r="P14" i="3" s="1"/>
  <c r="O13" i="3"/>
  <c r="N13" i="3"/>
  <c r="D13" i="1"/>
  <c r="D13" i="2"/>
  <c r="D13" i="6"/>
  <c r="C13" i="1"/>
  <c r="H13" i="1"/>
  <c r="G13" i="1"/>
  <c r="L13" i="1"/>
  <c r="K13" i="1"/>
  <c r="J13" i="1"/>
  <c r="J14" i="1" s="1"/>
  <c r="P13" i="1"/>
  <c r="O13" i="1"/>
  <c r="N13" i="1"/>
  <c r="C13" i="6"/>
  <c r="H13" i="6"/>
  <c r="G13" i="6"/>
  <c r="L13" i="6"/>
  <c r="K13" i="6"/>
  <c r="J13" i="6"/>
  <c r="J13" i="2"/>
  <c r="C13" i="2"/>
  <c r="H13" i="2"/>
  <c r="G13" i="2"/>
  <c r="L13" i="2"/>
  <c r="K13" i="2"/>
  <c r="P13" i="2"/>
  <c r="O13" i="2"/>
  <c r="N13" i="2"/>
  <c r="N14" i="2" s="1"/>
  <c r="D6" i="5"/>
  <c r="C6" i="5"/>
  <c r="H6" i="5"/>
  <c r="G6" i="5"/>
  <c r="L6" i="5"/>
  <c r="K6" i="5"/>
  <c r="J6" i="5"/>
  <c r="P6" i="5"/>
  <c r="O6" i="5"/>
  <c r="N6" i="5"/>
  <c r="N7" i="5" s="1"/>
  <c r="D6" i="4"/>
  <c r="C6" i="4"/>
  <c r="H6" i="4"/>
  <c r="G6" i="4"/>
  <c r="L6" i="4"/>
  <c r="L18" i="4" s="1"/>
  <c r="K6" i="4"/>
  <c r="J6" i="4"/>
  <c r="J7" i="4" s="1"/>
  <c r="O6" i="4"/>
  <c r="N6" i="4"/>
  <c r="N7" i="4" s="1"/>
  <c r="N24" i="4" s="1"/>
  <c r="D6" i="3"/>
  <c r="C6" i="3"/>
  <c r="H6" i="3"/>
  <c r="G6" i="3"/>
  <c r="L6" i="3"/>
  <c r="K6" i="3"/>
  <c r="J6" i="3"/>
  <c r="P6" i="3"/>
  <c r="P7" i="3" s="1"/>
  <c r="O6" i="3"/>
  <c r="N6" i="3"/>
  <c r="D6" i="1"/>
  <c r="C6" i="1"/>
  <c r="B6" i="1"/>
  <c r="H6" i="1"/>
  <c r="G6" i="1"/>
  <c r="D6" i="6"/>
  <c r="C6" i="6"/>
  <c r="H6" i="6"/>
  <c r="G6" i="6"/>
  <c r="L6" i="6"/>
  <c r="K6" i="6"/>
  <c r="J6" i="6"/>
  <c r="J7" i="6" s="1"/>
  <c r="J24" i="6" s="1"/>
  <c r="P6" i="6"/>
  <c r="O6" i="6"/>
  <c r="D6" i="2"/>
  <c r="H6" i="2"/>
  <c r="G6" i="2"/>
  <c r="K6" i="2"/>
  <c r="J6" i="2"/>
  <c r="J7" i="2" s="1"/>
  <c r="J24" i="2" s="1"/>
  <c r="P6" i="2"/>
  <c r="O6" i="2"/>
  <c r="N6" i="2"/>
  <c r="P36" i="2"/>
  <c r="P38" i="2" s="1"/>
  <c r="O36" i="2"/>
  <c r="O38" i="2" s="1"/>
  <c r="N36" i="2"/>
  <c r="N38" i="2" s="1"/>
  <c r="H19" i="70"/>
  <c r="H22" i="102" s="1"/>
  <c r="J19" i="70"/>
  <c r="J22" i="102" s="1"/>
  <c r="C19" i="70"/>
  <c r="C22" i="102" s="1"/>
  <c r="D19" i="70"/>
  <c r="D22" i="102" s="1"/>
  <c r="F19" i="70"/>
  <c r="F22" i="102" s="1"/>
  <c r="H6" i="70"/>
  <c r="H6" i="102" s="1"/>
  <c r="B19" i="70"/>
  <c r="D6" i="70"/>
  <c r="D6" i="102" s="1"/>
  <c r="O6" i="70"/>
  <c r="O6" i="102" s="1"/>
  <c r="F6" i="70"/>
  <c r="G6" i="70"/>
  <c r="G6" i="102" s="1"/>
  <c r="J6" i="70"/>
  <c r="D36" i="5"/>
  <c r="D38" i="5" s="1"/>
  <c r="C36" i="5"/>
  <c r="C38" i="5" s="1"/>
  <c r="B36" i="5"/>
  <c r="B38" i="5" s="1"/>
  <c r="H36" i="5"/>
  <c r="H38" i="5" s="1"/>
  <c r="G36" i="5"/>
  <c r="G38" i="5" s="1"/>
  <c r="F36" i="5"/>
  <c r="F38" i="5" s="1"/>
  <c r="L36" i="5"/>
  <c r="L38" i="5" s="1"/>
  <c r="K36" i="5"/>
  <c r="K38" i="5" s="1"/>
  <c r="J36" i="5"/>
  <c r="J38" i="5" s="1"/>
  <c r="P36" i="5"/>
  <c r="P38" i="5" s="1"/>
  <c r="O36" i="5"/>
  <c r="O38" i="5" s="1"/>
  <c r="N36" i="5"/>
  <c r="N38" i="5" s="1"/>
  <c r="D26" i="5"/>
  <c r="C26" i="5"/>
  <c r="B26" i="5"/>
  <c r="H26" i="5"/>
  <c r="G26" i="5"/>
  <c r="F26" i="5"/>
  <c r="L26" i="5"/>
  <c r="K26" i="5"/>
  <c r="J26" i="5"/>
  <c r="P26" i="5"/>
  <c r="O26" i="5"/>
  <c r="N26" i="5"/>
  <c r="D36" i="4"/>
  <c r="D38" i="4" s="1"/>
  <c r="C36" i="4"/>
  <c r="C38" i="4" s="1"/>
  <c r="B36" i="4"/>
  <c r="B38" i="4" s="1"/>
  <c r="H36" i="4"/>
  <c r="H38" i="4" s="1"/>
  <c r="G36" i="4"/>
  <c r="G38" i="4" s="1"/>
  <c r="F36" i="4"/>
  <c r="F38" i="4" s="1"/>
  <c r="L36" i="4"/>
  <c r="L38" i="4" s="1"/>
  <c r="K36" i="4"/>
  <c r="K38" i="4" s="1"/>
  <c r="J36" i="4"/>
  <c r="J38" i="4" s="1"/>
  <c r="P36" i="4"/>
  <c r="P38" i="4" s="1"/>
  <c r="O36" i="4"/>
  <c r="O38" i="4" s="1"/>
  <c r="N36" i="4"/>
  <c r="N38" i="4" s="1"/>
  <c r="D36" i="2"/>
  <c r="D38" i="2" s="1"/>
  <c r="C36" i="2"/>
  <c r="C38" i="2" s="1"/>
  <c r="B36" i="2"/>
  <c r="B38" i="2" s="1"/>
  <c r="H36" i="2"/>
  <c r="H38" i="2" s="1"/>
  <c r="G36" i="2"/>
  <c r="G38" i="2" s="1"/>
  <c r="F36" i="2"/>
  <c r="F38" i="2" s="1"/>
  <c r="L36" i="2"/>
  <c r="L38" i="2" s="1"/>
  <c r="K36" i="2"/>
  <c r="K38" i="2" s="1"/>
  <c r="J36" i="2"/>
  <c r="J38" i="2" s="1"/>
  <c r="N26" i="3"/>
  <c r="H36" i="6"/>
  <c r="H38" i="6" s="1"/>
  <c r="G36" i="6"/>
  <c r="G38" i="6" s="1"/>
  <c r="F36" i="6"/>
  <c r="F38" i="6" s="1"/>
  <c r="L36" i="6"/>
  <c r="L38" i="6" s="1"/>
  <c r="K36" i="6"/>
  <c r="K38" i="6" s="1"/>
  <c r="J36" i="6"/>
  <c r="J38" i="6" s="1"/>
  <c r="P36" i="6"/>
  <c r="P38" i="6" s="1"/>
  <c r="O36" i="6"/>
  <c r="O38" i="6" s="1"/>
  <c r="N36" i="6"/>
  <c r="N38" i="6" s="1"/>
  <c r="B37" i="70"/>
  <c r="B36" i="6"/>
  <c r="B38" i="6" s="1"/>
  <c r="C36" i="6"/>
  <c r="C38" i="6" s="1"/>
  <c r="Q61" i="6"/>
  <c r="M61" i="6"/>
  <c r="E61" i="6"/>
  <c r="D36" i="6"/>
  <c r="D38" i="6" s="1"/>
  <c r="B6" i="4"/>
  <c r="B7" i="4" s="1"/>
  <c r="B24" i="4" s="1"/>
  <c r="B13" i="5"/>
  <c r="B13" i="2"/>
  <c r="B14" i="2" s="1"/>
  <c r="B30" i="2" s="1"/>
  <c r="B6" i="5"/>
  <c r="B7" i="5" s="1"/>
  <c r="B24" i="5" s="1"/>
  <c r="B6" i="3"/>
  <c r="B6" i="2"/>
  <c r="B13" i="6"/>
  <c r="B6" i="6"/>
  <c r="B13" i="3"/>
  <c r="M11" i="5" l="1"/>
  <c r="G56" i="70"/>
  <c r="H56" i="70"/>
  <c r="G18" i="1"/>
  <c r="G18" i="2"/>
  <c r="B18" i="1"/>
  <c r="L18" i="5"/>
  <c r="J8" i="3"/>
  <c r="P17" i="3"/>
  <c r="E6" i="70"/>
  <c r="K18" i="2"/>
  <c r="L18" i="2"/>
  <c r="G8" i="70"/>
  <c r="G8" i="102" s="1"/>
  <c r="G10" i="102" s="1"/>
  <c r="O8" i="70"/>
  <c r="N21" i="70"/>
  <c r="N24" i="102" s="1"/>
  <c r="N26" i="102" s="1"/>
  <c r="J6" i="102"/>
  <c r="M6" i="102" s="1"/>
  <c r="M6" i="70"/>
  <c r="F6" i="102"/>
  <c r="I6" i="102" s="1"/>
  <c r="I6" i="70"/>
  <c r="N6" i="102"/>
  <c r="Q6" i="102" s="1"/>
  <c r="Q6" i="70"/>
  <c r="B8" i="70"/>
  <c r="L21" i="70"/>
  <c r="L24" i="102" s="1"/>
  <c r="L26" i="102" s="1"/>
  <c r="D21" i="70"/>
  <c r="C8" i="70"/>
  <c r="H8" i="70"/>
  <c r="P8" i="70"/>
  <c r="P56" i="70"/>
  <c r="D8" i="70"/>
  <c r="K8" i="70"/>
  <c r="G21" i="70"/>
  <c r="C21" i="70"/>
  <c r="C24" i="102" s="1"/>
  <c r="H21" i="70"/>
  <c r="P21" i="70"/>
  <c r="F8" i="70"/>
  <c r="F10" i="70" s="1"/>
  <c r="L8" i="70"/>
  <c r="L8" i="102" s="1"/>
  <c r="K21" i="70"/>
  <c r="K24" i="102" s="1"/>
  <c r="K26" i="102" s="1"/>
  <c r="O21" i="70"/>
  <c r="F14" i="3"/>
  <c r="J21" i="70"/>
  <c r="F7" i="3"/>
  <c r="F24" i="3" s="1"/>
  <c r="J8" i="70"/>
  <c r="B7" i="3"/>
  <c r="B24" i="3" s="1"/>
  <c r="N8" i="70"/>
  <c r="J14" i="3"/>
  <c r="J30" i="3" s="1"/>
  <c r="F21" i="70"/>
  <c r="N14" i="3"/>
  <c r="N30" i="3" s="1"/>
  <c r="B21" i="70"/>
  <c r="N56" i="70"/>
  <c r="O56" i="70"/>
  <c r="O15" i="103"/>
  <c r="O12" i="103"/>
  <c r="P12" i="103" s="1"/>
  <c r="O15" i="88"/>
  <c r="O5" i="88"/>
  <c r="F11" i="6"/>
  <c r="F15" i="6" s="1"/>
  <c r="F4" i="2"/>
  <c r="F5" i="2" s="1"/>
  <c r="F4" i="4"/>
  <c r="F5" i="4" s="1"/>
  <c r="F11" i="4"/>
  <c r="F12" i="4" s="1"/>
  <c r="G12" i="4" s="1"/>
  <c r="F11" i="5"/>
  <c r="F12" i="5" s="1"/>
  <c r="G12" i="5" s="1"/>
  <c r="F11" i="1"/>
  <c r="I11" i="1" s="1"/>
  <c r="F4" i="6"/>
  <c r="F5" i="6" s="1"/>
  <c r="F4" i="5"/>
  <c r="F5" i="5" s="1"/>
  <c r="G5" i="5" s="1"/>
  <c r="F4" i="1"/>
  <c r="F8" i="1" s="1"/>
  <c r="F15" i="2"/>
  <c r="B39" i="88"/>
  <c r="J42" i="88" s="1"/>
  <c r="M4" i="1"/>
  <c r="Q11" i="103"/>
  <c r="P15" i="103"/>
  <c r="G18" i="3"/>
  <c r="G7" i="5"/>
  <c r="G24" i="5" s="1"/>
  <c r="R48" i="5"/>
  <c r="R77" i="5"/>
  <c r="B7" i="6"/>
  <c r="B24" i="6" s="1"/>
  <c r="D15" i="3"/>
  <c r="B5" i="103"/>
  <c r="B8" i="103"/>
  <c r="P8" i="3"/>
  <c r="O11" i="3"/>
  <c r="O15" i="3" s="1"/>
  <c r="H8" i="3"/>
  <c r="F11" i="3"/>
  <c r="F12" i="3" s="1"/>
  <c r="F4" i="3"/>
  <c r="F5" i="3" s="1"/>
  <c r="F23" i="3" s="1"/>
  <c r="H15" i="3"/>
  <c r="P15" i="3"/>
  <c r="G15" i="3"/>
  <c r="O8" i="3"/>
  <c r="N11" i="3"/>
  <c r="N15" i="3" s="1"/>
  <c r="G8" i="3"/>
  <c r="R49" i="5"/>
  <c r="D18" i="3"/>
  <c r="F18" i="5"/>
  <c r="H18" i="4"/>
  <c r="I13" i="4"/>
  <c r="R78" i="5"/>
  <c r="K14" i="1"/>
  <c r="L14" i="1" s="1"/>
  <c r="J18" i="3"/>
  <c r="M13" i="5"/>
  <c r="H18" i="1"/>
  <c r="H8" i="1"/>
  <c r="J18" i="1"/>
  <c r="C18" i="5"/>
  <c r="M6" i="5"/>
  <c r="E6" i="5"/>
  <c r="C2" i="101" s="1"/>
  <c r="I13" i="5"/>
  <c r="R60" i="2"/>
  <c r="M61" i="2"/>
  <c r="I61" i="2"/>
  <c r="E61" i="2"/>
  <c r="C18" i="2"/>
  <c r="R80" i="3"/>
  <c r="H18" i="3"/>
  <c r="J7" i="3"/>
  <c r="E6" i="6"/>
  <c r="I13" i="6"/>
  <c r="R82" i="6"/>
  <c r="D84" i="6" s="1"/>
  <c r="S83" i="6" s="1"/>
  <c r="G14" i="6"/>
  <c r="G30" i="6" s="1"/>
  <c r="T72" i="70"/>
  <c r="M6" i="4"/>
  <c r="C18" i="4"/>
  <c r="I61" i="4"/>
  <c r="R78" i="4"/>
  <c r="D10" i="88"/>
  <c r="C13" i="102" s="1"/>
  <c r="N4" i="3"/>
  <c r="N5" i="3" s="1"/>
  <c r="N4" i="5"/>
  <c r="N5" i="5" s="1"/>
  <c r="Q11" i="6"/>
  <c r="Q11" i="4"/>
  <c r="B7" i="70"/>
  <c r="B34" i="70" s="1"/>
  <c r="B6" i="102"/>
  <c r="N12" i="6"/>
  <c r="N29" i="6" s="1"/>
  <c r="N31" i="6" s="1"/>
  <c r="N33" i="6" s="1"/>
  <c r="N34" i="6" s="1"/>
  <c r="B20" i="70"/>
  <c r="C20" i="70" s="1"/>
  <c r="B22" i="102"/>
  <c r="I22" i="102"/>
  <c r="M22" i="102"/>
  <c r="P18" i="3"/>
  <c r="P18" i="2"/>
  <c r="O18" i="4"/>
  <c r="O7" i="1"/>
  <c r="P7" i="1" s="1"/>
  <c r="O18" i="1"/>
  <c r="R70" i="5"/>
  <c r="R77" i="4"/>
  <c r="Q61" i="2"/>
  <c r="N18" i="1"/>
  <c r="D18" i="2"/>
  <c r="D18" i="6"/>
  <c r="D18" i="1"/>
  <c r="D18" i="4"/>
  <c r="N14" i="1"/>
  <c r="O14" i="1" s="1"/>
  <c r="P14" i="1" s="1"/>
  <c r="E13" i="4"/>
  <c r="C18" i="3"/>
  <c r="H18" i="5"/>
  <c r="G18" i="6"/>
  <c r="F30" i="2"/>
  <c r="G14" i="2"/>
  <c r="G30" i="2" s="1"/>
  <c r="F24" i="2"/>
  <c r="G7" i="2"/>
  <c r="G24" i="2" s="1"/>
  <c r="F18" i="4"/>
  <c r="G14" i="5"/>
  <c r="H14" i="5" s="1"/>
  <c r="F18" i="3"/>
  <c r="F18" i="6"/>
  <c r="L8" i="6"/>
  <c r="L8" i="1"/>
  <c r="M13" i="2"/>
  <c r="L18" i="3"/>
  <c r="K18" i="4"/>
  <c r="M13" i="4"/>
  <c r="K8" i="4"/>
  <c r="K8" i="1"/>
  <c r="J18" i="6"/>
  <c r="J14" i="2"/>
  <c r="K14" i="2" s="1"/>
  <c r="K30" i="2" s="1"/>
  <c r="P18" i="1"/>
  <c r="O8" i="1"/>
  <c r="Q13" i="6"/>
  <c r="O18" i="6"/>
  <c r="O14" i="2"/>
  <c r="O30" i="2" s="1"/>
  <c r="Q13" i="5"/>
  <c r="Q6" i="2"/>
  <c r="N18" i="2"/>
  <c r="O18" i="2"/>
  <c r="N18" i="5"/>
  <c r="N18" i="4"/>
  <c r="N19" i="4"/>
  <c r="R77" i="2"/>
  <c r="R76" i="2"/>
  <c r="R78" i="2"/>
  <c r="R82" i="5"/>
  <c r="S83" i="5" s="1"/>
  <c r="R65" i="5"/>
  <c r="R81" i="5"/>
  <c r="R76" i="5"/>
  <c r="R50" i="5"/>
  <c r="M61" i="5"/>
  <c r="R54" i="5"/>
  <c r="N19" i="5"/>
  <c r="O7" i="5"/>
  <c r="N24" i="5"/>
  <c r="O14" i="5"/>
  <c r="Q6" i="5"/>
  <c r="R51" i="5"/>
  <c r="R52" i="5"/>
  <c r="R53" i="5"/>
  <c r="F19" i="5"/>
  <c r="K18" i="5"/>
  <c r="D18" i="5"/>
  <c r="K14" i="5"/>
  <c r="L14" i="5" s="1"/>
  <c r="L30" i="5" s="1"/>
  <c r="J7" i="5"/>
  <c r="J19" i="5" s="1"/>
  <c r="J18" i="5"/>
  <c r="G18" i="5"/>
  <c r="R55" i="5"/>
  <c r="R58" i="5"/>
  <c r="R71" i="5"/>
  <c r="R80" i="5"/>
  <c r="L15" i="5"/>
  <c r="P15" i="5"/>
  <c r="L8" i="5"/>
  <c r="P18" i="5"/>
  <c r="O18" i="5"/>
  <c r="R60" i="5"/>
  <c r="Q61" i="5"/>
  <c r="I61" i="5"/>
  <c r="E61" i="5"/>
  <c r="R75" i="4"/>
  <c r="R82" i="4"/>
  <c r="S83" i="4" s="1"/>
  <c r="R70" i="4"/>
  <c r="R65" i="4"/>
  <c r="R51" i="4"/>
  <c r="R55" i="4"/>
  <c r="R58" i="4"/>
  <c r="M61" i="4"/>
  <c r="R49" i="4"/>
  <c r="R59" i="4"/>
  <c r="R60" i="4"/>
  <c r="R53" i="4"/>
  <c r="K7" i="4"/>
  <c r="K24" i="4" s="1"/>
  <c r="J24" i="4"/>
  <c r="P18" i="4"/>
  <c r="G18" i="4"/>
  <c r="E61" i="4"/>
  <c r="R71" i="4"/>
  <c r="H8" i="4"/>
  <c r="R64" i="4"/>
  <c r="R48" i="4"/>
  <c r="R54" i="4"/>
  <c r="R81" i="4"/>
  <c r="L8" i="4"/>
  <c r="R50" i="2"/>
  <c r="J18" i="2"/>
  <c r="N7" i="2"/>
  <c r="N24" i="2" s="1"/>
  <c r="N25" i="2" s="1"/>
  <c r="N27" i="2" s="1"/>
  <c r="N28" i="2" s="1"/>
  <c r="R55" i="2"/>
  <c r="K7" i="2"/>
  <c r="L7" i="2" s="1"/>
  <c r="I13" i="2"/>
  <c r="Q13" i="2"/>
  <c r="R54" i="2"/>
  <c r="R65" i="2"/>
  <c r="R71" i="2"/>
  <c r="R80" i="2"/>
  <c r="R82" i="2"/>
  <c r="D84" i="2" s="1"/>
  <c r="S83" i="2" s="1"/>
  <c r="F19" i="2"/>
  <c r="M6" i="2"/>
  <c r="I6" i="2"/>
  <c r="P8" i="2"/>
  <c r="R49" i="2"/>
  <c r="R51" i="2"/>
  <c r="R59" i="2"/>
  <c r="R64" i="2"/>
  <c r="R70" i="2"/>
  <c r="R75" i="2"/>
  <c r="H15" i="2"/>
  <c r="F18" i="2"/>
  <c r="K14" i="4"/>
  <c r="J30" i="4"/>
  <c r="J19" i="4"/>
  <c r="H20" i="88"/>
  <c r="H29" i="102" s="1"/>
  <c r="Q13" i="4"/>
  <c r="B18" i="2"/>
  <c r="P15" i="6"/>
  <c r="J16" i="4"/>
  <c r="E10" i="88"/>
  <c r="D13" i="102" s="1"/>
  <c r="J30" i="5"/>
  <c r="Q13" i="3"/>
  <c r="Q6" i="4"/>
  <c r="E13" i="3"/>
  <c r="J18" i="4"/>
  <c r="N7" i="3"/>
  <c r="N24" i="3" s="1"/>
  <c r="Q6" i="1"/>
  <c r="C18" i="1"/>
  <c r="C7" i="5"/>
  <c r="G14" i="1"/>
  <c r="H14" i="1" s="1"/>
  <c r="B14" i="4"/>
  <c r="B18" i="4"/>
  <c r="O14" i="4"/>
  <c r="O30" i="4" s="1"/>
  <c r="P8" i="4"/>
  <c r="O8" i="2"/>
  <c r="R52" i="4"/>
  <c r="Q61" i="4"/>
  <c r="R80" i="4"/>
  <c r="R64" i="5"/>
  <c r="R75" i="5"/>
  <c r="G20" i="88"/>
  <c r="G29" i="102" s="1"/>
  <c r="F7" i="4"/>
  <c r="G7" i="4" s="1"/>
  <c r="I6" i="4"/>
  <c r="R75" i="3"/>
  <c r="H10" i="88"/>
  <c r="H13" i="102" s="1"/>
  <c r="D20" i="88"/>
  <c r="C29" i="102" s="1"/>
  <c r="H8" i="6"/>
  <c r="K10" i="88"/>
  <c r="L13" i="102" s="1"/>
  <c r="G14" i="4"/>
  <c r="C14" i="2"/>
  <c r="E13" i="2"/>
  <c r="B7" i="2"/>
  <c r="B14" i="5"/>
  <c r="B30" i="5" s="1"/>
  <c r="E13" i="5"/>
  <c r="Q6" i="3"/>
  <c r="L18" i="1"/>
  <c r="K18" i="3"/>
  <c r="N4" i="6"/>
  <c r="Q4" i="6" s="1"/>
  <c r="C10" i="88"/>
  <c r="B13" i="102" s="1"/>
  <c r="P15" i="4"/>
  <c r="R50" i="4"/>
  <c r="R59" i="5"/>
  <c r="G11" i="6"/>
  <c r="J20" i="88"/>
  <c r="K29" i="102" s="1"/>
  <c r="I20" i="88"/>
  <c r="J29" i="102" s="1"/>
  <c r="N30" i="2"/>
  <c r="C7" i="4"/>
  <c r="E6" i="4"/>
  <c r="C6" i="101" s="1"/>
  <c r="E6" i="3"/>
  <c r="C5" i="101" s="1"/>
  <c r="P18" i="6"/>
  <c r="E6" i="2"/>
  <c r="C4" i="101" s="1"/>
  <c r="O14" i="6"/>
  <c r="H18" i="2"/>
  <c r="O7" i="4"/>
  <c r="P7" i="4" s="1"/>
  <c r="N41" i="4" s="1"/>
  <c r="I6" i="5"/>
  <c r="B18" i="5"/>
  <c r="M13" i="3"/>
  <c r="K18" i="6"/>
  <c r="R48" i="2"/>
  <c r="R52" i="2"/>
  <c r="R53" i="2"/>
  <c r="R58" i="2"/>
  <c r="R76" i="4"/>
  <c r="I10" i="88"/>
  <c r="J13" i="102" s="1"/>
  <c r="E20" i="88"/>
  <c r="D29" i="102" s="1"/>
  <c r="I6" i="3"/>
  <c r="Q13" i="1"/>
  <c r="R13" i="1" s="1"/>
  <c r="P14" i="88" s="1"/>
  <c r="H15" i="1"/>
  <c r="I13" i="3"/>
  <c r="R58" i="6"/>
  <c r="P8" i="5"/>
  <c r="O8" i="4"/>
  <c r="K8" i="5"/>
  <c r="J8" i="4"/>
  <c r="K8" i="3"/>
  <c r="J15" i="5"/>
  <c r="L15" i="2"/>
  <c r="G8" i="5"/>
  <c r="H15" i="4"/>
  <c r="G15" i="2"/>
  <c r="F10" i="88"/>
  <c r="F13" i="102" s="1"/>
  <c r="J10" i="88"/>
  <c r="K13" i="102" s="1"/>
  <c r="F20" i="88"/>
  <c r="F29" i="102" s="1"/>
  <c r="C14" i="1"/>
  <c r="D14" i="1" s="1"/>
  <c r="K18" i="1"/>
  <c r="O8" i="5"/>
  <c r="R76" i="3"/>
  <c r="L8" i="2"/>
  <c r="L15" i="4"/>
  <c r="K15" i="2"/>
  <c r="H8" i="2"/>
  <c r="H15" i="5"/>
  <c r="R81" i="6"/>
  <c r="G10" i="88"/>
  <c r="G13" i="102" s="1"/>
  <c r="C20" i="88"/>
  <c r="B29" i="102" s="1"/>
  <c r="K20" i="88"/>
  <c r="L29" i="102" s="1"/>
  <c r="R65" i="3"/>
  <c r="K15" i="3"/>
  <c r="O18" i="3"/>
  <c r="B14" i="3"/>
  <c r="B30" i="3" s="1"/>
  <c r="R50" i="3"/>
  <c r="R52" i="3"/>
  <c r="R60" i="3"/>
  <c r="J15" i="3"/>
  <c r="M6" i="3"/>
  <c r="B18" i="3"/>
  <c r="N18" i="3"/>
  <c r="L8" i="3"/>
  <c r="L15" i="3"/>
  <c r="R64" i="3"/>
  <c r="P79" i="70"/>
  <c r="N63" i="70"/>
  <c r="R82" i="3"/>
  <c r="D84" i="3" s="1"/>
  <c r="S83" i="3" s="1"/>
  <c r="R77" i="3"/>
  <c r="R70" i="3"/>
  <c r="R78" i="3"/>
  <c r="R71" i="3"/>
  <c r="R81" i="3"/>
  <c r="R49" i="3"/>
  <c r="R59" i="3"/>
  <c r="R48" i="3"/>
  <c r="R61" i="3"/>
  <c r="R51" i="3"/>
  <c r="R54" i="3"/>
  <c r="R55" i="3"/>
  <c r="R58" i="3"/>
  <c r="R53" i="3"/>
  <c r="D56" i="70"/>
  <c r="R35" i="1"/>
  <c r="R60" i="6"/>
  <c r="R52" i="6"/>
  <c r="R50" i="6"/>
  <c r="R51" i="6"/>
  <c r="R53" i="6"/>
  <c r="R55" i="6"/>
  <c r="R50" i="70"/>
  <c r="R48" i="6"/>
  <c r="R54" i="6"/>
  <c r="R49" i="6"/>
  <c r="R65" i="6"/>
  <c r="H81" i="70"/>
  <c r="R77" i="6"/>
  <c r="J63" i="70"/>
  <c r="L81" i="70"/>
  <c r="R64" i="6"/>
  <c r="R78" i="6"/>
  <c r="R71" i="6"/>
  <c r="R75" i="6"/>
  <c r="R80" i="6"/>
  <c r="P81" i="70"/>
  <c r="R76" i="6"/>
  <c r="R60" i="70"/>
  <c r="R75" i="70"/>
  <c r="R78" i="70"/>
  <c r="R45" i="1"/>
  <c r="R52" i="1"/>
  <c r="R39" i="1"/>
  <c r="R50" i="1"/>
  <c r="R55" i="1"/>
  <c r="R38" i="1"/>
  <c r="R49" i="1"/>
  <c r="R54" i="1"/>
  <c r="R44" i="1"/>
  <c r="R51" i="1"/>
  <c r="R56" i="1"/>
  <c r="D58" i="1" s="1"/>
  <c r="S57" i="1" s="1"/>
  <c r="D80" i="70"/>
  <c r="D79" i="70"/>
  <c r="K7" i="1"/>
  <c r="J19" i="1"/>
  <c r="G7" i="1"/>
  <c r="F19" i="1"/>
  <c r="H80" i="70"/>
  <c r="R6" i="1"/>
  <c r="P4" i="88" s="1"/>
  <c r="R71" i="70"/>
  <c r="L79" i="70"/>
  <c r="B7" i="1"/>
  <c r="B19" i="1" s="1"/>
  <c r="F18" i="1"/>
  <c r="R46" i="70"/>
  <c r="R47" i="70"/>
  <c r="L15" i="1"/>
  <c r="G8" i="1"/>
  <c r="P80" i="70"/>
  <c r="P15" i="1"/>
  <c r="H79" i="70"/>
  <c r="B14" i="6"/>
  <c r="C56" i="70"/>
  <c r="N7" i="6"/>
  <c r="N18" i="6"/>
  <c r="K7" i="6"/>
  <c r="L7" i="6" s="1"/>
  <c r="M6" i="6"/>
  <c r="J14" i="6"/>
  <c r="J17" i="6" s="1"/>
  <c r="R72" i="70"/>
  <c r="B56" i="70"/>
  <c r="Q6" i="6"/>
  <c r="C18" i="6"/>
  <c r="M13" i="6"/>
  <c r="R48" i="70"/>
  <c r="R44" i="70"/>
  <c r="R43" i="70"/>
  <c r="R45" i="70"/>
  <c r="L18" i="6"/>
  <c r="R59" i="6"/>
  <c r="B18" i="6"/>
  <c r="R61" i="6"/>
  <c r="R49" i="70"/>
  <c r="D81" i="70"/>
  <c r="R70" i="6"/>
  <c r="E13" i="6"/>
  <c r="H18" i="6"/>
  <c r="R70" i="70"/>
  <c r="R74" i="70"/>
  <c r="L80" i="70"/>
  <c r="F7" i="6"/>
  <c r="I6" i="6"/>
  <c r="N15" i="6"/>
  <c r="O8" i="6"/>
  <c r="K8" i="6"/>
  <c r="J23" i="3"/>
  <c r="N15" i="5"/>
  <c r="N12" i="5"/>
  <c r="N17" i="5" s="1"/>
  <c r="J5" i="5"/>
  <c r="J8" i="5"/>
  <c r="J29" i="6"/>
  <c r="K12" i="6"/>
  <c r="J29" i="2"/>
  <c r="K12" i="2"/>
  <c r="J15" i="6"/>
  <c r="J15" i="2"/>
  <c r="M4" i="6"/>
  <c r="M4" i="2"/>
  <c r="M11" i="6"/>
  <c r="N8" i="2"/>
  <c r="R19" i="70"/>
  <c r="J12" i="1"/>
  <c r="K12" i="1" s="1"/>
  <c r="J15" i="1"/>
  <c r="F26" i="70"/>
  <c r="O15" i="4"/>
  <c r="N12" i="2"/>
  <c r="N15" i="2"/>
  <c r="J17" i="4"/>
  <c r="J15" i="4"/>
  <c r="J12" i="5"/>
  <c r="L15" i="6"/>
  <c r="H15" i="6"/>
  <c r="N5" i="1"/>
  <c r="O5" i="1" s="1"/>
  <c r="N8" i="1"/>
  <c r="K5" i="3"/>
  <c r="L5" i="3" s="1"/>
  <c r="K12" i="4"/>
  <c r="M4" i="3"/>
  <c r="J29" i="4"/>
  <c r="J8" i="6"/>
  <c r="K15" i="6"/>
  <c r="F13" i="70"/>
  <c r="M4" i="5"/>
  <c r="J5" i="6"/>
  <c r="P15" i="2"/>
  <c r="N15" i="1"/>
  <c r="N12" i="1"/>
  <c r="J5" i="4"/>
  <c r="K5" i="4" s="1"/>
  <c r="M4" i="4"/>
  <c r="B12" i="3"/>
  <c r="B15" i="3"/>
  <c r="R6" i="70"/>
  <c r="P8" i="6"/>
  <c r="Q4" i="4"/>
  <c r="N8" i="4"/>
  <c r="N5" i="4"/>
  <c r="H8" i="5"/>
  <c r="O15" i="6"/>
  <c r="O5" i="2"/>
  <c r="P8" i="1"/>
  <c r="O15" i="5"/>
  <c r="Q11" i="5"/>
  <c r="N15" i="4"/>
  <c r="N12" i="4"/>
  <c r="O12" i="4" s="1"/>
  <c r="P12" i="4" s="1"/>
  <c r="O15" i="1"/>
  <c r="Q11" i="1"/>
  <c r="R11" i="1" s="1"/>
  <c r="G8" i="2"/>
  <c r="G15" i="5"/>
  <c r="G8" i="6"/>
  <c r="G15" i="1"/>
  <c r="Q4" i="2"/>
  <c r="J5" i="1"/>
  <c r="K5" i="1" s="1"/>
  <c r="L5" i="1" s="1"/>
  <c r="J8" i="1"/>
  <c r="K15" i="1"/>
  <c r="Q4" i="1"/>
  <c r="R4" i="1" s="1"/>
  <c r="K8" i="2"/>
  <c r="K15" i="5"/>
  <c r="K15" i="4"/>
  <c r="M11" i="4"/>
  <c r="M11" i="2"/>
  <c r="J12" i="3"/>
  <c r="M11" i="3"/>
  <c r="G8" i="4"/>
  <c r="G15" i="4"/>
  <c r="Q11" i="2"/>
  <c r="O15" i="2"/>
  <c r="J8" i="2"/>
  <c r="J5" i="2"/>
  <c r="K5" i="2" s="1"/>
  <c r="H17" i="70"/>
  <c r="F4" i="70"/>
  <c r="K14" i="3" l="1"/>
  <c r="F8" i="2"/>
  <c r="F25" i="3"/>
  <c r="F27" i="3" s="1"/>
  <c r="F28" i="3" s="1"/>
  <c r="G7" i="3"/>
  <c r="G24" i="3" s="1"/>
  <c r="I11" i="4"/>
  <c r="F5" i="1"/>
  <c r="F9" i="1" s="1"/>
  <c r="E13" i="102"/>
  <c r="F17" i="3"/>
  <c r="C7" i="3"/>
  <c r="D7" i="3" s="1"/>
  <c r="B41" i="3" s="1"/>
  <c r="F9" i="3"/>
  <c r="F19" i="3"/>
  <c r="I4" i="2"/>
  <c r="L24" i="2"/>
  <c r="J41" i="2"/>
  <c r="F15" i="4"/>
  <c r="F12" i="6"/>
  <c r="F17" i="6" s="1"/>
  <c r="F30" i="3"/>
  <c r="G14" i="3"/>
  <c r="G30" i="3" s="1"/>
  <c r="O14" i="3"/>
  <c r="P30" i="3" s="1"/>
  <c r="F8" i="5"/>
  <c r="I4" i="5"/>
  <c r="P57" i="70"/>
  <c r="F15" i="1"/>
  <c r="F12" i="1"/>
  <c r="G12" i="1" s="1"/>
  <c r="E21" i="70"/>
  <c r="Q21" i="70"/>
  <c r="Q18" i="70" s="1"/>
  <c r="H57" i="70"/>
  <c r="H29" i="70"/>
  <c r="J8" i="102"/>
  <c r="J10" i="102" s="1"/>
  <c r="J29" i="70"/>
  <c r="Q8" i="70"/>
  <c r="C3" i="101"/>
  <c r="R6" i="6"/>
  <c r="P3" i="88" s="1"/>
  <c r="N17" i="6"/>
  <c r="I11" i="2"/>
  <c r="T6" i="70"/>
  <c r="T5" i="70" s="1"/>
  <c r="S6" i="70"/>
  <c r="S5" i="70" s="1"/>
  <c r="F8" i="4"/>
  <c r="I4" i="1"/>
  <c r="O16" i="103"/>
  <c r="O17" i="103"/>
  <c r="O29" i="103"/>
  <c r="O31" i="103" s="1"/>
  <c r="O33" i="103" s="1"/>
  <c r="O34" i="103" s="1"/>
  <c r="O39" i="103" s="1"/>
  <c r="G5" i="6"/>
  <c r="H5" i="6" s="1"/>
  <c r="F23" i="6"/>
  <c r="F9" i="6"/>
  <c r="F8" i="6"/>
  <c r="I4" i="4"/>
  <c r="F15" i="5"/>
  <c r="F12" i="2"/>
  <c r="I11" i="5"/>
  <c r="N12" i="3"/>
  <c r="N16" i="3" s="1"/>
  <c r="C7" i="6"/>
  <c r="D7" i="6" s="1"/>
  <c r="B41" i="6" s="1"/>
  <c r="N16" i="6"/>
  <c r="G15" i="6"/>
  <c r="F10" i="3"/>
  <c r="I11" i="3"/>
  <c r="G12" i="3"/>
  <c r="I4" i="3"/>
  <c r="F8" i="3"/>
  <c r="P29" i="103"/>
  <c r="P31" i="103" s="1"/>
  <c r="P33" i="103" s="1"/>
  <c r="P34" i="103" s="1"/>
  <c r="P39" i="103" s="1"/>
  <c r="P17" i="103"/>
  <c r="P16" i="103"/>
  <c r="E11" i="3"/>
  <c r="G30" i="5"/>
  <c r="H7" i="5"/>
  <c r="F41" i="5" s="1"/>
  <c r="G10" i="5"/>
  <c r="N5" i="6"/>
  <c r="N23" i="6" s="1"/>
  <c r="S82" i="5"/>
  <c r="H14" i="6"/>
  <c r="H30" i="6" s="1"/>
  <c r="H7" i="2"/>
  <c r="C15" i="3"/>
  <c r="F29" i="3"/>
  <c r="B26" i="70"/>
  <c r="C26" i="70" s="1"/>
  <c r="C27" i="70" s="1"/>
  <c r="F15" i="3"/>
  <c r="F16" i="3"/>
  <c r="Q11" i="3"/>
  <c r="D8" i="103"/>
  <c r="G5" i="3"/>
  <c r="H5" i="3" s="1"/>
  <c r="E11" i="103"/>
  <c r="B12" i="103"/>
  <c r="B15" i="103"/>
  <c r="K15" i="103"/>
  <c r="L15" i="103"/>
  <c r="M11" i="103"/>
  <c r="J15" i="103"/>
  <c r="J12" i="103"/>
  <c r="K12" i="103" s="1"/>
  <c r="C15" i="103"/>
  <c r="K8" i="103"/>
  <c r="C8" i="103"/>
  <c r="C5" i="103"/>
  <c r="M4" i="103"/>
  <c r="J8" i="103"/>
  <c r="J5" i="103"/>
  <c r="K5" i="103" s="1"/>
  <c r="L8" i="103"/>
  <c r="E4" i="103"/>
  <c r="D15" i="103"/>
  <c r="O12" i="6"/>
  <c r="O29" i="6" s="1"/>
  <c r="B9" i="103"/>
  <c r="B23" i="103"/>
  <c r="B25" i="103" s="1"/>
  <c r="B27" i="103" s="1"/>
  <c r="B28" i="103" s="1"/>
  <c r="B10" i="103"/>
  <c r="K30" i="3"/>
  <c r="F10" i="6"/>
  <c r="Q4" i="3"/>
  <c r="H14" i="2"/>
  <c r="H30" i="2" s="1"/>
  <c r="G19" i="5"/>
  <c r="R61" i="2"/>
  <c r="K16" i="4"/>
  <c r="J9" i="5"/>
  <c r="J16" i="2"/>
  <c r="L14" i="2"/>
  <c r="H30" i="5"/>
  <c r="Q4" i="5"/>
  <c r="L23" i="70"/>
  <c r="J17" i="2"/>
  <c r="J19" i="2"/>
  <c r="J30" i="2"/>
  <c r="J31" i="2" s="1"/>
  <c r="J33" i="2" s="1"/>
  <c r="J34" i="2" s="1"/>
  <c r="O7" i="2"/>
  <c r="O24" i="2" s="1"/>
  <c r="K16" i="2"/>
  <c r="J24" i="3"/>
  <c r="J25" i="3" s="1"/>
  <c r="J27" i="3" s="1"/>
  <c r="J28" i="3" s="1"/>
  <c r="J19" i="3"/>
  <c r="K7" i="3"/>
  <c r="J9" i="3"/>
  <c r="J10" i="3"/>
  <c r="T78" i="70"/>
  <c r="S82" i="6"/>
  <c r="J23" i="70"/>
  <c r="J24" i="102"/>
  <c r="J26" i="102" s="1"/>
  <c r="L10" i="70"/>
  <c r="H10" i="70"/>
  <c r="H8" i="102"/>
  <c r="P10" i="70"/>
  <c r="P8" i="102"/>
  <c r="O10" i="70"/>
  <c r="O8" i="102"/>
  <c r="F23" i="70"/>
  <c r="F24" i="102"/>
  <c r="F30" i="102" s="1"/>
  <c r="N10" i="70"/>
  <c r="N8" i="102"/>
  <c r="P23" i="70"/>
  <c r="P24" i="102"/>
  <c r="P26" i="102" s="1"/>
  <c r="G23" i="70"/>
  <c r="G24" i="102"/>
  <c r="G26" i="102" s="1"/>
  <c r="F8" i="102"/>
  <c r="F14" i="102" s="1"/>
  <c r="K23" i="70"/>
  <c r="O23" i="70"/>
  <c r="O24" i="102"/>
  <c r="O26" i="102" s="1"/>
  <c r="H23" i="70"/>
  <c r="H24" i="102"/>
  <c r="H26" i="102" s="1"/>
  <c r="K29" i="70"/>
  <c r="K8" i="102"/>
  <c r="N23" i="3"/>
  <c r="N25" i="3" s="1"/>
  <c r="N27" i="3" s="1"/>
  <c r="N28" i="3" s="1"/>
  <c r="O5" i="3"/>
  <c r="O23" i="3" s="1"/>
  <c r="B13" i="70"/>
  <c r="B14" i="70" s="1"/>
  <c r="N8" i="3"/>
  <c r="N9" i="5"/>
  <c r="N23" i="5"/>
  <c r="N25" i="5" s="1"/>
  <c r="N27" i="5" s="1"/>
  <c r="N28" i="5" s="1"/>
  <c r="N10" i="5"/>
  <c r="O5" i="5"/>
  <c r="O10" i="5" s="1"/>
  <c r="N8" i="5"/>
  <c r="E29" i="102"/>
  <c r="I29" i="102"/>
  <c r="C7" i="70"/>
  <c r="D7" i="70" s="1"/>
  <c r="M29" i="102"/>
  <c r="N8" i="6"/>
  <c r="E22" i="102"/>
  <c r="B23" i="102"/>
  <c r="C23" i="102" s="1"/>
  <c r="D23" i="102" s="1"/>
  <c r="F23" i="102" s="1"/>
  <c r="G23" i="102" s="1"/>
  <c r="H23" i="102" s="1"/>
  <c r="J23" i="102" s="1"/>
  <c r="K23" i="102" s="1"/>
  <c r="L23" i="102" s="1"/>
  <c r="N23" i="102" s="1"/>
  <c r="O23" i="102" s="1"/>
  <c r="P23" i="102" s="1"/>
  <c r="R22" i="102"/>
  <c r="R21" i="102" s="1"/>
  <c r="E6" i="102"/>
  <c r="B7" i="102"/>
  <c r="C7" i="102" s="1"/>
  <c r="D7" i="102" s="1"/>
  <c r="F7" i="102" s="1"/>
  <c r="G7" i="102" s="1"/>
  <c r="H7" i="102" s="1"/>
  <c r="J7" i="102" s="1"/>
  <c r="K7" i="102" s="1"/>
  <c r="L7" i="102" s="1"/>
  <c r="N7" i="102" s="1"/>
  <c r="O7" i="102" s="1"/>
  <c r="P7" i="102" s="1"/>
  <c r="R6" i="102"/>
  <c r="R5" i="102" s="1"/>
  <c r="T19" i="70"/>
  <c r="T18" i="70" s="1"/>
  <c r="S19" i="70"/>
  <c r="S18" i="70" s="1"/>
  <c r="F40" i="88"/>
  <c r="F39" i="88"/>
  <c r="D23" i="70"/>
  <c r="D24" i="102"/>
  <c r="D26" i="102" s="1"/>
  <c r="D10" i="70"/>
  <c r="D8" i="102"/>
  <c r="C23" i="70"/>
  <c r="C10" i="70"/>
  <c r="C8" i="102"/>
  <c r="C26" i="102"/>
  <c r="N10" i="3"/>
  <c r="N9" i="3"/>
  <c r="N19" i="3"/>
  <c r="N9" i="2"/>
  <c r="O30" i="3"/>
  <c r="B10" i="70"/>
  <c r="B8" i="102"/>
  <c r="B22" i="70"/>
  <c r="B24" i="70" s="1"/>
  <c r="B24" i="102"/>
  <c r="C30" i="102" s="1"/>
  <c r="N16" i="1"/>
  <c r="N19" i="1"/>
  <c r="B9" i="70"/>
  <c r="B11" i="70" s="1"/>
  <c r="R13" i="4"/>
  <c r="P18" i="88" s="1"/>
  <c r="R13" i="2"/>
  <c r="P17" i="88" s="1"/>
  <c r="G19" i="2"/>
  <c r="B4" i="101"/>
  <c r="D4" i="101" s="1"/>
  <c r="P19" i="1"/>
  <c r="P14" i="2"/>
  <c r="R13" i="5"/>
  <c r="P19" i="88" s="1"/>
  <c r="O19" i="1"/>
  <c r="O19" i="5"/>
  <c r="I11" i="6"/>
  <c r="B6" i="101"/>
  <c r="D6" i="101" s="1"/>
  <c r="B3" i="101"/>
  <c r="R6" i="3"/>
  <c r="P5" i="88" s="1"/>
  <c r="R5" i="88" s="1"/>
  <c r="O7" i="3"/>
  <c r="R76" i="70"/>
  <c r="F14" i="70"/>
  <c r="J24" i="5"/>
  <c r="K7" i="5"/>
  <c r="C14" i="5"/>
  <c r="C30" i="5" s="1"/>
  <c r="P14" i="5"/>
  <c r="O30" i="5"/>
  <c r="P7" i="5"/>
  <c r="N41" i="5" s="1"/>
  <c r="O24" i="5"/>
  <c r="K30" i="5"/>
  <c r="R61" i="5"/>
  <c r="R64" i="70"/>
  <c r="S82" i="4"/>
  <c r="R61" i="4"/>
  <c r="L7" i="4"/>
  <c r="J41" i="4" s="1"/>
  <c r="J31" i="4"/>
  <c r="J33" i="4" s="1"/>
  <c r="J34" i="4" s="1"/>
  <c r="M21" i="70"/>
  <c r="K19" i="4"/>
  <c r="N10" i="2"/>
  <c r="K10" i="70"/>
  <c r="K19" i="2"/>
  <c r="N19" i="2"/>
  <c r="N29" i="70"/>
  <c r="K24" i="2"/>
  <c r="P24" i="4"/>
  <c r="R13" i="3"/>
  <c r="P15" i="88" s="1"/>
  <c r="R15" i="88" s="1"/>
  <c r="I4" i="6"/>
  <c r="N29" i="5"/>
  <c r="N31" i="5" s="1"/>
  <c r="N33" i="5" s="1"/>
  <c r="N34" i="5" s="1"/>
  <c r="J10" i="70"/>
  <c r="P29" i="70"/>
  <c r="F29" i="70"/>
  <c r="O29" i="70"/>
  <c r="L14" i="3"/>
  <c r="B2" i="101"/>
  <c r="D2" i="101" s="1"/>
  <c r="R6" i="5"/>
  <c r="P9" i="88" s="1"/>
  <c r="P14" i="6"/>
  <c r="O30" i="6"/>
  <c r="C24" i="4"/>
  <c r="D7" i="4"/>
  <c r="B19" i="2"/>
  <c r="C7" i="2"/>
  <c r="B24" i="2"/>
  <c r="H7" i="4"/>
  <c r="F41" i="4" s="1"/>
  <c r="G24" i="4"/>
  <c r="G19" i="4"/>
  <c r="F24" i="4"/>
  <c r="F19" i="4"/>
  <c r="B30" i="4"/>
  <c r="C14" i="4"/>
  <c r="C19" i="4" s="1"/>
  <c r="B19" i="4"/>
  <c r="D7" i="5"/>
  <c r="B41" i="5" s="1"/>
  <c r="C24" i="5"/>
  <c r="R6" i="4"/>
  <c r="P8" i="88" s="1"/>
  <c r="S82" i="2"/>
  <c r="R6" i="2"/>
  <c r="P7" i="88" s="1"/>
  <c r="D14" i="2"/>
  <c r="C30" i="2"/>
  <c r="R77" i="70"/>
  <c r="T77" i="70" s="1"/>
  <c r="R13" i="6"/>
  <c r="P13" i="88" s="1"/>
  <c r="D29" i="70"/>
  <c r="C7" i="1"/>
  <c r="B19" i="3"/>
  <c r="O24" i="4"/>
  <c r="O19" i="4"/>
  <c r="F4" i="101"/>
  <c r="G30" i="4"/>
  <c r="H14" i="4"/>
  <c r="B19" i="5"/>
  <c r="K30" i="4"/>
  <c r="L14" i="4"/>
  <c r="P14" i="4"/>
  <c r="B23" i="70"/>
  <c r="R8" i="70"/>
  <c r="R5" i="70" s="1"/>
  <c r="B5" i="101"/>
  <c r="D5" i="101" s="1"/>
  <c r="B29" i="70"/>
  <c r="C14" i="3"/>
  <c r="R66" i="70"/>
  <c r="S82" i="3"/>
  <c r="L57" i="70"/>
  <c r="R68" i="70"/>
  <c r="S56" i="1"/>
  <c r="R69" i="70"/>
  <c r="F27" i="70"/>
  <c r="H7" i="1"/>
  <c r="H19" i="1" s="1"/>
  <c r="G19" i="1"/>
  <c r="R67" i="70"/>
  <c r="K19" i="1"/>
  <c r="L7" i="1"/>
  <c r="L19" i="1" s="1"/>
  <c r="D57" i="70"/>
  <c r="G7" i="6"/>
  <c r="F24" i="6"/>
  <c r="F19" i="6"/>
  <c r="C29" i="70"/>
  <c r="R56" i="70"/>
  <c r="N23" i="70"/>
  <c r="J41" i="6"/>
  <c r="L24" i="6"/>
  <c r="J19" i="6"/>
  <c r="J30" i="6"/>
  <c r="J31" i="6" s="1"/>
  <c r="J33" i="6" s="1"/>
  <c r="J34" i="6" s="1"/>
  <c r="K14" i="6"/>
  <c r="K19" i="6" s="1"/>
  <c r="N24" i="6"/>
  <c r="N19" i="6"/>
  <c r="J16" i="6"/>
  <c r="M8" i="70"/>
  <c r="L29" i="70"/>
  <c r="G29" i="70"/>
  <c r="I8" i="70"/>
  <c r="O7" i="6"/>
  <c r="I21" i="70"/>
  <c r="R21" i="70"/>
  <c r="R18" i="70" s="1"/>
  <c r="K24" i="6"/>
  <c r="G10" i="70"/>
  <c r="C14" i="6"/>
  <c r="B19" i="6"/>
  <c r="B30" i="6"/>
  <c r="E8" i="70"/>
  <c r="J10" i="5"/>
  <c r="J23" i="5"/>
  <c r="K17" i="4"/>
  <c r="K5" i="5"/>
  <c r="K23" i="5" s="1"/>
  <c r="G26" i="70"/>
  <c r="G27" i="70" s="1"/>
  <c r="J40" i="3"/>
  <c r="N9" i="1"/>
  <c r="K23" i="3"/>
  <c r="N16" i="5"/>
  <c r="J23" i="4"/>
  <c r="J25" i="4" s="1"/>
  <c r="J27" i="4" s="1"/>
  <c r="J28" i="4" s="1"/>
  <c r="O12" i="5"/>
  <c r="P12" i="5" s="1"/>
  <c r="N17" i="1"/>
  <c r="F10" i="4"/>
  <c r="F23" i="4"/>
  <c r="G5" i="4"/>
  <c r="G23" i="4" s="1"/>
  <c r="F9" i="4"/>
  <c r="K29" i="6"/>
  <c r="G13" i="70"/>
  <c r="H13" i="70" s="1"/>
  <c r="H14" i="70" s="1"/>
  <c r="K29" i="2"/>
  <c r="K31" i="2" s="1"/>
  <c r="K33" i="2" s="1"/>
  <c r="K34" i="2" s="1"/>
  <c r="L12" i="2"/>
  <c r="K17" i="2"/>
  <c r="F10" i="5"/>
  <c r="F9" i="5"/>
  <c r="F23" i="5"/>
  <c r="F25" i="5" s="1"/>
  <c r="F27" i="5" s="1"/>
  <c r="F28" i="5" s="1"/>
  <c r="H5" i="5"/>
  <c r="F40" i="5" s="1"/>
  <c r="G9" i="5"/>
  <c r="G23" i="5"/>
  <c r="G25" i="5" s="1"/>
  <c r="G27" i="5" s="1"/>
  <c r="G28" i="5" s="1"/>
  <c r="L12" i="6"/>
  <c r="L29" i="6" s="1"/>
  <c r="N29" i="2"/>
  <c r="N31" i="2" s="1"/>
  <c r="N33" i="2" s="1"/>
  <c r="N34" i="2" s="1"/>
  <c r="N39" i="2" s="1"/>
  <c r="B8" i="8" s="1"/>
  <c r="N17" i="2"/>
  <c r="N16" i="2"/>
  <c r="J17" i="1"/>
  <c r="J16" i="1"/>
  <c r="N10" i="1"/>
  <c r="J10" i="4"/>
  <c r="J9" i="4"/>
  <c r="O12" i="2"/>
  <c r="J9" i="6"/>
  <c r="J23" i="6"/>
  <c r="J25" i="6" s="1"/>
  <c r="J27" i="6" s="1"/>
  <c r="J28" i="6" s="1"/>
  <c r="J10" i="6"/>
  <c r="K5" i="6"/>
  <c r="K29" i="4"/>
  <c r="L12" i="4"/>
  <c r="O12" i="1"/>
  <c r="P12" i="1" s="1"/>
  <c r="J29" i="5"/>
  <c r="J31" i="5" s="1"/>
  <c r="J33" i="5" s="1"/>
  <c r="J34" i="5" s="1"/>
  <c r="K12" i="5"/>
  <c r="K16" i="5" s="1"/>
  <c r="J16" i="5"/>
  <c r="J17" i="5"/>
  <c r="G29" i="5"/>
  <c r="G17" i="5"/>
  <c r="G16" i="5"/>
  <c r="H12" i="5"/>
  <c r="J29" i="3"/>
  <c r="J31" i="3" s="1"/>
  <c r="J33" i="3" s="1"/>
  <c r="J34" i="3" s="1"/>
  <c r="J17" i="3"/>
  <c r="K12" i="3"/>
  <c r="K16" i="3" s="1"/>
  <c r="J16" i="3"/>
  <c r="N10" i="4"/>
  <c r="N9" i="4"/>
  <c r="O5" i="4"/>
  <c r="N23" i="4"/>
  <c r="N25" i="4" s="1"/>
  <c r="N27" i="4" s="1"/>
  <c r="N28" i="4" s="1"/>
  <c r="C12" i="3"/>
  <c r="B17" i="3"/>
  <c r="B16" i="3"/>
  <c r="B29" i="3"/>
  <c r="B31" i="3" s="1"/>
  <c r="B33" i="3" s="1"/>
  <c r="B34" i="3" s="1"/>
  <c r="N29" i="4"/>
  <c r="N31" i="4" s="1"/>
  <c r="N33" i="4" s="1"/>
  <c r="N34" i="4" s="1"/>
  <c r="N17" i="4"/>
  <c r="N16" i="4"/>
  <c r="F29" i="4"/>
  <c r="F31" i="4" s="1"/>
  <c r="F33" i="4" s="1"/>
  <c r="F34" i="4" s="1"/>
  <c r="F16" i="4"/>
  <c r="F17" i="4"/>
  <c r="D20" i="70"/>
  <c r="F29" i="5"/>
  <c r="F31" i="5" s="1"/>
  <c r="F33" i="5" s="1"/>
  <c r="F34" i="5" s="1"/>
  <c r="F17" i="5"/>
  <c r="F16" i="5"/>
  <c r="K10" i="1"/>
  <c r="K9" i="1"/>
  <c r="K17" i="1"/>
  <c r="K16" i="1"/>
  <c r="L12" i="1"/>
  <c r="J10" i="1"/>
  <c r="J9" i="1"/>
  <c r="F16" i="1"/>
  <c r="F10" i="1"/>
  <c r="F9" i="2"/>
  <c r="F10" i="2"/>
  <c r="F23" i="2"/>
  <c r="F25" i="2" s="1"/>
  <c r="F27" i="2" s="1"/>
  <c r="F28" i="2" s="1"/>
  <c r="L5" i="2"/>
  <c r="J40" i="2" s="1"/>
  <c r="K23" i="2"/>
  <c r="K10" i="2"/>
  <c r="K9" i="2"/>
  <c r="J23" i="2"/>
  <c r="J25" i="2" s="1"/>
  <c r="J27" i="2" s="1"/>
  <c r="J28" i="2" s="1"/>
  <c r="J10" i="2"/>
  <c r="J9" i="2"/>
  <c r="H12" i="4"/>
  <c r="G29" i="4"/>
  <c r="G17" i="4"/>
  <c r="G16" i="4"/>
  <c r="K23" i="4"/>
  <c r="K25" i="4" s="1"/>
  <c r="K27" i="4" s="1"/>
  <c r="K28" i="4" s="1"/>
  <c r="L5" i="4"/>
  <c r="J40" i="4" s="1"/>
  <c r="K10" i="4"/>
  <c r="K9" i="4"/>
  <c r="G5" i="2"/>
  <c r="O23" i="2"/>
  <c r="P5" i="2"/>
  <c r="N40" i="2" s="1"/>
  <c r="P5" i="1"/>
  <c r="O9" i="1"/>
  <c r="O10" i="1"/>
  <c r="J17" i="70"/>
  <c r="G4" i="70"/>
  <c r="B41" i="4" l="1"/>
  <c r="F29" i="6"/>
  <c r="F31" i="6" s="1"/>
  <c r="F33" i="6" s="1"/>
  <c r="F34" i="6" s="1"/>
  <c r="G17" i="3"/>
  <c r="H14" i="3"/>
  <c r="H30" i="3" s="1"/>
  <c r="C24" i="3"/>
  <c r="C19" i="3"/>
  <c r="G12" i="6"/>
  <c r="G17" i="6" s="1"/>
  <c r="I8" i="102"/>
  <c r="F17" i="1"/>
  <c r="G19" i="3"/>
  <c r="H7" i="3"/>
  <c r="F41" i="3" s="1"/>
  <c r="G5" i="1"/>
  <c r="F31" i="3"/>
  <c r="F33" i="3" s="1"/>
  <c r="F34" i="3" s="1"/>
  <c r="F39" i="3" s="1"/>
  <c r="J6" i="8" s="1"/>
  <c r="O19" i="3"/>
  <c r="F42" i="5"/>
  <c r="F44" i="5" s="1"/>
  <c r="F45" i="5" s="1"/>
  <c r="J19" i="8" s="1"/>
  <c r="H23" i="3"/>
  <c r="F40" i="3"/>
  <c r="H24" i="2"/>
  <c r="F41" i="2"/>
  <c r="J42" i="2"/>
  <c r="J44" i="2" s="1"/>
  <c r="J45" i="2" s="1"/>
  <c r="F17" i="8" s="1"/>
  <c r="J42" i="4"/>
  <c r="J44" i="4" s="1"/>
  <c r="J45" i="4" s="1"/>
  <c r="F18" i="8" s="1"/>
  <c r="F16" i="6"/>
  <c r="F25" i="6"/>
  <c r="F27" i="6" s="1"/>
  <c r="F28" i="6" s="1"/>
  <c r="F39" i="6" s="1"/>
  <c r="J4" i="8" s="1"/>
  <c r="B14" i="102"/>
  <c r="B35" i="102"/>
  <c r="J14" i="102"/>
  <c r="K14" i="102"/>
  <c r="G29" i="3"/>
  <c r="G31" i="3" s="1"/>
  <c r="G33" i="3" s="1"/>
  <c r="G34" i="3" s="1"/>
  <c r="H12" i="3"/>
  <c r="G10" i="3"/>
  <c r="O10" i="2"/>
  <c r="C24" i="6"/>
  <c r="D3" i="101"/>
  <c r="D39" i="88"/>
  <c r="E39" i="88" s="1"/>
  <c r="H39" i="88"/>
  <c r="G40" i="88"/>
  <c r="D40" i="88"/>
  <c r="H40" i="88"/>
  <c r="G10" i="6"/>
  <c r="G23" i="6"/>
  <c r="G12" i="2"/>
  <c r="F16" i="2"/>
  <c r="F29" i="2"/>
  <c r="F31" i="2" s="1"/>
  <c r="F33" i="2" s="1"/>
  <c r="F34" i="2" s="1"/>
  <c r="F39" i="2" s="1"/>
  <c r="J8" i="8" s="1"/>
  <c r="F17" i="2"/>
  <c r="N17" i="3"/>
  <c r="O12" i="3"/>
  <c r="O29" i="3" s="1"/>
  <c r="O31" i="3" s="1"/>
  <c r="O33" i="3" s="1"/>
  <c r="O34" i="3" s="1"/>
  <c r="N29" i="3"/>
  <c r="N31" i="3" s="1"/>
  <c r="N33" i="3" s="1"/>
  <c r="N34" i="3" s="1"/>
  <c r="N39" i="3" s="1"/>
  <c r="B6" i="8" s="1"/>
  <c r="D24" i="6"/>
  <c r="P7" i="2"/>
  <c r="N9" i="6"/>
  <c r="B27" i="70"/>
  <c r="R11" i="3"/>
  <c r="N10" i="6"/>
  <c r="G23" i="3"/>
  <c r="G25" i="3" s="1"/>
  <c r="G27" i="3" s="1"/>
  <c r="G28" i="3" s="1"/>
  <c r="G16" i="3"/>
  <c r="O5" i="6"/>
  <c r="O23" i="6" s="1"/>
  <c r="G31" i="5"/>
  <c r="G33" i="5" s="1"/>
  <c r="G34" i="5" s="1"/>
  <c r="G39" i="5" s="1"/>
  <c r="K10" i="8" s="1"/>
  <c r="H19" i="5"/>
  <c r="H24" i="5"/>
  <c r="F25" i="4"/>
  <c r="F27" i="4" s="1"/>
  <c r="F28" i="4" s="1"/>
  <c r="F39" i="4" s="1"/>
  <c r="J9" i="8" s="1"/>
  <c r="G31" i="4"/>
  <c r="G33" i="4" s="1"/>
  <c r="G34" i="4" s="1"/>
  <c r="O17" i="6"/>
  <c r="P12" i="6"/>
  <c r="P16" i="6" s="1"/>
  <c r="G9" i="3"/>
  <c r="K16" i="103"/>
  <c r="K17" i="103"/>
  <c r="K29" i="103"/>
  <c r="K31" i="103" s="1"/>
  <c r="K33" i="103" s="1"/>
  <c r="K34" i="103" s="1"/>
  <c r="L12" i="103"/>
  <c r="B29" i="103"/>
  <c r="B31" i="103" s="1"/>
  <c r="B33" i="103" s="1"/>
  <c r="B34" i="103" s="1"/>
  <c r="B39" i="103" s="1"/>
  <c r="B16" i="103"/>
  <c r="B17" i="103"/>
  <c r="C10" i="103"/>
  <c r="C23" i="103"/>
  <c r="C25" i="103" s="1"/>
  <c r="C27" i="103" s="1"/>
  <c r="C28" i="103" s="1"/>
  <c r="C9" i="103"/>
  <c r="C12" i="103"/>
  <c r="K23" i="103"/>
  <c r="K25" i="103" s="1"/>
  <c r="K27" i="103" s="1"/>
  <c r="K28" i="103" s="1"/>
  <c r="K10" i="103"/>
  <c r="K9" i="103"/>
  <c r="J29" i="103"/>
  <c r="J31" i="103" s="1"/>
  <c r="J33" i="103" s="1"/>
  <c r="J34" i="103" s="1"/>
  <c r="J17" i="103"/>
  <c r="J16" i="103"/>
  <c r="L5" i="103"/>
  <c r="J40" i="103" s="1"/>
  <c r="J42" i="103" s="1"/>
  <c r="J44" i="103" s="1"/>
  <c r="J45" i="103" s="1"/>
  <c r="J16" i="8" s="1"/>
  <c r="O16" i="6"/>
  <c r="J23" i="103"/>
  <c r="J25" i="103" s="1"/>
  <c r="J27" i="103" s="1"/>
  <c r="J28" i="103" s="1"/>
  <c r="J9" i="103"/>
  <c r="J10" i="103"/>
  <c r="D5" i="103"/>
  <c r="B40" i="103" s="1"/>
  <c r="B42" i="103" s="1"/>
  <c r="B44" i="103" s="1"/>
  <c r="B45" i="103" s="1"/>
  <c r="B16" i="8" s="1"/>
  <c r="C34" i="70"/>
  <c r="P5" i="3"/>
  <c r="H19" i="2"/>
  <c r="O23" i="5"/>
  <c r="O25" i="5" s="1"/>
  <c r="O27" i="5" s="1"/>
  <c r="O28" i="5" s="1"/>
  <c r="D14" i="5"/>
  <c r="C19" i="5"/>
  <c r="G35" i="102"/>
  <c r="L7" i="3"/>
  <c r="K9" i="3"/>
  <c r="K19" i="3"/>
  <c r="L19" i="2"/>
  <c r="L30" i="2"/>
  <c r="K10" i="3"/>
  <c r="K24" i="3"/>
  <c r="K25" i="3" s="1"/>
  <c r="K27" i="3" s="1"/>
  <c r="K28" i="3" s="1"/>
  <c r="J39" i="3"/>
  <c r="F6" i="8" s="1"/>
  <c r="G14" i="102"/>
  <c r="B25" i="70"/>
  <c r="L14" i="102"/>
  <c r="O19" i="2"/>
  <c r="O9" i="2"/>
  <c r="K30" i="102"/>
  <c r="J35" i="102"/>
  <c r="B30" i="102"/>
  <c r="L30" i="102"/>
  <c r="O35" i="102"/>
  <c r="O10" i="102"/>
  <c r="H30" i="102"/>
  <c r="K35" i="102"/>
  <c r="K10" i="102"/>
  <c r="F35" i="102"/>
  <c r="F10" i="102"/>
  <c r="I24" i="102"/>
  <c r="F26" i="102"/>
  <c r="N35" i="102"/>
  <c r="N10" i="102"/>
  <c r="G30" i="102"/>
  <c r="H35" i="102"/>
  <c r="H10" i="102"/>
  <c r="J30" i="102"/>
  <c r="H14" i="102"/>
  <c r="P35" i="102"/>
  <c r="P10" i="102"/>
  <c r="L35" i="102"/>
  <c r="L10" i="102"/>
  <c r="C13" i="70"/>
  <c r="C14" i="70" s="1"/>
  <c r="O9" i="5"/>
  <c r="P5" i="5"/>
  <c r="G39" i="88"/>
  <c r="D30" i="102"/>
  <c r="D10" i="102"/>
  <c r="D35" i="102"/>
  <c r="D14" i="102"/>
  <c r="C14" i="102"/>
  <c r="C35" i="102"/>
  <c r="C10" i="102"/>
  <c r="B5" i="70"/>
  <c r="B12" i="70"/>
  <c r="N25" i="6"/>
  <c r="N27" i="6" s="1"/>
  <c r="N28" i="6" s="1"/>
  <c r="N39" i="6" s="1"/>
  <c r="B4" i="8" s="1"/>
  <c r="B35" i="70"/>
  <c r="B36" i="70" s="1"/>
  <c r="B38" i="70" s="1"/>
  <c r="B39" i="70" s="1"/>
  <c r="B40" i="70" s="1"/>
  <c r="B5" i="8" s="1"/>
  <c r="C9" i="70"/>
  <c r="C11" i="70" s="1"/>
  <c r="O9" i="3"/>
  <c r="B10" i="102"/>
  <c r="R8" i="102"/>
  <c r="B9" i="102"/>
  <c r="B16" i="102" s="1"/>
  <c r="E8" i="102"/>
  <c r="O31" i="6"/>
  <c r="O33" i="6" s="1"/>
  <c r="O34" i="6" s="1"/>
  <c r="C22" i="70"/>
  <c r="C25" i="70" s="1"/>
  <c r="N39" i="5"/>
  <c r="B10" i="8" s="1"/>
  <c r="B18" i="70"/>
  <c r="P30" i="2"/>
  <c r="B25" i="102"/>
  <c r="E24" i="102"/>
  <c r="B26" i="102"/>
  <c r="R24" i="102"/>
  <c r="B30" i="70"/>
  <c r="L9" i="1"/>
  <c r="L24" i="4"/>
  <c r="J39" i="2"/>
  <c r="F8" i="8" s="1"/>
  <c r="K16" i="6"/>
  <c r="K17" i="6"/>
  <c r="L19" i="4"/>
  <c r="L30" i="3"/>
  <c r="E40" i="88"/>
  <c r="I40" i="88"/>
  <c r="L5" i="5"/>
  <c r="J40" i="5" s="1"/>
  <c r="O24" i="3"/>
  <c r="O25" i="3" s="1"/>
  <c r="O27" i="3" s="1"/>
  <c r="O28" i="3" s="1"/>
  <c r="O10" i="3"/>
  <c r="P19" i="5"/>
  <c r="P24" i="5"/>
  <c r="P30" i="5"/>
  <c r="K24" i="5"/>
  <c r="K25" i="5" s="1"/>
  <c r="K27" i="5" s="1"/>
  <c r="K28" i="5" s="1"/>
  <c r="L7" i="5"/>
  <c r="J41" i="5" s="1"/>
  <c r="K19" i="5"/>
  <c r="J25" i="5"/>
  <c r="J27" i="5" s="1"/>
  <c r="J28" i="5" s="1"/>
  <c r="J39" i="5" s="1"/>
  <c r="F10" i="8" s="1"/>
  <c r="J39" i="4"/>
  <c r="F9" i="8" s="1"/>
  <c r="K25" i="2"/>
  <c r="K27" i="2" s="1"/>
  <c r="K28" i="2" s="1"/>
  <c r="K39" i="2" s="1"/>
  <c r="G8" i="8" s="1"/>
  <c r="J39" i="6"/>
  <c r="F4" i="8" s="1"/>
  <c r="D24" i="5"/>
  <c r="H19" i="4"/>
  <c r="H24" i="4"/>
  <c r="O25" i="2"/>
  <c r="O27" i="2" s="1"/>
  <c r="O28" i="2" s="1"/>
  <c r="G25" i="4"/>
  <c r="G27" i="4" s="1"/>
  <c r="G28" i="4" s="1"/>
  <c r="P30" i="4"/>
  <c r="D24" i="4"/>
  <c r="P30" i="6"/>
  <c r="P19" i="4"/>
  <c r="D30" i="2"/>
  <c r="G9" i="6"/>
  <c r="K31" i="4"/>
  <c r="K33" i="4" s="1"/>
  <c r="K34" i="4" s="1"/>
  <c r="K39" i="4" s="1"/>
  <c r="G9" i="8" s="1"/>
  <c r="H30" i="4"/>
  <c r="O17" i="5"/>
  <c r="L30" i="4"/>
  <c r="C19" i="1"/>
  <c r="D7" i="1"/>
  <c r="D19" i="1" s="1"/>
  <c r="C30" i="4"/>
  <c r="D14" i="4"/>
  <c r="D19" i="4" s="1"/>
  <c r="D7" i="2"/>
  <c r="B41" i="2" s="1"/>
  <c r="C24" i="2"/>
  <c r="C19" i="2"/>
  <c r="D24" i="3"/>
  <c r="C30" i="3"/>
  <c r="D14" i="3"/>
  <c r="Q57" i="70"/>
  <c r="L10" i="1"/>
  <c r="D14" i="6"/>
  <c r="C30" i="6"/>
  <c r="C19" i="6"/>
  <c r="P7" i="6"/>
  <c r="O19" i="6"/>
  <c r="O24" i="6"/>
  <c r="G19" i="6"/>
  <c r="H7" i="6"/>
  <c r="H9" i="6" s="1"/>
  <c r="G24" i="6"/>
  <c r="K30" i="6"/>
  <c r="K31" i="6" s="1"/>
  <c r="K33" i="6" s="1"/>
  <c r="K34" i="6" s="1"/>
  <c r="L14" i="6"/>
  <c r="L16" i="6" s="1"/>
  <c r="K10" i="5"/>
  <c r="K9" i="5"/>
  <c r="D26" i="70"/>
  <c r="D27" i="70" s="1"/>
  <c r="L23" i="3"/>
  <c r="O29" i="5"/>
  <c r="O31" i="5" s="1"/>
  <c r="O33" i="5" s="1"/>
  <c r="O34" i="5" s="1"/>
  <c r="H26" i="70"/>
  <c r="H27" i="70" s="1"/>
  <c r="G29" i="6"/>
  <c r="G31" i="6" s="1"/>
  <c r="G33" i="6" s="1"/>
  <c r="G34" i="6" s="1"/>
  <c r="O16" i="5"/>
  <c r="G16" i="6"/>
  <c r="G14" i="70"/>
  <c r="O17" i="1"/>
  <c r="H5" i="4"/>
  <c r="F40" i="4" s="1"/>
  <c r="F42" i="4" s="1"/>
  <c r="F44" i="4" s="1"/>
  <c r="F45" i="4" s="1"/>
  <c r="J18" i="8" s="1"/>
  <c r="G9" i="4"/>
  <c r="G10" i="4"/>
  <c r="L29" i="2"/>
  <c r="L17" i="2"/>
  <c r="L16" i="2"/>
  <c r="O16" i="1"/>
  <c r="F39" i="5"/>
  <c r="J10" i="8" s="1"/>
  <c r="H23" i="5"/>
  <c r="H9" i="5"/>
  <c r="H10" i="5"/>
  <c r="L29" i="4"/>
  <c r="L17" i="4"/>
  <c r="L16" i="4"/>
  <c r="K29" i="5"/>
  <c r="K31" i="5" s="1"/>
  <c r="K33" i="5" s="1"/>
  <c r="K34" i="5" s="1"/>
  <c r="K17" i="5"/>
  <c r="L12" i="5"/>
  <c r="L17" i="5" s="1"/>
  <c r="K10" i="6"/>
  <c r="K23" i="6"/>
  <c r="K25" i="6" s="1"/>
  <c r="K27" i="6" s="1"/>
  <c r="K28" i="6" s="1"/>
  <c r="L5" i="6"/>
  <c r="K9" i="6"/>
  <c r="O29" i="2"/>
  <c r="O31" i="2" s="1"/>
  <c r="O33" i="2" s="1"/>
  <c r="O34" i="2" s="1"/>
  <c r="O16" i="2"/>
  <c r="O17" i="2"/>
  <c r="P12" i="2"/>
  <c r="L23" i="4"/>
  <c r="L10" i="4"/>
  <c r="L9" i="4"/>
  <c r="P23" i="2"/>
  <c r="H12" i="1"/>
  <c r="G16" i="1"/>
  <c r="G17" i="1"/>
  <c r="L23" i="2"/>
  <c r="L25" i="2" s="1"/>
  <c r="L27" i="2" s="1"/>
  <c r="L28" i="2" s="1"/>
  <c r="L9" i="2"/>
  <c r="L10" i="2"/>
  <c r="G10" i="1"/>
  <c r="G9" i="1"/>
  <c r="H5" i="1"/>
  <c r="L17" i="1"/>
  <c r="L16" i="1"/>
  <c r="O29" i="4"/>
  <c r="O31" i="4" s="1"/>
  <c r="O33" i="4" s="1"/>
  <c r="O34" i="4" s="1"/>
  <c r="O17" i="4"/>
  <c r="O16" i="4"/>
  <c r="D12" i="3"/>
  <c r="C17" i="3"/>
  <c r="C16" i="3"/>
  <c r="C29" i="3"/>
  <c r="H29" i="5"/>
  <c r="H31" i="5" s="1"/>
  <c r="H33" i="5" s="1"/>
  <c r="H34" i="5" s="1"/>
  <c r="H17" i="5"/>
  <c r="H16" i="5"/>
  <c r="P16" i="1"/>
  <c r="P17" i="1"/>
  <c r="F40" i="6"/>
  <c r="H23" i="6"/>
  <c r="H29" i="4"/>
  <c r="H17" i="4"/>
  <c r="H16" i="4"/>
  <c r="F7" i="70"/>
  <c r="D34" i="70"/>
  <c r="O9" i="4"/>
  <c r="O10" i="4"/>
  <c r="O23" i="4"/>
  <c r="O25" i="4" s="1"/>
  <c r="O27" i="4" s="1"/>
  <c r="O28" i="4" s="1"/>
  <c r="P5" i="4"/>
  <c r="N40" i="4" s="1"/>
  <c r="N42" i="4" s="1"/>
  <c r="N44" i="4" s="1"/>
  <c r="N45" i="4" s="1"/>
  <c r="B18" i="8" s="1"/>
  <c r="K17" i="3"/>
  <c r="K29" i="3"/>
  <c r="K31" i="3" s="1"/>
  <c r="K33" i="3" s="1"/>
  <c r="K34" i="3" s="1"/>
  <c r="L12" i="3"/>
  <c r="H5" i="2"/>
  <c r="F40" i="2" s="1"/>
  <c r="G23" i="2"/>
  <c r="G25" i="2" s="1"/>
  <c r="G27" i="2" s="1"/>
  <c r="G28" i="2" s="1"/>
  <c r="G10" i="2"/>
  <c r="G9" i="2"/>
  <c r="F20" i="70"/>
  <c r="P29" i="5"/>
  <c r="P17" i="5"/>
  <c r="P16" i="5"/>
  <c r="P10" i="1"/>
  <c r="P9" i="1"/>
  <c r="N39" i="4"/>
  <c r="B9" i="8" s="1"/>
  <c r="K17" i="70"/>
  <c r="H4" i="70"/>
  <c r="H12" i="6" l="1"/>
  <c r="H29" i="6" s="1"/>
  <c r="H31" i="6" s="1"/>
  <c r="H33" i="6" s="1"/>
  <c r="H34" i="6" s="1"/>
  <c r="H16" i="3"/>
  <c r="H10" i="3"/>
  <c r="H19" i="3"/>
  <c r="F42" i="3"/>
  <c r="F44" i="3" s="1"/>
  <c r="F45" i="3" s="1"/>
  <c r="J15" i="8" s="1"/>
  <c r="H24" i="3"/>
  <c r="H25" i="3" s="1"/>
  <c r="H27" i="3" s="1"/>
  <c r="H28" i="3" s="1"/>
  <c r="H9" i="3"/>
  <c r="H29" i="3"/>
  <c r="H31" i="3" s="1"/>
  <c r="H33" i="3" s="1"/>
  <c r="H34" i="3" s="1"/>
  <c r="J42" i="5"/>
  <c r="J44" i="5" s="1"/>
  <c r="J45" i="5" s="1"/>
  <c r="F19" i="8" s="1"/>
  <c r="N40" i="3"/>
  <c r="P10" i="3"/>
  <c r="C9" i="102"/>
  <c r="P9" i="5"/>
  <c r="N40" i="5"/>
  <c r="N42" i="5" s="1"/>
  <c r="N44" i="5" s="1"/>
  <c r="N45" i="5" s="1"/>
  <c r="B19" i="8" s="1"/>
  <c r="H17" i="3"/>
  <c r="P24" i="3"/>
  <c r="N41" i="3"/>
  <c r="N42" i="3" s="1"/>
  <c r="N44" i="3" s="1"/>
  <c r="N45" i="3" s="1"/>
  <c r="B15" i="8" s="1"/>
  <c r="L24" i="3"/>
  <c r="L25" i="3" s="1"/>
  <c r="L27" i="3" s="1"/>
  <c r="L28" i="3" s="1"/>
  <c r="J41" i="3"/>
  <c r="J42" i="3" s="1"/>
  <c r="J44" i="3" s="1"/>
  <c r="J45" i="3" s="1"/>
  <c r="F15" i="8" s="1"/>
  <c r="F42" i="2"/>
  <c r="F44" i="2" s="1"/>
  <c r="F45" i="2" s="1"/>
  <c r="J17" i="8" s="1"/>
  <c r="P9" i="2"/>
  <c r="N41" i="2"/>
  <c r="N42" i="2" s="1"/>
  <c r="N44" i="2" s="1"/>
  <c r="N45" i="2" s="1"/>
  <c r="B17" i="8" s="1"/>
  <c r="G25" i="6"/>
  <c r="G27" i="6" s="1"/>
  <c r="G28" i="6" s="1"/>
  <c r="G39" i="6" s="1"/>
  <c r="K4" i="8" s="1"/>
  <c r="L19" i="3"/>
  <c r="P19" i="2"/>
  <c r="P10" i="2"/>
  <c r="P24" i="2"/>
  <c r="P25" i="2" s="1"/>
  <c r="P27" i="2" s="1"/>
  <c r="P28" i="2" s="1"/>
  <c r="D30" i="5"/>
  <c r="D19" i="5"/>
  <c r="J40" i="88"/>
  <c r="U19" i="70"/>
  <c r="U18" i="70" s="1"/>
  <c r="O10" i="6"/>
  <c r="U6" i="70"/>
  <c r="U5" i="70" s="1"/>
  <c r="J39" i="88"/>
  <c r="I39" i="88"/>
  <c r="G16" i="2"/>
  <c r="G17" i="2"/>
  <c r="H12" i="2"/>
  <c r="G29" i="2"/>
  <c r="G31" i="2" s="1"/>
  <c r="G33" i="2" s="1"/>
  <c r="G34" i="2" s="1"/>
  <c r="G39" i="2" s="1"/>
  <c r="K8" i="8" s="1"/>
  <c r="P29" i="6"/>
  <c r="P31" i="6" s="1"/>
  <c r="P33" i="6" s="1"/>
  <c r="P34" i="6" s="1"/>
  <c r="O17" i="3"/>
  <c r="O9" i="6"/>
  <c r="P5" i="6"/>
  <c r="N40" i="6" s="1"/>
  <c r="O16" i="3"/>
  <c r="P16" i="3"/>
  <c r="H25" i="5"/>
  <c r="H27" i="5" s="1"/>
  <c r="H28" i="5" s="1"/>
  <c r="H39" i="5" s="1"/>
  <c r="L10" i="8" s="1"/>
  <c r="G39" i="4"/>
  <c r="K9" i="8" s="1"/>
  <c r="P17" i="6"/>
  <c r="P23" i="3"/>
  <c r="K39" i="103"/>
  <c r="K7" i="8" s="1"/>
  <c r="D10" i="103"/>
  <c r="D9" i="103"/>
  <c r="D23" i="103"/>
  <c r="D25" i="103" s="1"/>
  <c r="D27" i="103" s="1"/>
  <c r="D28" i="103" s="1"/>
  <c r="L23" i="103"/>
  <c r="L25" i="103" s="1"/>
  <c r="L27" i="103" s="1"/>
  <c r="L28" i="103" s="1"/>
  <c r="L10" i="103"/>
  <c r="L9" i="103"/>
  <c r="J39" i="103"/>
  <c r="J7" i="8" s="1"/>
  <c r="C29" i="103"/>
  <c r="C31" i="103" s="1"/>
  <c r="C33" i="103" s="1"/>
  <c r="C34" i="103" s="1"/>
  <c r="C39" i="103" s="1"/>
  <c r="C16" i="103"/>
  <c r="C17" i="103"/>
  <c r="D12" i="103"/>
  <c r="L29" i="103"/>
  <c r="L31" i="103" s="1"/>
  <c r="L33" i="103" s="1"/>
  <c r="L34" i="103" s="1"/>
  <c r="L16" i="103"/>
  <c r="L17" i="103"/>
  <c r="L9" i="5"/>
  <c r="L10" i="3"/>
  <c r="D13" i="70"/>
  <c r="D14" i="70" s="1"/>
  <c r="L9" i="3"/>
  <c r="L31" i="2"/>
  <c r="L33" i="2" s="1"/>
  <c r="L34" i="2" s="1"/>
  <c r="L39" i="2" s="1"/>
  <c r="H8" i="8" s="1"/>
  <c r="K39" i="3"/>
  <c r="G6" i="8" s="1"/>
  <c r="P23" i="5"/>
  <c r="P25" i="5" s="1"/>
  <c r="P27" i="5" s="1"/>
  <c r="P28" i="5" s="1"/>
  <c r="L25" i="4"/>
  <c r="L27" i="4" s="1"/>
  <c r="L28" i="4" s="1"/>
  <c r="G39" i="3"/>
  <c r="K6" i="8" s="1"/>
  <c r="P10" i="5"/>
  <c r="L23" i="5"/>
  <c r="O39" i="3"/>
  <c r="C6" i="8" s="1"/>
  <c r="O25" i="6"/>
  <c r="O27" i="6" s="1"/>
  <c r="O28" i="6" s="1"/>
  <c r="O39" i="6" s="1"/>
  <c r="C4" i="8" s="1"/>
  <c r="C24" i="70"/>
  <c r="O39" i="5"/>
  <c r="C10" i="8" s="1"/>
  <c r="C30" i="70"/>
  <c r="C5" i="70"/>
  <c r="P9" i="3"/>
  <c r="D9" i="70"/>
  <c r="D11" i="70" s="1"/>
  <c r="P19" i="3"/>
  <c r="C35" i="70"/>
  <c r="C36" i="70" s="1"/>
  <c r="C38" i="70" s="1"/>
  <c r="C39" i="70" s="1"/>
  <c r="C40" i="70" s="1"/>
  <c r="C5" i="8" s="1"/>
  <c r="C12" i="70"/>
  <c r="B33" i="102"/>
  <c r="B32" i="102"/>
  <c r="B31" i="102"/>
  <c r="B21" i="102"/>
  <c r="B27" i="102"/>
  <c r="C25" i="102"/>
  <c r="B28" i="102"/>
  <c r="C18" i="70"/>
  <c r="D22" i="70"/>
  <c r="B17" i="102"/>
  <c r="B12" i="102"/>
  <c r="B15" i="102"/>
  <c r="B36" i="102"/>
  <c r="B11" i="102"/>
  <c r="B5" i="102"/>
  <c r="H31" i="4"/>
  <c r="H33" i="4" s="1"/>
  <c r="H34" i="4" s="1"/>
  <c r="P31" i="5"/>
  <c r="P33" i="5" s="1"/>
  <c r="P34" i="5" s="1"/>
  <c r="K39" i="5"/>
  <c r="G10" i="8" s="1"/>
  <c r="H16" i="6"/>
  <c r="O39" i="2"/>
  <c r="C8" i="8" s="1"/>
  <c r="L19" i="5"/>
  <c r="L24" i="5"/>
  <c r="L10" i="5"/>
  <c r="D24" i="2"/>
  <c r="D19" i="2"/>
  <c r="H10" i="6"/>
  <c r="K39" i="6"/>
  <c r="G4" i="8" s="1"/>
  <c r="L31" i="4"/>
  <c r="L33" i="4" s="1"/>
  <c r="L34" i="4" s="1"/>
  <c r="D30" i="4"/>
  <c r="D30" i="3"/>
  <c r="C31" i="3"/>
  <c r="C33" i="3" s="1"/>
  <c r="C34" i="3" s="1"/>
  <c r="D19" i="3"/>
  <c r="L17" i="6"/>
  <c r="L30" i="6"/>
  <c r="L31" i="6" s="1"/>
  <c r="L33" i="6" s="1"/>
  <c r="L34" i="6" s="1"/>
  <c r="L19" i="6"/>
  <c r="H19" i="6"/>
  <c r="F41" i="6"/>
  <c r="F42" i="6" s="1"/>
  <c r="F44" i="6" s="1"/>
  <c r="F45" i="6" s="1"/>
  <c r="J14" i="8" s="1"/>
  <c r="H24" i="6"/>
  <c r="H25" i="6" s="1"/>
  <c r="H27" i="6" s="1"/>
  <c r="H28" i="6" s="1"/>
  <c r="H39" i="6" s="1"/>
  <c r="L4" i="8" s="1"/>
  <c r="D30" i="6"/>
  <c r="D19" i="6"/>
  <c r="N41" i="6"/>
  <c r="P24" i="6"/>
  <c r="P19" i="6"/>
  <c r="H17" i="6"/>
  <c r="H23" i="4"/>
  <c r="H25" i="4" s="1"/>
  <c r="H27" i="4" s="1"/>
  <c r="H28" i="4" s="1"/>
  <c r="H10" i="4"/>
  <c r="H9" i="4"/>
  <c r="P29" i="2"/>
  <c r="P31" i="2" s="1"/>
  <c r="P33" i="2" s="1"/>
  <c r="P34" i="2" s="1"/>
  <c r="P16" i="2"/>
  <c r="P17" i="2"/>
  <c r="O39" i="4"/>
  <c r="C9" i="8" s="1"/>
  <c r="L9" i="6"/>
  <c r="L10" i="6"/>
  <c r="J40" i="6"/>
  <c r="J42" i="6" s="1"/>
  <c r="J44" i="6" s="1"/>
  <c r="J45" i="6" s="1"/>
  <c r="F14" i="8" s="1"/>
  <c r="L23" i="6"/>
  <c r="L25" i="6" s="1"/>
  <c r="L27" i="6" s="1"/>
  <c r="L28" i="6" s="1"/>
  <c r="L29" i="5"/>
  <c r="L31" i="5" s="1"/>
  <c r="L33" i="5" s="1"/>
  <c r="L34" i="5" s="1"/>
  <c r="L16" i="5"/>
  <c r="H23" i="2"/>
  <c r="H25" i="2" s="1"/>
  <c r="H27" i="2" s="1"/>
  <c r="H28" i="2" s="1"/>
  <c r="H10" i="2"/>
  <c r="H9" i="2"/>
  <c r="F34" i="70"/>
  <c r="G7" i="70"/>
  <c r="H9" i="1"/>
  <c r="H10" i="1"/>
  <c r="P9" i="4"/>
  <c r="P23" i="4"/>
  <c r="P25" i="4" s="1"/>
  <c r="P27" i="4" s="1"/>
  <c r="P28" i="4" s="1"/>
  <c r="P10" i="4"/>
  <c r="H17" i="1"/>
  <c r="H16" i="1"/>
  <c r="G20" i="70"/>
  <c r="L17" i="3"/>
  <c r="L16" i="3"/>
  <c r="L29" i="3"/>
  <c r="L31" i="3" s="1"/>
  <c r="L33" i="3" s="1"/>
  <c r="L34" i="3" s="1"/>
  <c r="D29" i="3"/>
  <c r="D16" i="3"/>
  <c r="D17" i="3"/>
  <c r="P29" i="4"/>
  <c r="P31" i="4" s="1"/>
  <c r="P33" i="4" s="1"/>
  <c r="P34" i="4" s="1"/>
  <c r="P16" i="4"/>
  <c r="P17" i="4"/>
  <c r="L17" i="70"/>
  <c r="J4" i="70"/>
  <c r="H39" i="3" l="1"/>
  <c r="L6" i="8" s="1"/>
  <c r="C15" i="102"/>
  <c r="C17" i="102"/>
  <c r="C16" i="102"/>
  <c r="P25" i="3"/>
  <c r="P27" i="3" s="1"/>
  <c r="P28" i="3" s="1"/>
  <c r="P29" i="3"/>
  <c r="P31" i="3" s="1"/>
  <c r="P33" i="3" s="1"/>
  <c r="P34" i="3" s="1"/>
  <c r="P9" i="6"/>
  <c r="H16" i="2"/>
  <c r="H17" i="2"/>
  <c r="H29" i="2"/>
  <c r="H31" i="2" s="1"/>
  <c r="H33" i="2" s="1"/>
  <c r="H34" i="2" s="1"/>
  <c r="H39" i="2" s="1"/>
  <c r="L8" i="8" s="1"/>
  <c r="P23" i="6"/>
  <c r="P25" i="6" s="1"/>
  <c r="P27" i="6" s="1"/>
  <c r="P28" i="6" s="1"/>
  <c r="P39" i="6" s="1"/>
  <c r="D4" i="8" s="1"/>
  <c r="P10" i="6"/>
  <c r="L39" i="4"/>
  <c r="H9" i="8" s="1"/>
  <c r="L39" i="103"/>
  <c r="L7" i="8" s="1"/>
  <c r="D29" i="103"/>
  <c r="D31" i="103" s="1"/>
  <c r="D33" i="103" s="1"/>
  <c r="D34" i="103" s="1"/>
  <c r="D39" i="103" s="1"/>
  <c r="D17" i="103"/>
  <c r="D16" i="103"/>
  <c r="L25" i="5"/>
  <c r="L27" i="5" s="1"/>
  <c r="L28" i="5" s="1"/>
  <c r="L39" i="5" s="1"/>
  <c r="H10" i="8" s="1"/>
  <c r="L39" i="3"/>
  <c r="H6" i="8" s="1"/>
  <c r="D35" i="70"/>
  <c r="D36" i="70" s="1"/>
  <c r="D38" i="70" s="1"/>
  <c r="D39" i="70" s="1"/>
  <c r="D40" i="70" s="1"/>
  <c r="D5" i="8" s="1"/>
  <c r="F9" i="70"/>
  <c r="F12" i="70" s="1"/>
  <c r="D30" i="70"/>
  <c r="D5" i="70"/>
  <c r="D12" i="70"/>
  <c r="C5" i="102"/>
  <c r="D9" i="102"/>
  <c r="D17" i="102" s="1"/>
  <c r="C36" i="102"/>
  <c r="C11" i="102"/>
  <c r="C12" i="102"/>
  <c r="C31" i="102"/>
  <c r="C33" i="102"/>
  <c r="C32" i="102"/>
  <c r="C27" i="102"/>
  <c r="C21" i="102"/>
  <c r="D25" i="102"/>
  <c r="C28" i="102"/>
  <c r="D18" i="70"/>
  <c r="F22" i="70"/>
  <c r="D25" i="70"/>
  <c r="D24" i="70"/>
  <c r="H39" i="4"/>
  <c r="L9" i="8" s="1"/>
  <c r="P39" i="5"/>
  <c r="D10" i="8" s="1"/>
  <c r="P39" i="2"/>
  <c r="D8" i="8" s="1"/>
  <c r="P39" i="4"/>
  <c r="D9" i="8" s="1"/>
  <c r="D31" i="3"/>
  <c r="D33" i="3" s="1"/>
  <c r="D34" i="3" s="1"/>
  <c r="N42" i="6"/>
  <c r="N44" i="6" s="1"/>
  <c r="N45" i="6" s="1"/>
  <c r="B14" i="8" s="1"/>
  <c r="L39" i="6"/>
  <c r="H4" i="8" s="1"/>
  <c r="H20" i="70"/>
  <c r="G34" i="70"/>
  <c r="H7" i="70"/>
  <c r="N17" i="70"/>
  <c r="K4" i="70"/>
  <c r="P39" i="3" l="1"/>
  <c r="D6" i="8" s="1"/>
  <c r="F30" i="70"/>
  <c r="F35" i="70"/>
  <c r="F36" i="70" s="1"/>
  <c r="F38" i="70" s="1"/>
  <c r="F39" i="70" s="1"/>
  <c r="F40" i="70" s="1"/>
  <c r="F5" i="8" s="1"/>
  <c r="F11" i="70"/>
  <c r="G9" i="70"/>
  <c r="G11" i="70" s="1"/>
  <c r="F5" i="70"/>
  <c r="D32" i="102"/>
  <c r="D31" i="102"/>
  <c r="D33" i="102"/>
  <c r="D28" i="102"/>
  <c r="D27" i="102"/>
  <c r="D21" i="102"/>
  <c r="F25" i="102"/>
  <c r="F18" i="70"/>
  <c r="G22" i="70"/>
  <c r="F25" i="70"/>
  <c r="F24" i="70"/>
  <c r="D15" i="102"/>
  <c r="D16" i="102"/>
  <c r="D36" i="102"/>
  <c r="F9" i="102"/>
  <c r="D12" i="102"/>
  <c r="D11" i="102"/>
  <c r="D5" i="102"/>
  <c r="J20" i="70"/>
  <c r="H34" i="70"/>
  <c r="J7" i="70"/>
  <c r="O17" i="70"/>
  <c r="L4" i="70"/>
  <c r="G12" i="70" l="1"/>
  <c r="G5" i="70"/>
  <c r="H9" i="70"/>
  <c r="G35" i="70"/>
  <c r="G36" i="70" s="1"/>
  <c r="G38" i="70" s="1"/>
  <c r="G39" i="70" s="1"/>
  <c r="G40" i="70" s="1"/>
  <c r="G5" i="8" s="1"/>
  <c r="H22" i="70"/>
  <c r="G25" i="70"/>
  <c r="G24" i="70"/>
  <c r="G18" i="70"/>
  <c r="G30" i="70"/>
  <c r="F16" i="102"/>
  <c r="F15" i="102"/>
  <c r="F17" i="102"/>
  <c r="F5" i="102"/>
  <c r="F12" i="102"/>
  <c r="F11" i="102"/>
  <c r="F36" i="102"/>
  <c r="G9" i="102"/>
  <c r="F33" i="102"/>
  <c r="F32" i="102"/>
  <c r="F31" i="102"/>
  <c r="F28" i="102"/>
  <c r="F21" i="102"/>
  <c r="G25" i="102"/>
  <c r="F27" i="102"/>
  <c r="K20" i="70"/>
  <c r="K7" i="70"/>
  <c r="J34" i="70"/>
  <c r="P17" i="70"/>
  <c r="N4" i="70"/>
  <c r="H12" i="70" l="1"/>
  <c r="H30" i="70"/>
  <c r="H35" i="70"/>
  <c r="H36" i="70" s="1"/>
  <c r="H38" i="70" s="1"/>
  <c r="H39" i="70" s="1"/>
  <c r="H40" i="70" s="1"/>
  <c r="H5" i="8" s="1"/>
  <c r="H5" i="70"/>
  <c r="H11" i="70"/>
  <c r="J9" i="70"/>
  <c r="J12" i="70" s="1"/>
  <c r="G33" i="102"/>
  <c r="G32" i="102"/>
  <c r="G31" i="102"/>
  <c r="G28" i="102"/>
  <c r="G27" i="102"/>
  <c r="H25" i="102"/>
  <c r="G21" i="102"/>
  <c r="G17" i="102"/>
  <c r="G16" i="102"/>
  <c r="G15" i="102"/>
  <c r="G5" i="102"/>
  <c r="G36" i="102"/>
  <c r="G12" i="102"/>
  <c r="H9" i="102"/>
  <c r="H16" i="102" s="1"/>
  <c r="G11" i="102"/>
  <c r="H18" i="70"/>
  <c r="J22" i="70"/>
  <c r="H24" i="70"/>
  <c r="H25" i="70"/>
  <c r="K34" i="70"/>
  <c r="L7" i="70"/>
  <c r="L20" i="70"/>
  <c r="O4" i="70"/>
  <c r="J35" i="70" l="1"/>
  <c r="J36" i="70" s="1"/>
  <c r="J38" i="70" s="1"/>
  <c r="J39" i="70" s="1"/>
  <c r="J40" i="70" s="1"/>
  <c r="J5" i="8" s="1"/>
  <c r="J11" i="70"/>
  <c r="K9" i="70"/>
  <c r="K11" i="70" s="1"/>
  <c r="J30" i="70"/>
  <c r="J5" i="70"/>
  <c r="K22" i="70"/>
  <c r="J18" i="70"/>
  <c r="J25" i="70"/>
  <c r="J24" i="70"/>
  <c r="H17" i="102"/>
  <c r="H15" i="102"/>
  <c r="H11" i="102"/>
  <c r="H12" i="102"/>
  <c r="H5" i="102"/>
  <c r="J9" i="102"/>
  <c r="H36" i="102"/>
  <c r="H31" i="102"/>
  <c r="H33" i="102"/>
  <c r="H32" i="102"/>
  <c r="H27" i="102"/>
  <c r="H21" i="102"/>
  <c r="J25" i="102"/>
  <c r="H28" i="102"/>
  <c r="N20" i="70"/>
  <c r="N7" i="70"/>
  <c r="L34" i="70"/>
  <c r="P4" i="70"/>
  <c r="L9" i="70" l="1"/>
  <c r="L12" i="70" s="1"/>
  <c r="K30" i="70"/>
  <c r="K12" i="70"/>
  <c r="K5" i="70"/>
  <c r="K35" i="70"/>
  <c r="K36" i="70" s="1"/>
  <c r="K38" i="70" s="1"/>
  <c r="K39" i="70" s="1"/>
  <c r="J32" i="102"/>
  <c r="J31" i="102"/>
  <c r="J33" i="102"/>
  <c r="J27" i="102"/>
  <c r="J21" i="102"/>
  <c r="K25" i="102"/>
  <c r="J28" i="102"/>
  <c r="J15" i="102"/>
  <c r="J17" i="102"/>
  <c r="J16" i="102"/>
  <c r="J12" i="102"/>
  <c r="J11" i="102"/>
  <c r="J36" i="102"/>
  <c r="J5" i="102"/>
  <c r="K9" i="102"/>
  <c r="L22" i="70"/>
  <c r="K18" i="70"/>
  <c r="K25" i="70"/>
  <c r="K24" i="70"/>
  <c r="O20" i="70"/>
  <c r="N34" i="70"/>
  <c r="O7" i="70"/>
  <c r="K40" i="70" l="1"/>
  <c r="K5" i="8" s="1"/>
  <c r="L11" i="70"/>
  <c r="L30" i="70"/>
  <c r="L35" i="70"/>
  <c r="L36" i="70" s="1"/>
  <c r="L38" i="70" s="1"/>
  <c r="L39" i="70" s="1"/>
  <c r="L40" i="70" s="1"/>
  <c r="L5" i="8" s="1"/>
  <c r="N9" i="70"/>
  <c r="N11" i="70" s="1"/>
  <c r="L5" i="70"/>
  <c r="K33" i="102"/>
  <c r="K32" i="102"/>
  <c r="K31" i="102"/>
  <c r="K21" i="102"/>
  <c r="K28" i="102"/>
  <c r="L25" i="102"/>
  <c r="K27" i="102"/>
  <c r="L18" i="70"/>
  <c r="N22" i="70"/>
  <c r="L25" i="70"/>
  <c r="L24" i="70"/>
  <c r="K16" i="102"/>
  <c r="K15" i="102"/>
  <c r="K17" i="102"/>
  <c r="K11" i="102"/>
  <c r="K5" i="102"/>
  <c r="K36" i="102"/>
  <c r="L9" i="102"/>
  <c r="K12" i="102"/>
  <c r="O34" i="70"/>
  <c r="P7" i="70"/>
  <c r="P20" i="70"/>
  <c r="N35" i="70" l="1"/>
  <c r="N36" i="70" s="1"/>
  <c r="N38" i="70" s="1"/>
  <c r="N39" i="70" s="1"/>
  <c r="N40" i="70" s="1"/>
  <c r="N5" i="8" s="1"/>
  <c r="N12" i="70"/>
  <c r="N5" i="70"/>
  <c r="O9" i="70"/>
  <c r="N30" i="70"/>
  <c r="L17" i="102"/>
  <c r="L16" i="102"/>
  <c r="L15" i="102"/>
  <c r="L36" i="102"/>
  <c r="L12" i="102"/>
  <c r="N9" i="102"/>
  <c r="L11" i="102"/>
  <c r="L33" i="102"/>
  <c r="L32" i="102"/>
  <c r="L31" i="102"/>
  <c r="L27" i="102"/>
  <c r="N25" i="102"/>
  <c r="L21" i="102"/>
  <c r="L28" i="102"/>
  <c r="O22" i="70"/>
  <c r="N18" i="70"/>
  <c r="N24" i="70"/>
  <c r="N25" i="70"/>
  <c r="P34" i="70"/>
  <c r="O35" i="70" l="1"/>
  <c r="O36" i="70" s="1"/>
  <c r="O38" i="70" s="1"/>
  <c r="O39" i="70" s="1"/>
  <c r="O40" i="70" s="1"/>
  <c r="O5" i="8" s="1"/>
  <c r="P9" i="70"/>
  <c r="P12" i="70" s="1"/>
  <c r="O11" i="70"/>
  <c r="O5" i="70"/>
  <c r="O12" i="70"/>
  <c r="O30" i="70"/>
  <c r="P22" i="70"/>
  <c r="P18" i="70" s="1"/>
  <c r="O18" i="70"/>
  <c r="O25" i="70"/>
  <c r="O24" i="70"/>
  <c r="N17" i="102"/>
  <c r="N16" i="102"/>
  <c r="N15" i="102"/>
  <c r="N12" i="102"/>
  <c r="N11" i="102"/>
  <c r="N5" i="102"/>
  <c r="O9" i="102"/>
  <c r="N36" i="102"/>
  <c r="N31" i="102"/>
  <c r="N33" i="102"/>
  <c r="N32" i="102"/>
  <c r="N27" i="102"/>
  <c r="N21" i="102"/>
  <c r="O25" i="102"/>
  <c r="N28" i="102"/>
  <c r="P35" i="70" l="1"/>
  <c r="P36" i="70" s="1"/>
  <c r="P38" i="70" s="1"/>
  <c r="P39" i="70" s="1"/>
  <c r="P40" i="70" s="1"/>
  <c r="P5" i="8" s="1"/>
  <c r="P30" i="70"/>
  <c r="P11" i="70"/>
  <c r="P5" i="70"/>
  <c r="O32" i="102"/>
  <c r="O31" i="102"/>
  <c r="O33" i="102"/>
  <c r="O27" i="102"/>
  <c r="O21" i="102"/>
  <c r="P25" i="102"/>
  <c r="O28" i="102"/>
  <c r="O15" i="102"/>
  <c r="O17" i="102"/>
  <c r="O16" i="102"/>
  <c r="O36" i="102"/>
  <c r="O5" i="102"/>
  <c r="P9" i="102"/>
  <c r="O12" i="102"/>
  <c r="O11" i="102"/>
  <c r="P24" i="70"/>
  <c r="P25" i="70"/>
  <c r="P16" i="102" l="1"/>
  <c r="P15" i="102"/>
  <c r="P17" i="102"/>
  <c r="P11" i="102"/>
  <c r="P5" i="102"/>
  <c r="P36" i="102"/>
  <c r="P12" i="102"/>
  <c r="P33" i="102"/>
  <c r="P32" i="102"/>
  <c r="P31" i="102"/>
  <c r="P28" i="102"/>
  <c r="P27" i="102"/>
  <c r="P21" i="102"/>
  <c r="L4" i="88"/>
  <c r="L14" i="88"/>
  <c r="B11" i="1" s="1"/>
  <c r="N14" i="88"/>
  <c r="D11" i="1" s="1"/>
  <c r="M4" i="88"/>
  <c r="C4" i="1" s="1"/>
  <c r="I77" i="88"/>
  <c r="N4" i="88"/>
  <c r="D4" i="1" s="1"/>
  <c r="N7" i="88"/>
  <c r="D4" i="2" s="1"/>
  <c r="D8" i="2" s="1"/>
  <c r="L8" i="88"/>
  <c r="H77" i="88"/>
  <c r="M14" i="88"/>
  <c r="C11" i="1" s="1"/>
  <c r="L9" i="88"/>
  <c r="B4" i="5" s="1"/>
  <c r="L7" i="88"/>
  <c r="M3" i="88"/>
  <c r="L6" i="88"/>
  <c r="B4" i="3" s="1"/>
  <c r="M9" i="88"/>
  <c r="C4" i="5" s="1"/>
  <c r="M19" i="88"/>
  <c r="N3" i="88"/>
  <c r="D4" i="6" s="1"/>
  <c r="D8" i="6" s="1"/>
  <c r="L18" i="88"/>
  <c r="F11" i="103"/>
  <c r="F12" i="103" s="1"/>
  <c r="F17" i="103" s="1"/>
  <c r="N6" i="88"/>
  <c r="L13" i="88"/>
  <c r="M8" i="88"/>
  <c r="C4" i="4" s="1"/>
  <c r="I79" i="88"/>
  <c r="M7" i="88"/>
  <c r="C4" i="2" s="1"/>
  <c r="I81" i="88"/>
  <c r="N9" i="88"/>
  <c r="D4" i="5" s="1"/>
  <c r="M13" i="88"/>
  <c r="C11" i="6" s="1"/>
  <c r="L17" i="88"/>
  <c r="H11" i="103"/>
  <c r="N17" i="88"/>
  <c r="D11" i="2" s="1"/>
  <c r="D15" i="2" s="1"/>
  <c r="I76" i="88"/>
  <c r="L3" i="88"/>
  <c r="B4" i="6" s="1"/>
  <c r="L19" i="88"/>
  <c r="B11" i="5" s="1"/>
  <c r="M18" i="88"/>
  <c r="C11" i="4"/>
  <c r="C15" i="4" s="1"/>
  <c r="I78" i="88"/>
  <c r="M6" i="88"/>
  <c r="H79" i="88"/>
  <c r="M17" i="88"/>
  <c r="C11" i="2" s="1"/>
  <c r="H76" i="88"/>
  <c r="N13" i="88"/>
  <c r="H80" i="88"/>
  <c r="N18" i="88"/>
  <c r="D11" i="4" s="1"/>
  <c r="I80" i="88"/>
  <c r="N8" i="88"/>
  <c r="D4" i="4" s="1"/>
  <c r="H78" i="88"/>
  <c r="G11" i="103"/>
  <c r="H81" i="88"/>
  <c r="N19" i="88"/>
  <c r="F4" i="103" l="1"/>
  <c r="O16" i="88"/>
  <c r="R16" i="88" s="1"/>
  <c r="G15" i="103"/>
  <c r="G12" i="103"/>
  <c r="G16" i="103" s="1"/>
  <c r="H82" i="88"/>
  <c r="L20" i="88"/>
  <c r="N29" i="102" s="1"/>
  <c r="I82" i="88"/>
  <c r="M20" i="88"/>
  <c r="O29" i="102" s="1"/>
  <c r="C15" i="2"/>
  <c r="N20" i="88"/>
  <c r="P29" i="102" s="1"/>
  <c r="D11" i="6"/>
  <c r="D8" i="5"/>
  <c r="D4" i="3"/>
  <c r="H4" i="103"/>
  <c r="O7" i="88"/>
  <c r="R7" i="88" s="1"/>
  <c r="B8" i="6"/>
  <c r="B5" i="6"/>
  <c r="D15" i="5"/>
  <c r="D8" i="4"/>
  <c r="C4" i="3"/>
  <c r="G4" i="103"/>
  <c r="B15" i="5"/>
  <c r="B12" i="5"/>
  <c r="C12" i="5" s="1"/>
  <c r="E11" i="5"/>
  <c r="C15" i="6"/>
  <c r="C8" i="2"/>
  <c r="C15" i="5"/>
  <c r="I11" i="103"/>
  <c r="F8" i="103"/>
  <c r="F5" i="103"/>
  <c r="J13" i="70"/>
  <c r="J14" i="70" s="1"/>
  <c r="B8" i="5"/>
  <c r="B5" i="5"/>
  <c r="C5" i="5" s="1"/>
  <c r="E4" i="5"/>
  <c r="R4" i="5" s="1"/>
  <c r="C8" i="4"/>
  <c r="B11" i="6"/>
  <c r="O18" i="88"/>
  <c r="R18" i="88" s="1"/>
  <c r="B11" i="4"/>
  <c r="C8" i="5"/>
  <c r="O6" i="88"/>
  <c r="R6" i="88" s="1"/>
  <c r="O9" i="88"/>
  <c r="R9" i="88" s="1"/>
  <c r="F16" i="103"/>
  <c r="D15" i="1"/>
  <c r="B4" i="1"/>
  <c r="O4" i="88"/>
  <c r="R4" i="88" s="1"/>
  <c r="F15" i="103"/>
  <c r="B8" i="3"/>
  <c r="B5" i="3"/>
  <c r="O19" i="88"/>
  <c r="R19" i="88" s="1"/>
  <c r="D15" i="4"/>
  <c r="O3" i="88"/>
  <c r="R3" i="88" s="1"/>
  <c r="L10" i="88"/>
  <c r="O17" i="88"/>
  <c r="R17" i="88" s="1"/>
  <c r="B11" i="2"/>
  <c r="O13" i="88"/>
  <c r="R13" i="88" s="1"/>
  <c r="F29" i="103"/>
  <c r="F31" i="103" s="1"/>
  <c r="F33" i="103" s="1"/>
  <c r="F34" i="103" s="1"/>
  <c r="H15" i="103"/>
  <c r="M10" i="88"/>
  <c r="O13" i="102" s="1"/>
  <c r="C4" i="6"/>
  <c r="B4" i="2"/>
  <c r="C15" i="1"/>
  <c r="O8" i="88"/>
  <c r="R8" i="88" s="1"/>
  <c r="B4" i="4"/>
  <c r="D8" i="1"/>
  <c r="B15" i="1"/>
  <c r="B12" i="1"/>
  <c r="N10" i="88"/>
  <c r="P13" i="102" s="1"/>
  <c r="O14" i="88"/>
  <c r="R14" i="88" s="1"/>
  <c r="J26" i="70"/>
  <c r="C8" i="1"/>
  <c r="H12" i="103" l="1"/>
  <c r="H17" i="103" s="1"/>
  <c r="G17" i="103"/>
  <c r="G29" i="103"/>
  <c r="G31" i="103" s="1"/>
  <c r="G33" i="103" s="1"/>
  <c r="G34" i="103" s="1"/>
  <c r="O20" i="88"/>
  <c r="E4" i="3"/>
  <c r="R4" i="3" s="1"/>
  <c r="C10" i="5"/>
  <c r="C9" i="5"/>
  <c r="C23" i="5"/>
  <c r="C25" i="5" s="1"/>
  <c r="C27" i="5" s="1"/>
  <c r="C28" i="5" s="1"/>
  <c r="D5" i="5"/>
  <c r="B40" i="5" s="1"/>
  <c r="B42" i="5" s="1"/>
  <c r="B44" i="5" s="1"/>
  <c r="B45" i="5" s="1"/>
  <c r="N19" i="8" s="1"/>
  <c r="H16" i="103"/>
  <c r="B15" i="2"/>
  <c r="B12" i="2"/>
  <c r="E11" i="2"/>
  <c r="F9" i="103"/>
  <c r="F23" i="103"/>
  <c r="F25" i="103" s="1"/>
  <c r="F27" i="103" s="1"/>
  <c r="F28" i="103" s="1"/>
  <c r="F39" i="103" s="1"/>
  <c r="N7" i="8" s="1"/>
  <c r="F10" i="103"/>
  <c r="E4" i="2"/>
  <c r="R4" i="2" s="1"/>
  <c r="B8" i="2"/>
  <c r="B5" i="2"/>
  <c r="G8" i="103"/>
  <c r="K13" i="70"/>
  <c r="K14" i="70" s="1"/>
  <c r="G5" i="103"/>
  <c r="H5" i="103" s="1"/>
  <c r="F40" i="103" s="1"/>
  <c r="F42" i="103" s="1"/>
  <c r="F44" i="103" s="1"/>
  <c r="F45" i="103" s="1"/>
  <c r="N16" i="8" s="1"/>
  <c r="C8" i="6"/>
  <c r="C5" i="6"/>
  <c r="N13" i="102"/>
  <c r="O10" i="88"/>
  <c r="I4" i="103"/>
  <c r="R4" i="103" s="1"/>
  <c r="R11" i="103"/>
  <c r="R11" i="5"/>
  <c r="C8" i="3"/>
  <c r="C5" i="3"/>
  <c r="D5" i="3" s="1"/>
  <c r="B40" i="3" s="1"/>
  <c r="B42" i="3" s="1"/>
  <c r="B44" i="3" s="1"/>
  <c r="B45" i="3" s="1"/>
  <c r="N15" i="8" s="1"/>
  <c r="H8" i="103"/>
  <c r="D15" i="6"/>
  <c r="B17" i="1"/>
  <c r="B16" i="1"/>
  <c r="B9" i="6"/>
  <c r="B10" i="6"/>
  <c r="B23" i="6"/>
  <c r="B25" i="6" s="1"/>
  <c r="B27" i="6" s="1"/>
  <c r="B28" i="6" s="1"/>
  <c r="K26" i="70"/>
  <c r="J27" i="70"/>
  <c r="E4" i="4"/>
  <c r="R4" i="4" s="1"/>
  <c r="B5" i="4"/>
  <c r="B8" i="4"/>
  <c r="B15" i="4"/>
  <c r="E11" i="4"/>
  <c r="B12" i="4"/>
  <c r="B9" i="5"/>
  <c r="B10" i="5"/>
  <c r="B23" i="5"/>
  <c r="B25" i="5" s="1"/>
  <c r="B27" i="5" s="1"/>
  <c r="B28" i="5" s="1"/>
  <c r="C16" i="5"/>
  <c r="C17" i="5"/>
  <c r="C29" i="5"/>
  <c r="C31" i="5" s="1"/>
  <c r="C33" i="5" s="1"/>
  <c r="C34" i="5" s="1"/>
  <c r="N13" i="70"/>
  <c r="O13" i="70" s="1"/>
  <c r="C12" i="1"/>
  <c r="B23" i="3"/>
  <c r="B25" i="3" s="1"/>
  <c r="B27" i="3" s="1"/>
  <c r="B28" i="3" s="1"/>
  <c r="B39" i="3" s="1"/>
  <c r="N6" i="8" s="1"/>
  <c r="B10" i="3"/>
  <c r="B9" i="3"/>
  <c r="B5" i="1"/>
  <c r="B8" i="1"/>
  <c r="B15" i="6"/>
  <c r="E11" i="6"/>
  <c r="N26" i="70"/>
  <c r="B12" i="6"/>
  <c r="Q29" i="102"/>
  <c r="N30" i="102"/>
  <c r="P30" i="102"/>
  <c r="O30" i="102"/>
  <c r="B17" i="5"/>
  <c r="B16" i="5"/>
  <c r="B29" i="5"/>
  <c r="B31" i="5" s="1"/>
  <c r="B33" i="5" s="1"/>
  <c r="B34" i="5" s="1"/>
  <c r="D12" i="5"/>
  <c r="E4" i="6"/>
  <c r="R4" i="6" s="1"/>
  <c r="D8" i="3"/>
  <c r="H29" i="103" l="1"/>
  <c r="H31" i="103" s="1"/>
  <c r="H33" i="103" s="1"/>
  <c r="H34" i="103" s="1"/>
  <c r="B39" i="5"/>
  <c r="N10" i="8" s="1"/>
  <c r="L13" i="70"/>
  <c r="L14" i="70" s="1"/>
  <c r="O14" i="70"/>
  <c r="P13" i="70"/>
  <c r="P14" i="70" s="1"/>
  <c r="D9" i="3"/>
  <c r="D10" i="3"/>
  <c r="D23" i="3"/>
  <c r="D25" i="3" s="1"/>
  <c r="D27" i="3" s="1"/>
  <c r="D28" i="3" s="1"/>
  <c r="D39" i="3" s="1"/>
  <c r="P6" i="8" s="1"/>
  <c r="N27" i="70"/>
  <c r="O26" i="70"/>
  <c r="C16" i="1"/>
  <c r="C17" i="1"/>
  <c r="D12" i="1"/>
  <c r="B17" i="4"/>
  <c r="B16" i="4"/>
  <c r="B29" i="4"/>
  <c r="B31" i="4" s="1"/>
  <c r="B33" i="4" s="1"/>
  <c r="B34" i="4" s="1"/>
  <c r="C12" i="4"/>
  <c r="D9" i="5"/>
  <c r="D23" i="5"/>
  <c r="D25" i="5" s="1"/>
  <c r="D27" i="5" s="1"/>
  <c r="D28" i="5" s="1"/>
  <c r="D10" i="5"/>
  <c r="G10" i="103"/>
  <c r="G9" i="103"/>
  <c r="G23" i="103"/>
  <c r="G25" i="103" s="1"/>
  <c r="G27" i="103" s="1"/>
  <c r="G28" i="103" s="1"/>
  <c r="G39" i="103" s="1"/>
  <c r="O7" i="8" s="1"/>
  <c r="C39" i="5"/>
  <c r="O10" i="8" s="1"/>
  <c r="R11" i="2"/>
  <c r="B10" i="1"/>
  <c r="B9" i="1"/>
  <c r="C5" i="1"/>
  <c r="B9" i="4"/>
  <c r="B10" i="4"/>
  <c r="B23" i="4"/>
  <c r="B25" i="4" s="1"/>
  <c r="B27" i="4" s="1"/>
  <c r="B28" i="4" s="1"/>
  <c r="C5" i="4"/>
  <c r="C10" i="3"/>
  <c r="C9" i="3"/>
  <c r="C23" i="3"/>
  <c r="C25" i="3" s="1"/>
  <c r="C27" i="3" s="1"/>
  <c r="C28" i="3" s="1"/>
  <c r="C39" i="3" s="1"/>
  <c r="O6" i="8" s="1"/>
  <c r="N14" i="102"/>
  <c r="Q13" i="102"/>
  <c r="P14" i="102"/>
  <c r="O14" i="102"/>
  <c r="B10" i="2"/>
  <c r="B9" i="2"/>
  <c r="B23" i="2"/>
  <c r="B25" i="2" s="1"/>
  <c r="B27" i="2" s="1"/>
  <c r="B28" i="2" s="1"/>
  <c r="C5" i="2"/>
  <c r="R11" i="6"/>
  <c r="N14" i="70"/>
  <c r="R11" i="4"/>
  <c r="H10" i="103"/>
  <c r="H9" i="103"/>
  <c r="H23" i="103"/>
  <c r="H25" i="103" s="1"/>
  <c r="H27" i="103" s="1"/>
  <c r="H28" i="103" s="1"/>
  <c r="D16" i="5"/>
  <c r="D17" i="5"/>
  <c r="D29" i="5"/>
  <c r="D31" i="5" s="1"/>
  <c r="D33" i="5" s="1"/>
  <c r="D34" i="5" s="1"/>
  <c r="B17" i="6"/>
  <c r="B29" i="6"/>
  <c r="B31" i="6" s="1"/>
  <c r="B33" i="6" s="1"/>
  <c r="B34" i="6" s="1"/>
  <c r="B39" i="6" s="1"/>
  <c r="N4" i="8" s="1"/>
  <c r="B16" i="6"/>
  <c r="C12" i="6"/>
  <c r="K27" i="70"/>
  <c r="L26" i="70"/>
  <c r="C10" i="6"/>
  <c r="C9" i="6"/>
  <c r="C23" i="6"/>
  <c r="C25" i="6" s="1"/>
  <c r="C27" i="6" s="1"/>
  <c r="C28" i="6" s="1"/>
  <c r="D5" i="6"/>
  <c r="B16" i="2"/>
  <c r="B17" i="2"/>
  <c r="B29" i="2"/>
  <c r="B31" i="2" s="1"/>
  <c r="B33" i="2" s="1"/>
  <c r="B34" i="2" s="1"/>
  <c r="C12" i="2"/>
  <c r="H39" i="103" l="1"/>
  <c r="P7" i="8" s="1"/>
  <c r="B39" i="4"/>
  <c r="N9" i="8" s="1"/>
  <c r="Q13" i="70"/>
  <c r="B39" i="2"/>
  <c r="N8" i="8" s="1"/>
  <c r="C17" i="6"/>
  <c r="C16" i="6"/>
  <c r="C29" i="6"/>
  <c r="C31" i="6" s="1"/>
  <c r="D12" i="6"/>
  <c r="D39" i="5"/>
  <c r="P10" i="8" s="1"/>
  <c r="C9" i="4"/>
  <c r="C23" i="4"/>
  <c r="C25" i="4" s="1"/>
  <c r="C27" i="4" s="1"/>
  <c r="C28" i="4" s="1"/>
  <c r="C10" i="4"/>
  <c r="D5" i="4"/>
  <c r="B40" i="4" s="1"/>
  <c r="B42" i="4" s="1"/>
  <c r="B44" i="4" s="1"/>
  <c r="B45" i="4" s="1"/>
  <c r="N18" i="8" s="1"/>
  <c r="C10" i="1"/>
  <c r="C9" i="1"/>
  <c r="D5" i="1"/>
  <c r="C16" i="2"/>
  <c r="C17" i="2"/>
  <c r="C29" i="2"/>
  <c r="C31" i="2" s="1"/>
  <c r="C33" i="2" s="1"/>
  <c r="C34" i="2" s="1"/>
  <c r="D12" i="2"/>
  <c r="D9" i="6"/>
  <c r="D23" i="6"/>
  <c r="D25" i="6" s="1"/>
  <c r="D27" i="6" s="1"/>
  <c r="D28" i="6" s="1"/>
  <c r="D10" i="6"/>
  <c r="B40" i="6"/>
  <c r="B42" i="6" s="1"/>
  <c r="B44" i="6" s="1"/>
  <c r="B45" i="6" s="1"/>
  <c r="N14" i="8" s="1"/>
  <c r="L27" i="70"/>
  <c r="M26" i="70"/>
  <c r="C17" i="4"/>
  <c r="C16" i="4"/>
  <c r="C29" i="4"/>
  <c r="C31" i="4" s="1"/>
  <c r="C33" i="4" s="1"/>
  <c r="C34" i="4" s="1"/>
  <c r="D12" i="4"/>
  <c r="D16" i="1"/>
  <c r="D17" i="1"/>
  <c r="C10" i="2"/>
  <c r="C23" i="2"/>
  <c r="C25" i="2" s="1"/>
  <c r="C27" i="2" s="1"/>
  <c r="C28" i="2" s="1"/>
  <c r="C9" i="2"/>
  <c r="D5" i="2"/>
  <c r="B40" i="2" s="1"/>
  <c r="B42" i="2" s="1"/>
  <c r="B44" i="2" s="1"/>
  <c r="B45" i="2" s="1"/>
  <c r="N17" i="8" s="1"/>
  <c r="O27" i="70"/>
  <c r="P26" i="70"/>
  <c r="C34" i="6" l="1"/>
  <c r="C39" i="6" s="1"/>
  <c r="O4" i="8" s="1"/>
  <c r="C33" i="6"/>
  <c r="C39" i="2"/>
  <c r="O8" i="8" s="1"/>
  <c r="P27" i="70"/>
  <c r="Q26" i="70"/>
  <c r="D17" i="4"/>
  <c r="D16" i="4"/>
  <c r="D29" i="4"/>
  <c r="D31" i="4" s="1"/>
  <c r="D33" i="4" s="1"/>
  <c r="D34" i="4" s="1"/>
  <c r="C39" i="4"/>
  <c r="O9" i="8" s="1"/>
  <c r="D9" i="4"/>
  <c r="D10" i="4"/>
  <c r="D23" i="4"/>
  <c r="D25" i="4" s="1"/>
  <c r="D27" i="4" s="1"/>
  <c r="D28" i="4" s="1"/>
  <c r="D10" i="2"/>
  <c r="D23" i="2"/>
  <c r="D25" i="2" s="1"/>
  <c r="D27" i="2" s="1"/>
  <c r="D28" i="2" s="1"/>
  <c r="D9" i="2"/>
  <c r="D17" i="2"/>
  <c r="D29" i="2"/>
  <c r="D31" i="2" s="1"/>
  <c r="D33" i="2" s="1"/>
  <c r="D34" i="2" s="1"/>
  <c r="D16" i="2"/>
  <c r="D10" i="1"/>
  <c r="D9" i="1"/>
  <c r="D17" i="6"/>
  <c r="D16" i="6"/>
  <c r="D29" i="6"/>
  <c r="D31" i="6" s="1"/>
  <c r="D33" i="6" s="1"/>
  <c r="D34" i="6" s="1"/>
  <c r="D39" i="6" s="1"/>
  <c r="P4" i="8" s="1"/>
  <c r="D39" i="4" l="1"/>
  <c r="P9" i="8" s="1"/>
  <c r="D39" i="2"/>
  <c r="P8" i="8" s="1"/>
</calcChain>
</file>

<file path=xl/comments1.xml><?xml version="1.0" encoding="utf-8"?>
<comments xmlns="http://schemas.openxmlformats.org/spreadsheetml/2006/main">
  <authors>
    <author>katarzynao</author>
  </authors>
  <commentList>
    <comment ref="A64" authorId="0">
      <text>
        <r>
          <rPr>
            <sz val="9"/>
            <color indexed="81"/>
            <rFont val="Tahoma"/>
            <family val="2"/>
            <charset val="238"/>
          </rPr>
          <t>Za nowego Klienta uznajemy Podmiot, który złożył pierwsze zamówienie (z wykluczeniem Klientów przekazanych do prowadzenia z Gliwic oraz zmieniających nazwę lub NIP) 
Za datę pozyskania nowego Klienta uznajemy dzień złożenia pierwszego zamówienia</t>
        </r>
      </text>
    </comment>
    <comment ref="A65" authorId="0">
      <text>
        <r>
          <rPr>
            <sz val="9"/>
            <color indexed="81"/>
            <rFont val="Tahoma"/>
            <family val="2"/>
            <charset val="238"/>
          </rPr>
          <t>Ilość Klientów przekazanych z Gliwic lub zmieniających nazwę/NIP, którzy złożyli pierwsze zamówienie w ET Kraków, wg daty pierwszego zamówienia w ET K-ów (dla klientów z Gliwic oraz zmieniających NIP) w CRM</t>
        </r>
      </text>
    </comment>
    <comment ref="A66" authorId="0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67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68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69" authorId="0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70" authorId="0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71" authorId="0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72" authorId="0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73" authorId="0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74" authorId="0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75" authorId="0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z Marketingu (Podmiotów, Klientów z Gliwic, Klientów nieaktywnych itp.), wg terminu zakończenia zadania w raportowany miesiącu.</t>
        </r>
      </text>
    </comment>
    <comment ref="A76" authorId="0">
      <text>
        <r>
          <rPr>
            <sz val="9"/>
            <color indexed="81"/>
            <rFont val="Tahoma"/>
            <family val="2"/>
            <charset val="238"/>
          </rPr>
          <t xml:space="preserve">Ilość wszystkich przekazanych podmiotów do prowadzenia od Kierownika Działu Handlowego, wg terminu zakończenia zadania w raportowanym miesiącu.
</t>
        </r>
      </text>
    </comment>
    <comment ref="A77" authorId="0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78" authorId="0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79" authorId="0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80" authorId="0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81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82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83" authorId="0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2.xml><?xml version="1.0" encoding="utf-8"?>
<comments xmlns="http://schemas.openxmlformats.org/spreadsheetml/2006/main">
  <authors>
    <author>katarzynao</author>
  </authors>
  <commentList>
    <comment ref="A38" authorId="0">
      <text>
        <r>
          <rPr>
            <sz val="9"/>
            <color indexed="81"/>
            <rFont val="Tahoma"/>
            <family val="2"/>
            <charset val="238"/>
          </rPr>
          <t>Za nowego Klienta uznajemy Podmiot, który złożył pierwsze zamówienie (z wykluczeniem Klientów przekazanych do prowadzenia z Gliwic oraz zmieniających nazwę lub NIP) 
Za datę pozyskania nowego Klienta uznajemy dzień złożenia pierwszego zamówienia</t>
        </r>
      </text>
    </comment>
    <comment ref="A39" authorId="0">
      <text>
        <r>
          <rPr>
            <sz val="9"/>
            <color indexed="81"/>
            <rFont val="Tahoma"/>
            <family val="2"/>
            <charset val="238"/>
          </rPr>
          <t>Ilość Klientów przekazanych z Gliwic lub zmieniających nazwę/NIP, którzy złożyli pierwsze zamówienie w ET Kraków, wg daty pierwszego zamówienia w ET K-ów (dla klientów z Gliwic oraz zmieniających NIP) w CRM</t>
        </r>
      </text>
    </comment>
    <comment ref="A40" authorId="0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41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2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3" authorId="0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44" authorId="0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45" authorId="0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46" authorId="0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47" authorId="0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48" authorId="0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49" authorId="0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z Marketingu (Podmiotów, Klientów z Gliwic, Klientów nieaktywnych itp.), wg terminu zakończenia zadania w raportowany miesiącu.</t>
        </r>
      </text>
    </comment>
    <comment ref="A50" authorId="0">
      <text>
        <r>
          <rPr>
            <sz val="9"/>
            <color indexed="81"/>
            <rFont val="Tahoma"/>
            <family val="2"/>
            <charset val="238"/>
          </rPr>
          <t xml:space="preserve">Ilość wszystkich przekazanych podmiotów do prowadzenia od Kierownika Działu Handlowego, wg terminu zakończenia zadania w raportowanym miesiącu.
</t>
        </r>
      </text>
    </comment>
    <comment ref="A51" authorId="0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52" authorId="0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53" authorId="0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54" authorId="0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55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56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57" authorId="0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3.xml><?xml version="1.0" encoding="utf-8"?>
<comments xmlns="http://schemas.openxmlformats.org/spreadsheetml/2006/main">
  <authors>
    <author>katarzynao</author>
  </authors>
  <commentList>
    <comment ref="A64" authorId="0">
      <text>
        <r>
          <rPr>
            <sz val="9"/>
            <color indexed="81"/>
            <rFont val="Tahoma"/>
            <family val="2"/>
            <charset val="238"/>
          </rPr>
          <t>Za nowego Klienta uznajemy Podmiot, który złożył pierwsze zamówienie (z wykluczeniem Klientów przekazanych do prowadzenia z Gliwic oraz zmieniających nazwę lub NIP) 
Za datę pozyskania nowego Klienta uznajemy dzień złożenia pierwszego zamówienia</t>
        </r>
      </text>
    </comment>
    <comment ref="A65" authorId="0">
      <text>
        <r>
          <rPr>
            <sz val="9"/>
            <color indexed="81"/>
            <rFont val="Tahoma"/>
            <family val="2"/>
            <charset val="238"/>
          </rPr>
          <t>Ilość Klientów przekazanych z Gliwic lub zmieniających nazwę/NIP, którzy złożyli pierwsze zamówienie w ET Kraków, wg daty pierwszego zamówienia w ET K-ów (dla klientów z Gliwic oraz zmieniających NIP) w CRM</t>
        </r>
      </text>
    </comment>
    <comment ref="A66" authorId="0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67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68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69" authorId="0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70" authorId="0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71" authorId="0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72" authorId="0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73" authorId="0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74" authorId="0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75" authorId="0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z Marketingu (Podmiotów, Klientów z Gliwic, Klientów nieaktywnych itp.), wg terminu zakończenia zadania w raportowany miesiącu.</t>
        </r>
      </text>
    </comment>
    <comment ref="A76" authorId="0">
      <text>
        <r>
          <rPr>
            <sz val="9"/>
            <color indexed="81"/>
            <rFont val="Tahoma"/>
            <family val="2"/>
            <charset val="238"/>
          </rPr>
          <t xml:space="preserve">Ilość wszystkich przekazanych podmiotów do prowadzenia od Kierownika Działu Handlowego, wg terminu zakończenia zadania w raportowanym miesiącu.
</t>
        </r>
      </text>
    </comment>
    <comment ref="A77" authorId="0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78" authorId="0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79" authorId="0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80" authorId="0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81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82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83" authorId="0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4.xml><?xml version="1.0" encoding="utf-8"?>
<comments xmlns="http://schemas.openxmlformats.org/spreadsheetml/2006/main">
  <authors>
    <author>katarzynao</author>
  </authors>
  <commentList>
    <comment ref="A64" authorId="0">
      <text>
        <r>
          <rPr>
            <sz val="9"/>
            <color indexed="81"/>
            <rFont val="Tahoma"/>
            <family val="2"/>
            <charset val="238"/>
          </rPr>
          <t>Za nowego Klienta uznajemy Podmiot, który złożył pierwsze zamówienie (z wykluczeniem Klientów przekazanych do prowadzenia z Gliwic oraz zmieniających nazwę lub NIP) 
Za datę pozyskania nowego Klienta uznajemy dzień złożenia pierwszego zamówienia</t>
        </r>
      </text>
    </comment>
    <comment ref="A65" authorId="0">
      <text>
        <r>
          <rPr>
            <sz val="9"/>
            <color indexed="81"/>
            <rFont val="Tahoma"/>
            <family val="2"/>
            <charset val="238"/>
          </rPr>
          <t>Ilość Klientów przekazanych z Gliwic lub zmieniających nazwę/NIP, którzy złożyli pierwsze zamówienie w ET Kraków, wg daty pierwszego zamówienia w ET K-ów (dla klientów z Gliwic oraz zmieniających NIP) w CRM</t>
        </r>
      </text>
    </comment>
    <comment ref="A66" authorId="0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67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68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69" authorId="0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70" authorId="0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71" authorId="0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72" authorId="0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73" authorId="0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74" authorId="0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75" authorId="0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z Marketingu (Podmiotów, Klientów z Gliwic, Klientów nieaktywnych itp.), wg terminu zakończenia zadania w raportowany miesiącu.</t>
        </r>
      </text>
    </comment>
    <comment ref="A76" authorId="0">
      <text>
        <r>
          <rPr>
            <sz val="9"/>
            <color indexed="81"/>
            <rFont val="Tahoma"/>
            <family val="2"/>
            <charset val="238"/>
          </rPr>
          <t xml:space="preserve">Ilość wszystkich przekazanych podmiotów do prowadzenia od Kierownika Działu Handlowego, wg terminu zakończenia zadania w raportowanym miesiącu.
</t>
        </r>
      </text>
    </comment>
    <comment ref="A77" authorId="0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78" authorId="0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79" authorId="0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80" authorId="0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81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82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83" authorId="0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5.xml><?xml version="1.0" encoding="utf-8"?>
<comments xmlns="http://schemas.openxmlformats.org/spreadsheetml/2006/main">
  <authors>
    <author>katarzynao</author>
  </authors>
  <commentList>
    <comment ref="A64" authorId="0">
      <text>
        <r>
          <rPr>
            <sz val="9"/>
            <color indexed="81"/>
            <rFont val="Tahoma"/>
            <family val="2"/>
            <charset val="238"/>
          </rPr>
          <t>Za nowego Klienta uznajemy Podmiot, który złożył pierwsze zamówienie (z wykluczeniem Klientów przekazanych do prowadzenia z Gliwic oraz zmieniających nazwę lub NIP) 
Za datę pozyskania nowego Klienta uznajemy dzień złożenia pierwszego zamówienia</t>
        </r>
      </text>
    </comment>
    <comment ref="A65" authorId="0">
      <text>
        <r>
          <rPr>
            <sz val="9"/>
            <color indexed="81"/>
            <rFont val="Tahoma"/>
            <family val="2"/>
            <charset val="238"/>
          </rPr>
          <t>Ilość Klientów przekazanych z Gliwic lub zmieniających nazwę/NIP, którzy złożyli pierwsze zamówienie w ET Kraków, wg daty pierwszego zamówienia w ET K-ów (dla klientów z Gliwic oraz zmieniających NIP) w CRM</t>
        </r>
      </text>
    </comment>
    <comment ref="A66" authorId="0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67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68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69" authorId="0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70" authorId="0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71" authorId="0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72" authorId="0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73" authorId="0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74" authorId="0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75" authorId="0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z Marketingu (Podmiotów, Klientów z Gliwic, Klientów nieaktywnych itp.), wg terminu zakończenia zadania w raportowany miesiącu.</t>
        </r>
      </text>
    </comment>
    <comment ref="A76" authorId="0">
      <text>
        <r>
          <rPr>
            <sz val="9"/>
            <color indexed="81"/>
            <rFont val="Tahoma"/>
            <family val="2"/>
            <charset val="238"/>
          </rPr>
          <t xml:space="preserve">Ilość wszystkich przekazanych podmiotów do prowadzenia od Kierownika Działu Handlowego, wg terminu zakończenia zadania w raportowanym miesiącu.
</t>
        </r>
      </text>
    </comment>
    <comment ref="A77" authorId="0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78" authorId="0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79" authorId="0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80" authorId="0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81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82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83" authorId="0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6.xml><?xml version="1.0" encoding="utf-8"?>
<comments xmlns="http://schemas.openxmlformats.org/spreadsheetml/2006/main">
  <authors>
    <author>katarzynao</author>
  </authors>
  <commentList>
    <comment ref="A64" authorId="0">
      <text>
        <r>
          <rPr>
            <sz val="9"/>
            <color indexed="81"/>
            <rFont val="Tahoma"/>
            <family val="2"/>
            <charset val="238"/>
          </rPr>
          <t>Za nowego Klienta uznajemy Podmiot, który złożył pierwsze zamówienie (z wykluczeniem Klientów przekazanych do prowadzenia z Gliwic oraz zmieniających nazwę lub NIP) 
Za datę pozyskania nowego Klienta uznajemy dzień złożenia pierwszego zamówienia</t>
        </r>
      </text>
    </comment>
    <comment ref="A65" authorId="0">
      <text>
        <r>
          <rPr>
            <sz val="9"/>
            <color indexed="81"/>
            <rFont val="Tahoma"/>
            <family val="2"/>
            <charset val="238"/>
          </rPr>
          <t>Ilość Klientów przekazanych z Gliwic lub zmieniających nazwę/NIP, którzy złożyli pierwsze zamówienie w ET Kraków, wg daty pierwszego zamówienia w ET K-ów (dla klientów z Gliwic oraz zmieniających NIP) w CRM</t>
        </r>
      </text>
    </comment>
    <comment ref="A66" authorId="0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67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68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69" authorId="0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70" authorId="0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71" authorId="0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72" authorId="0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73" authorId="0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74" authorId="0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75" authorId="0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z Marketingu (Podmiotów, Klientów z Gliwic, Klientów nieaktywnych itp.), wg terminu zakończenia zadania w raportowany miesiącu.</t>
        </r>
      </text>
    </comment>
    <comment ref="A76" authorId="0">
      <text>
        <r>
          <rPr>
            <sz val="9"/>
            <color indexed="81"/>
            <rFont val="Tahoma"/>
            <family val="2"/>
            <charset val="238"/>
          </rPr>
          <t xml:space="preserve">Ilość wszystkich przekazanych podmiotów do prowadzenia od Kierownika Działu Handlowego, wg terminu zakończenia zadania w raportowanym miesiącu.
</t>
        </r>
      </text>
    </comment>
    <comment ref="A77" authorId="0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78" authorId="0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79" authorId="0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80" authorId="0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81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82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83" authorId="0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7.xml><?xml version="1.0" encoding="utf-8"?>
<comments xmlns="http://schemas.openxmlformats.org/spreadsheetml/2006/main">
  <authors>
    <author>katarzynao</author>
  </authors>
  <commentList>
    <comment ref="A64" authorId="0">
      <text>
        <r>
          <rPr>
            <sz val="9"/>
            <color indexed="81"/>
            <rFont val="Tahoma"/>
            <family val="2"/>
            <charset val="238"/>
          </rPr>
          <t>Za nowego Klienta uznajemy Podmiot, który złożył pierwsze zamówienie (z wykluczeniem Klientów przekazanych do prowadzenia z Gliwic oraz zmieniających nazwę lub NIP) 
Za datę pozyskania nowego Klienta uznajemy dzień złożenia pierwszego zamówienia</t>
        </r>
      </text>
    </comment>
    <comment ref="A65" authorId="0">
      <text>
        <r>
          <rPr>
            <sz val="9"/>
            <color indexed="81"/>
            <rFont val="Tahoma"/>
            <family val="2"/>
            <charset val="238"/>
          </rPr>
          <t>Ilość Klientów przekazanych z Gliwic lub zmieniających nazwę/NIP, którzy złożyli pierwsze zamówienie w ET Kraków, wg daty pierwszego zamówienia w ET K-ów (dla klientów z Gliwic oraz zmieniających NIP) w CRM</t>
        </r>
      </text>
    </comment>
    <comment ref="A66" authorId="0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67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68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69" authorId="0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70" authorId="0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71" authorId="0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72" authorId="0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73" authorId="0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74" authorId="0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75" authorId="0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z Marketingu (Podmiotów, Klientów z Gliwic, Klientów nieaktywnych itp.), wg terminu zakończenia zadania w raportowany miesiącu.</t>
        </r>
      </text>
    </comment>
    <comment ref="A76" authorId="0">
      <text>
        <r>
          <rPr>
            <sz val="9"/>
            <color indexed="81"/>
            <rFont val="Tahoma"/>
            <family val="2"/>
            <charset val="238"/>
          </rPr>
          <t xml:space="preserve">Ilość wszystkich przekazanych podmiotów do prowadzenia od Kierownika Działu Handlowego, wg terminu zakończenia zadania w raportowanym miesiącu.
</t>
        </r>
      </text>
    </comment>
    <comment ref="A77" authorId="0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78" authorId="0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79" authorId="0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80" authorId="0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81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82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83" authorId="0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8.xml><?xml version="1.0" encoding="utf-8"?>
<comments xmlns="http://schemas.openxmlformats.org/spreadsheetml/2006/main">
  <authors>
    <author>katarzynao</author>
  </authors>
  <commentList>
    <comment ref="A3" authorId="0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z serwisem</t>
        </r>
      </text>
    </comment>
    <comment ref="A16" authorId="0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z serwisem</t>
        </r>
      </text>
    </comment>
    <comment ref="A59" authorId="0">
      <text>
        <r>
          <rPr>
            <sz val="9"/>
            <color indexed="81"/>
            <rFont val="Tahoma"/>
            <family val="2"/>
            <charset val="238"/>
          </rPr>
          <t>Za nowego Klienta uznajemy Podmiot, który złożył pierwsze zamówienie (z wykluczeniem Klientów przekazanych do prowadzenia z Gliwic oraz zmieniających nazwę lub NIP) 
Za datę pozyskania nowego Klienta uznajemy dzień złożenia pierwszego zamówienia</t>
        </r>
      </text>
    </comment>
    <comment ref="A60" authorId="0">
      <text>
        <r>
          <rPr>
            <sz val="9"/>
            <color indexed="81"/>
            <rFont val="Tahoma"/>
            <family val="2"/>
            <charset val="238"/>
          </rPr>
          <t>Ilość Klientów przekazanych z Gliwic lub zmieniających nazwę/NIP, którzy złożyli pierwsze zamówienie w ET Kraków, wg daty pierwszego zamówienia w ET K-ów (dla klientów z Gliwic oraz zmieniających NIP) w CRM</t>
        </r>
      </text>
    </comment>
    <comment ref="A61" authorId="0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62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63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64" authorId="0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65" authorId="0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66" authorId="0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67" authorId="0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68" authorId="0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69" authorId="0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70" authorId="0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z Marketingu (Podmiotów, Klientów z Gliwic, Klientów nieaktywnych itp.), wg terminu zakończenia zadania w raportowany miesiącu.</t>
        </r>
      </text>
    </comment>
    <comment ref="A71" authorId="0">
      <text>
        <r>
          <rPr>
            <sz val="9"/>
            <color indexed="81"/>
            <rFont val="Tahoma"/>
            <family val="2"/>
            <charset val="238"/>
          </rPr>
          <t xml:space="preserve">Ilość wszystkich przekazanych podmiotów do prowadzenia od Kierownika Działu Handlowego, wg terminu zakończenia zadania w raportowanym miesiącu.
</t>
        </r>
      </text>
    </comment>
    <comment ref="A72" authorId="0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73" authorId="0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74" authorId="0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75" authorId="0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76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77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78" authorId="0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9.xml><?xml version="1.0" encoding="utf-8"?>
<comments xmlns="http://schemas.openxmlformats.org/spreadsheetml/2006/main">
  <authors>
    <author>katarzynao</author>
  </authors>
  <commentList>
    <comment ref="A3" authorId="0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z serwisem</t>
        </r>
      </text>
    </comment>
    <comment ref="A19" authorId="0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z serwisem</t>
        </r>
      </text>
    </comment>
  </commentList>
</comments>
</file>

<file path=xl/comments10.xml><?xml version="1.0" encoding="utf-8"?>
<comments xmlns="http://schemas.openxmlformats.org/spreadsheetml/2006/main">
  <authors>
    <author>Handlowy1</author>
  </authors>
  <commentList>
    <comment ref="I6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W styczniu ORION wystawił fakturę na polimery.
Niestety nie udało się ich doliczyć do ceny etykiet 
JSCBGROUP  216,46 zł. (50 EUR)- – Obniż marżę
Marek
</t>
        </r>
      </text>
    </comment>
  </commentList>
</comments>
</file>

<file path=xl/comments11.xml><?xml version="1.0" encoding="utf-8"?>
<comments xmlns="http://schemas.openxmlformats.org/spreadsheetml/2006/main">
  <authors>
    <author>Handlowy1</author>
  </authors>
  <commentList>
    <comment ref="I3" authorId="0">
      <text>
        <r>
          <rPr>
            <b/>
            <sz val="9"/>
            <color indexed="81"/>
            <rFont val="Tahoma"/>
            <family val="2"/>
            <charset val="238"/>
          </rPr>
          <t>Handlowy1:</t>
        </r>
        <r>
          <rPr>
            <sz val="9"/>
            <color indexed="81"/>
            <rFont val="Tahoma"/>
            <family val="2"/>
            <charset val="238"/>
          </rPr>
          <t xml:space="preserve">
1092 W2W</t>
        </r>
      </text>
    </comment>
  </commentList>
</comments>
</file>

<file path=xl/comments12.xml><?xml version="1.0" encoding="utf-8"?>
<comments xmlns="http://schemas.openxmlformats.org/spreadsheetml/2006/main">
  <authors>
    <author>Handlowy1</author>
  </authors>
  <commentList>
    <comment ref="I5" authorId="0">
      <text>
        <r>
          <rPr>
            <b/>
            <sz val="9"/>
            <color indexed="81"/>
            <rFont val="Tahoma"/>
            <family val="2"/>
            <charset val="238"/>
          </rPr>
          <t>RCKIK -4100</t>
        </r>
      </text>
    </comment>
    <comment ref="I6" authorId="0">
      <text>
        <r>
          <rPr>
            <b/>
            <sz val="9"/>
            <color indexed="81"/>
            <rFont val="Tahoma"/>
            <family val="2"/>
            <charset val="238"/>
          </rPr>
          <t>Handlowy1:</t>
        </r>
        <r>
          <rPr>
            <sz val="9"/>
            <color indexed="81"/>
            <rFont val="Tahoma"/>
            <family val="2"/>
            <charset val="238"/>
          </rPr>
          <t xml:space="preserve">
W2W 3760
</t>
        </r>
      </text>
    </comment>
  </commentList>
</comments>
</file>

<file path=xl/comments13.xml><?xml version="1.0" encoding="utf-8"?>
<comments xmlns="http://schemas.openxmlformats.org/spreadsheetml/2006/main">
  <authors>
    <author>Handlowy1</author>
  </authors>
  <commentList>
    <comment ref="I6" authorId="0">
      <text>
        <r>
          <rPr>
            <b/>
            <sz val="9"/>
            <color indexed="81"/>
            <rFont val="Tahoma"/>
            <family val="2"/>
            <charset val="238"/>
          </rPr>
          <t>Handlowy1:</t>
        </r>
        <r>
          <rPr>
            <sz val="9"/>
            <color indexed="81"/>
            <rFont val="Tahoma"/>
            <family val="2"/>
            <charset val="238"/>
          </rPr>
          <t xml:space="preserve">
W2W-740</t>
        </r>
      </text>
    </comment>
  </commentList>
</comments>
</file>

<file path=xl/comments14.xml><?xml version="1.0" encoding="utf-8"?>
<comments xmlns="http://schemas.openxmlformats.org/spreadsheetml/2006/main">
  <authors>
    <author>Handlowy1</author>
  </authors>
  <commentList>
    <comment ref="I4" authorId="0">
      <text>
        <r>
          <rPr>
            <b/>
            <sz val="9"/>
            <color indexed="81"/>
            <rFont val="Tahoma"/>
            <family val="2"/>
            <charset val="238"/>
          </rPr>
          <t>Handlowy1:</t>
        </r>
        <r>
          <rPr>
            <sz val="9"/>
            <color indexed="81"/>
            <rFont val="Tahoma"/>
            <family val="2"/>
            <charset val="238"/>
          </rPr>
          <t xml:space="preserve">
Koszt „sprzedaży” dla W2W  zł – 2 350,00 </t>
        </r>
      </text>
    </comment>
    <comment ref="I8" authorId="0">
      <text>
        <r>
          <rPr>
            <b/>
            <sz val="9"/>
            <color indexed="81"/>
            <rFont val="Tahoma"/>
            <family val="2"/>
            <charset val="238"/>
          </rPr>
          <t>Handlowy1:</t>
        </r>
        <r>
          <rPr>
            <sz val="9"/>
            <color indexed="81"/>
            <rFont val="Tahoma"/>
            <family val="2"/>
            <charset val="238"/>
          </rPr>
          <t xml:space="preserve">
ACPOLAND – 399,42 zł. Koszt wykrojnika </t>
        </r>
      </text>
    </comment>
  </commentList>
</comments>
</file>

<file path=xl/comments15.xml><?xml version="1.0" encoding="utf-8"?>
<comments xmlns="http://schemas.openxmlformats.org/spreadsheetml/2006/main">
  <authors>
    <author>Handlowy1</author>
  </authors>
  <commentList>
    <comment ref="I3" authorId="0">
      <text>
        <r>
          <rPr>
            <sz val="10"/>
            <rFont val="Arial CE"/>
            <charset val="238"/>
          </rPr>
          <t xml:space="preserve">W2W
</t>
        </r>
      </text>
    </comment>
  </commentList>
</comments>
</file>

<file path=xl/sharedStrings.xml><?xml version="1.0" encoding="utf-8"?>
<sst xmlns="http://schemas.openxmlformats.org/spreadsheetml/2006/main" count="1517" uniqueCount="258">
  <si>
    <t>miesiąc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</si>
  <si>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</si>
  <si>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</si>
  <si>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</si>
  <si>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</si>
  <si>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</si>
  <si>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</si>
  <si>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</si>
  <si>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</si>
  <si>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</si>
  <si>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</si>
  <si>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</si>
  <si>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</si>
  <si>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suma</t>
  </si>
  <si>
    <t>MARZEC</t>
  </si>
  <si>
    <t>KWIECIEŃ</t>
  </si>
  <si>
    <t>MAJ</t>
  </si>
  <si>
    <t>CZERWIEC</t>
  </si>
  <si>
    <t>WRZESIEŃ</t>
  </si>
  <si>
    <t>PAŹDZIERNIK</t>
  </si>
  <si>
    <t>LISTOPAD</t>
  </si>
  <si>
    <t>GRUDZIEŃ</t>
  </si>
  <si>
    <t>LUTY</t>
  </si>
  <si>
    <t>CL-S700</t>
  </si>
  <si>
    <t>CL-S703</t>
  </si>
  <si>
    <t>CLP 8301</t>
  </si>
  <si>
    <t>SUMA:</t>
  </si>
  <si>
    <t>SPRZEDAŻ DRUKAREK</t>
  </si>
  <si>
    <t>CL-S703R</t>
  </si>
  <si>
    <t>CL-S700R</t>
  </si>
  <si>
    <t>PREMIA KWARTALNA</t>
  </si>
  <si>
    <t>Piotr Choma</t>
  </si>
  <si>
    <t>Krzysztof Szwajdych</t>
  </si>
  <si>
    <t>PREMIE</t>
  </si>
  <si>
    <t>PREMIA MIESIĘCZNA</t>
  </si>
  <si>
    <t>INNE</t>
  </si>
  <si>
    <t>CL-S521</t>
  </si>
  <si>
    <t>CL-S621</t>
  </si>
  <si>
    <t>CL-S631</t>
  </si>
  <si>
    <t xml:space="preserve">STYCZEŃ </t>
  </si>
  <si>
    <t xml:space="preserve">LIPIEC </t>
  </si>
  <si>
    <t xml:space="preserve">SIERPIEŃ </t>
  </si>
  <si>
    <t xml:space="preserve">Tomasz Sypień </t>
  </si>
  <si>
    <t>Wysokość Marży miesięcznej</t>
  </si>
  <si>
    <t>Wysokość Marży sumarycznej</t>
  </si>
  <si>
    <t>Wskaźnik CRM</t>
  </si>
  <si>
    <t>Sumaryczny Plan Sprzedaży Marża</t>
  </si>
  <si>
    <t>Plan Sprzedaży Marża</t>
  </si>
  <si>
    <t>Miesięczna realizacja Planu Sprzedaży Marża</t>
  </si>
  <si>
    <t>Sumaryczna realizacja planu sprzedaży Marża</t>
  </si>
  <si>
    <t>Wysokość zrealizowania Miesięcznego Planu Sprzedaży Marża</t>
  </si>
  <si>
    <t>Wysokość zrealizowania Planu Sprzedaży Marża</t>
  </si>
  <si>
    <t>Plan Sprzedaży Obrót</t>
  </si>
  <si>
    <t>Sumaryczny Plan Sprzedaży Obrót</t>
  </si>
  <si>
    <t>Miesięczna realizacja Planu Sprzedaży Obrót</t>
  </si>
  <si>
    <t>Sumaryczna realizacja planu sprzedaży Obrót</t>
  </si>
  <si>
    <t>Wysokość zrealizowania Miesięcznego Planu Sprzedaży Obrót</t>
  </si>
  <si>
    <t>Wysokość zrealizowania Planu Sprzedaży Obrót</t>
  </si>
  <si>
    <t xml:space="preserve">Różnica wskaźnika Obrót </t>
  </si>
  <si>
    <t>Różnica wskaźnika Marża</t>
  </si>
  <si>
    <t>Wskaźnik Plan Sprzedaży Obrót</t>
  </si>
  <si>
    <t>Wskaźnik Plan Sprzedaży Marża</t>
  </si>
  <si>
    <t>Realizacja Wskaźnika Planu Sprzedaży Marża</t>
  </si>
  <si>
    <t>Poziom realizacji Wskaźnika Sprzedaży Marża</t>
  </si>
  <si>
    <t>Mnożnik premii miesięcznej Wskaźnika Sprzedaży Marża</t>
  </si>
  <si>
    <t>Premia miesięczna za Wskaźnik Sprzedaży Marża</t>
  </si>
  <si>
    <t>Realizacja Wskaźnika Planu Sprzedaży Obrót</t>
  </si>
  <si>
    <t>Poziom realizacji Wskaźnika Sprzedaży Obrót</t>
  </si>
  <si>
    <t>Mnożnik premii miesięcznej Wskaźnika Sprzedaży Obrót</t>
  </si>
  <si>
    <t>Premia miesięczna za Wskaźnik Sprzedaży Obrót</t>
  </si>
  <si>
    <t>Wysokość premii CRM</t>
  </si>
  <si>
    <t xml:space="preserve">Wysokość premii Wskaźnik Sprzedaży Marża </t>
  </si>
  <si>
    <t>Wysokość premii Wskaźnik Sprzedaży Obrót</t>
  </si>
  <si>
    <t>Mnożnik premii Wskaźnik CRM</t>
  </si>
  <si>
    <t>Premia miesięczna za Wskaźnik CRM</t>
  </si>
  <si>
    <t>Premia kwartalna</t>
  </si>
  <si>
    <t>Wysokość premii kwartalnej.</t>
  </si>
  <si>
    <t>Mnożnik premii kwartalnej</t>
  </si>
  <si>
    <t>Suma Premii miesięcznych</t>
  </si>
  <si>
    <t>Poziom realizacji Wskaźnika Premia Kwartalna</t>
  </si>
  <si>
    <t>Realizacja Wskaźnika Premia Kwartalna</t>
  </si>
  <si>
    <t>CL-S6621</t>
  </si>
  <si>
    <t>ZEBRA</t>
  </si>
  <si>
    <t>Łukasz Łuszczek</t>
  </si>
  <si>
    <t>Mirosław Zagaja</t>
  </si>
  <si>
    <t>I KWARTAŁ</t>
  </si>
  <si>
    <t>II KWARTAŁ</t>
  </si>
  <si>
    <t>III KWARTAŁ</t>
  </si>
  <si>
    <t>IV KWARTAŁ</t>
  </si>
  <si>
    <t>Wynagrodzenie zasadnicze</t>
  </si>
  <si>
    <t>Bartłomiej Biskupski</t>
  </si>
  <si>
    <t>Tomasz Sypień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</si>
  <si>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</si>
  <si>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</si>
  <si>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</si>
  <si>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</si>
  <si>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</si>
  <si>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</si>
  <si>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</si>
  <si>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</si>
  <si>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</si>
  <si>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</si>
  <si>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</si>
  <si>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</si>
  <si>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 xml:space="preserve">Bartłomiej </t>
  </si>
  <si>
    <t>DZIAŁ:</t>
  </si>
  <si>
    <t>PLAN SPRZEDAŻY ORAZ INDYWIDUALNE PLANY SPRZEDAŻY WSKAŹNIKA OBRÓT</t>
  </si>
  <si>
    <t>`</t>
  </si>
  <si>
    <t>INDYWIDUALNY PLANY SPRZEDAŻY 2014 Mirosław Zagaja</t>
  </si>
  <si>
    <t>Raport za miesiąc:</t>
  </si>
  <si>
    <t>paździer.</t>
  </si>
  <si>
    <t>Suma</t>
  </si>
  <si>
    <t>Ilość nowych Klientów:</t>
  </si>
  <si>
    <t>Ilość Klientów przekaz. z Gliwic lub zm. nazwę/NIP.</t>
  </si>
  <si>
    <t>Ilość Podmiotów na etapie współpracy Klient:</t>
  </si>
  <si>
    <t>Ilość Podmiotów na etapie współpracy Handlowy:</t>
  </si>
  <si>
    <t>Ilość Podmiotów pod opieką:</t>
  </si>
  <si>
    <t>Ilość sprzedanych drukarek:</t>
  </si>
  <si>
    <t>Ilość ofert oczekujących na decyzję kontrahenta:</t>
  </si>
  <si>
    <t>Ilość zaakceptowanych ofert przez kontrahenta:</t>
  </si>
  <si>
    <t>Ilość odrzuconych ofert przez kontrahenta:</t>
  </si>
  <si>
    <t>Ilość przekazanych podmiotów z Marketingu:</t>
  </si>
  <si>
    <t>Ilość przekazanych podmiotów do prowadzenia od KDH:</t>
  </si>
  <si>
    <t>Ilość odebranych podmiotów (zmiana prowadzącego):</t>
  </si>
  <si>
    <t>Ilość spotkań z Klientami:</t>
  </si>
  <si>
    <t>Ilość aktualnie otwartych wdrożeń:</t>
  </si>
  <si>
    <t>Ilość wdrożeń dodanych w danym miesiącu:</t>
  </si>
  <si>
    <t>Ilość wdrożeń zamkniętych pozytywnie w danym mcu:</t>
  </si>
  <si>
    <t>Ilość wdrożeń zamkniętych negatywnie w danym mcu:</t>
  </si>
  <si>
    <t>Ilość aktualnie odłożonych wdrożeń:</t>
  </si>
  <si>
    <t>Marża</t>
  </si>
  <si>
    <t>DORADCA KLIENTA (DK) – stanowisko pracownika DH, któremu przydzielana jest pod opiekę grupa stałych</t>
  </si>
  <si>
    <t>Klientów Firmy do obsługi i rozwoju oraz Indywidualny Plan Sprzedaży. Obowiązuje kwota bazowa</t>
  </si>
  <si>
    <t>wynagrodzenia zasadniczego 2400,00 PLN brutto. Zmiana wynagrodzenia możliwa jest za zgodą Kierownika DH,</t>
  </si>
  <si>
    <t>po ocenie pracy.</t>
  </si>
  <si>
    <t>KONSULTANT ds. HANDLOWYCH (KDH) - stanowisko pracownika DH, któremu przydzielana jest pod opiekę</t>
  </si>
  <si>
    <t>grupa stałych Klientów Firmy do obsługi i rozwoju oraz Indywidualny Plan Sprzedaży. Obowiązuje kwota bazowa</t>
  </si>
  <si>
    <t>wynagrodzenia zasadniczego 2700,00 PLN brutto. Zmiana wynagrodzenia możliwa jest za zgodą Kierownika DH,</t>
  </si>
  <si>
    <t>SPECJALISTA ds. HANDLOWYCH (SDH) - stanowisko pracownika DH, który posiada doświadczenie w sprzedaży</t>
  </si>
  <si>
    <t>produktów oferowanych przez Firmę, nawiązywaniu relacji z Klientami oraz w prowadzeniu dokumentacji.</t>
  </si>
  <si>
    <t>Pracownikowi przydzielana jest pod opiekę, grupa stałych Klientów Firmy do rozwoju (część to: klienci kat. A, B</t>
  </si>
  <si>
    <t>oraz klienci z potencjałem A, B), oraz Indywidualny Plan Sprzedaży. Obowiązuje kwota bazowa wynagrodzenia</t>
  </si>
  <si>
    <t>zasadniczego 3500,00 PLN brutto. Zmiana wynagrodzenia możliwa jest za zgodą Kierownika DH, po ocenie pracy.</t>
  </si>
  <si>
    <t>SPECJALISTA ds. KLUCZOWYCH KLIENTÓW (SDKK) – stanowisko pracownika DH, który notuje stały rozwój oraz</t>
  </si>
  <si>
    <t>realizuje Indywidualny Plan Sprzedaży. Wyróżnia się pod względem umiejętności sprzedaży całego asortymentu,</t>
  </si>
  <si>
    <t>prowadzenia bez zarzutów klientów z kategorii A, B, prowadzenia dokumentacji oraz projektów VIP.</t>
  </si>
  <si>
    <t>Pracownikowi przydzielana jest pod opiekę, grupa stałych Klientów Firmy do obsługi i rozwoju (klienci kat. A, B</t>
  </si>
  <si>
    <t>zasadniczego 4400,00 PLN brutto. Awans na to stanowisko oraz zmiana wynagrodzenia możliwa za zgodą</t>
  </si>
  <si>
    <t>Kierownika DH, po ocenie pracy.</t>
  </si>
  <si>
    <t>n</t>
  </si>
  <si>
    <t>s</t>
  </si>
  <si>
    <t>p</t>
  </si>
  <si>
    <t>KW I</t>
  </si>
  <si>
    <t>Styczeń</t>
  </si>
  <si>
    <t>Luty</t>
  </si>
  <si>
    <t xml:space="preserve">Marzec </t>
  </si>
  <si>
    <t>Obrót</t>
  </si>
  <si>
    <t>TS</t>
  </si>
  <si>
    <t>MZ</t>
  </si>
  <si>
    <t>BB</t>
  </si>
  <si>
    <t>PC</t>
  </si>
  <si>
    <t>KS</t>
  </si>
  <si>
    <t xml:space="preserve">Wskaźnik Premia Kwartalna Marża </t>
  </si>
  <si>
    <t>KW II</t>
  </si>
  <si>
    <t>KW III</t>
  </si>
  <si>
    <t>KW IV</t>
  </si>
  <si>
    <t>suma ROK</t>
  </si>
  <si>
    <t>PLAN I KW Tomasz Sypień</t>
  </si>
  <si>
    <t>PLAN I KW BARTŁOMIEJ BISKUPSKI</t>
  </si>
  <si>
    <t>PLAN I KW Krzysztof Szwajdych</t>
  </si>
  <si>
    <t>PLAN I KW  Piotr Choma</t>
  </si>
  <si>
    <t>CEL</t>
  </si>
  <si>
    <t>Ilość Podmiotów na etapie współpracy Klient nieaktywny:</t>
  </si>
  <si>
    <t>Suma IKW</t>
  </si>
  <si>
    <t>Ilość ofert dodanych w danym miesiącu:</t>
  </si>
  <si>
    <t>I KW</t>
  </si>
  <si>
    <t>PLAN II KW Tomasz Sypień</t>
  </si>
  <si>
    <t>PLAN III KW Tomasz Sypień</t>
  </si>
  <si>
    <t>PLAN IV KW Tomasz Sypień</t>
  </si>
  <si>
    <t>MINIMUM</t>
  </si>
  <si>
    <t>PLAN</t>
  </si>
  <si>
    <t>Kwartalny Plan Sprzedaży Obrót</t>
  </si>
  <si>
    <t xml:space="preserve">Kwartalny Plan Sprzedaży Marża </t>
  </si>
  <si>
    <t xml:space="preserve">Sumaryczna Kwartalna Realizacja Planu Sprzedaży Marża </t>
  </si>
  <si>
    <t>Sumaryczna Kwartalna Realizacja Planu Sprzedaży Obrót</t>
  </si>
  <si>
    <t xml:space="preserve">MAJ </t>
  </si>
  <si>
    <t>PLAN II KW BARTŁOMIEJ BISKUPSKI</t>
  </si>
  <si>
    <t>PLAN II KW  Piotr Choma</t>
  </si>
  <si>
    <t>PLAN II KW Krzysztof Szwajdych</t>
  </si>
  <si>
    <t>LIPIEC</t>
  </si>
  <si>
    <t>SIERPIEŃ</t>
  </si>
  <si>
    <t>Q3</t>
  </si>
  <si>
    <t>Suma:</t>
  </si>
  <si>
    <t>PLAN III KW BARTŁOMIEJ BISKUPSKI</t>
  </si>
  <si>
    <t>PLAN III KW  Piotr Choma</t>
  </si>
  <si>
    <t>PLAN III KW Krzysztof Szwajdych</t>
  </si>
  <si>
    <t>Q4</t>
  </si>
  <si>
    <t>PLAN IV KW BARTŁOMIEJ BISKUPSKI</t>
  </si>
  <si>
    <t>PLAN IV KW  Piotr Choma</t>
  </si>
  <si>
    <t>ŁŁ</t>
  </si>
  <si>
    <t>CLE-720</t>
  </si>
  <si>
    <t>Q1</t>
  </si>
  <si>
    <t>Realizacja MINIMUM</t>
  </si>
  <si>
    <t>Realizacja CEL</t>
  </si>
  <si>
    <t>Pracownik</t>
  </si>
  <si>
    <t>Grupa</t>
  </si>
  <si>
    <t>Towar</t>
  </si>
  <si>
    <t>Ilość</t>
  </si>
  <si>
    <t>Jm</t>
  </si>
  <si>
    <t>Brutto</t>
  </si>
  <si>
    <t>Netto</t>
  </si>
  <si>
    <t>Koszt</t>
  </si>
  <si>
    <t>Zysk</t>
  </si>
  <si>
    <t>(Razem sprzedaż)</t>
  </si>
  <si>
    <r>
      <t>Realizacja PLAN</t>
    </r>
    <r>
      <rPr>
        <b/>
        <sz val="7"/>
        <color indexed="10"/>
        <rFont val="Arial"/>
        <family val="2"/>
        <charset val="238"/>
      </rPr>
      <t xml:space="preserve"> (CEL STRATEGICZNY)</t>
    </r>
  </si>
  <si>
    <r>
      <t xml:space="preserve">Realizacja PLAN </t>
    </r>
    <r>
      <rPr>
        <b/>
        <sz val="7"/>
        <color indexed="10"/>
        <rFont val="Arial"/>
        <family val="2"/>
        <charset val="238"/>
      </rPr>
      <t xml:space="preserve"> (CEL STRATEGICZNY)</t>
    </r>
  </si>
  <si>
    <t>Q2</t>
  </si>
  <si>
    <t>Kwiecień</t>
  </si>
  <si>
    <t>Maj</t>
  </si>
  <si>
    <t>Czerwiec</t>
  </si>
  <si>
    <t xml:space="preserve"> </t>
  </si>
  <si>
    <t>CLE-730</t>
  </si>
  <si>
    <t>Artur Surówka</t>
  </si>
  <si>
    <t>AS</t>
  </si>
  <si>
    <t>PLAN II KW Artur Surówka</t>
  </si>
  <si>
    <t>PLAN I KW Artur Surówka</t>
  </si>
  <si>
    <t>PLAN IV KW Artur Surówka</t>
  </si>
  <si>
    <t>PLAN III KW Artur Surówka</t>
  </si>
  <si>
    <t>Rok</t>
  </si>
  <si>
    <t>Realizacja</t>
  </si>
  <si>
    <t>Obrót 2016</t>
  </si>
  <si>
    <t>Marża 2016</t>
  </si>
  <si>
    <t>2017 PLAN</t>
  </si>
  <si>
    <t>2017 CEL</t>
  </si>
  <si>
    <t>2017 MINIMUM</t>
  </si>
  <si>
    <t>PL</t>
  </si>
  <si>
    <t>Piotr Lasia</t>
  </si>
  <si>
    <t>PLANY SPRZEDAŻY 2017</t>
  </si>
  <si>
    <t>Sumaryczna Marża 2016</t>
  </si>
  <si>
    <t>Wzrost Marży 2017 w stos do Marży 2016</t>
  </si>
  <si>
    <t>Sumaryczny Obrót 2016</t>
  </si>
  <si>
    <t>Wzrost Obrotu 2017 w stos do Obrotu 2016</t>
  </si>
  <si>
    <t>1</t>
  </si>
  <si>
    <t>Lasia Piotr</t>
  </si>
  <si>
    <t>PLAN I KW Piotr Lasia</t>
  </si>
  <si>
    <t>PLAN IV KW Piotr Lasia</t>
  </si>
  <si>
    <t>PLAN III KW Piotr Lasia</t>
  </si>
  <si>
    <t xml:space="preserve">Tomasz Sypień; </t>
  </si>
  <si>
    <t xml:space="preserve">Mirosław Zagaja; </t>
  </si>
  <si>
    <t xml:space="preserve">Piotr Lasia; </t>
  </si>
  <si>
    <t xml:space="preserve">Bartłomiej Biskupski; </t>
  </si>
  <si>
    <t xml:space="preserve">Piotr Choma; </t>
  </si>
  <si>
    <t xml:space="preserve">Krzysztof Szwajdych; </t>
  </si>
  <si>
    <t>PLAN II KW Piotr Lasia</t>
  </si>
  <si>
    <t>0</t>
  </si>
  <si>
    <t>Piotr Lasia;</t>
  </si>
  <si>
    <t>W2W</t>
  </si>
  <si>
    <t>NONAME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</si>
</sst>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#,##0.0"/>
    <numFmt numFmtId="165" formatCode="_-* #,##0\ _z_ł_-;\-* #,##0\ _z_ł_-;_-* &quot;-&quot;??\ _z_ł_-;_-@_-"/>
  </numFmts>
  <fonts count="360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0"/>
      <name val="Arial CE"/>
      <charset val="238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  <charset val="238"/>
    </font>
    <font>
      <b/>
      <sz val="8"/>
      <color indexed="10"/>
      <name val="Arial"/>
      <family val="2"/>
    </font>
    <font>
      <sz val="8"/>
      <name val="Arial"/>
      <family val="2"/>
    </font>
    <font>
      <sz val="8"/>
      <name val="Arial CE"/>
      <charset val="238"/>
    </font>
    <font>
      <b/>
      <sz val="8"/>
      <name val="Arial CE"/>
      <family val="2"/>
      <charset val="238"/>
    </font>
    <font>
      <sz val="8"/>
      <name val="Arial CE"/>
      <family val="2"/>
      <charset val="238"/>
    </font>
    <font>
      <sz val="9"/>
      <color indexed="81"/>
      <name val="Tahoma"/>
      <family val="2"/>
      <charset val="238"/>
    </font>
    <font>
      <b/>
      <sz val="8"/>
      <color indexed="23"/>
      <name val="Arial"/>
      <family val="2"/>
    </font>
    <font>
      <sz val="8"/>
      <color indexed="23"/>
      <name val="Arial"/>
      <family val="2"/>
    </font>
    <font>
      <b/>
      <sz val="10"/>
      <name val="Arial CE"/>
      <charset val="238"/>
    </font>
    <font>
      <b/>
      <sz val="8"/>
      <color indexed="23"/>
      <name val="Arial CE"/>
      <family val="2"/>
      <charset val="238"/>
    </font>
    <font>
      <b/>
      <sz val="10"/>
      <color indexed="53"/>
      <name val="Arial CE"/>
      <charset val="238"/>
    </font>
    <font>
      <b/>
      <sz val="8"/>
      <name val="Arial CE"/>
      <charset val="238"/>
    </font>
    <font>
      <b/>
      <sz val="10"/>
      <color indexed="17"/>
      <name val="Arial CE"/>
      <charset val="238"/>
    </font>
    <font>
      <sz val="8"/>
      <color indexed="63"/>
      <name val="Arial"/>
      <family val="2"/>
    </font>
    <font>
      <b/>
      <sz val="8"/>
      <color indexed="53"/>
      <name val="Arial CE"/>
      <charset val="238"/>
    </font>
    <font>
      <b/>
      <sz val="8"/>
      <color indexed="17"/>
      <name val="Arial CE"/>
      <charset val="238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color indexed="10"/>
      <name val="Arial CE"/>
      <charset val="238"/>
    </font>
    <font>
      <b/>
      <sz val="10"/>
      <color indexed="10"/>
      <name val="Arial CE"/>
      <charset val="238"/>
    </font>
    <font>
      <sz val="8"/>
      <color indexed="23"/>
      <name val="Arial"/>
      <family val="2"/>
    </font>
    <font>
      <b/>
      <sz val="8"/>
      <color indexed="23"/>
      <name val="Arial"/>
      <family val="2"/>
    </font>
    <font>
      <b/>
      <sz val="8"/>
      <color indexed="23"/>
      <name val="Arial CE"/>
      <charset val="238"/>
    </font>
    <font>
      <b/>
      <sz val="8"/>
      <color indexed="17"/>
      <name val="Arial"/>
      <family val="2"/>
    </font>
    <font>
      <b/>
      <sz val="8"/>
      <color indexed="17"/>
      <name val="Arial CE"/>
      <charset val="238"/>
    </font>
    <font>
      <b/>
      <sz val="8"/>
      <color indexed="10"/>
      <name val="Arial"/>
      <family val="2"/>
      <charset val="238"/>
    </font>
    <font>
      <b/>
      <sz val="12"/>
      <color indexed="10"/>
      <name val="Arial CE"/>
      <charset val="238"/>
    </font>
    <font>
      <sz val="8"/>
      <color indexed="23"/>
      <name val="Arial CE"/>
      <charset val="238"/>
    </font>
    <font>
      <sz val="10"/>
      <color indexed="23"/>
      <name val="Arial CE"/>
      <charset val="238"/>
    </font>
    <font>
      <b/>
      <sz val="10"/>
      <color indexed="23"/>
      <name val="Arial CE"/>
      <charset val="238"/>
    </font>
    <font>
      <b/>
      <sz val="10"/>
      <color indexed="17"/>
      <name val="Arial CE"/>
      <charset val="238"/>
    </font>
    <font>
      <b/>
      <sz val="12"/>
      <name val="Arial CE"/>
      <charset val="238"/>
    </font>
    <font>
      <b/>
      <sz val="8"/>
      <color indexed="17"/>
      <name val="Arial"/>
      <family val="2"/>
      <charset val="238"/>
    </font>
    <font>
      <sz val="8"/>
      <color indexed="55"/>
      <name val="Arial"/>
      <family val="2"/>
    </font>
    <font>
      <b/>
      <sz val="8"/>
      <color indexed="55"/>
      <name val="Arial"/>
      <family val="2"/>
    </font>
    <font>
      <sz val="8"/>
      <color indexed="55"/>
      <name val="Arial CE"/>
      <charset val="238"/>
    </font>
    <font>
      <sz val="10"/>
      <color indexed="55"/>
      <name val="Arial CE"/>
      <charset val="238"/>
    </font>
    <font>
      <sz val="8"/>
      <color indexed="10"/>
      <name val="Arial"/>
      <family val="2"/>
    </font>
    <font>
      <b/>
      <sz val="8"/>
      <color indexed="10"/>
      <name val="Arial CE"/>
      <charset val="238"/>
    </font>
    <font>
      <b/>
      <sz val="8"/>
      <color indexed="10"/>
      <name val="Arial"/>
      <family val="2"/>
    </font>
    <font>
      <b/>
      <sz val="8"/>
      <color indexed="10"/>
      <name val="Arial"/>
      <family val="2"/>
      <charset val="238"/>
    </font>
    <font>
      <sz val="8"/>
      <color indexed="10"/>
      <name val="Arial"/>
      <family val="2"/>
      <charset val="238"/>
    </font>
    <font>
      <sz val="8"/>
      <color indexed="55"/>
      <name val="Arial"/>
      <family val="2"/>
      <charset val="238"/>
    </font>
    <font>
      <b/>
      <sz val="8"/>
      <color indexed="55"/>
      <name val="Arial CE"/>
      <charset val="238"/>
    </font>
    <font>
      <b/>
      <sz val="8"/>
      <color indexed="8"/>
      <name val="Arial"/>
      <family val="2"/>
      <charset val="238"/>
    </font>
    <font>
      <b/>
      <sz val="8"/>
      <color indexed="23"/>
      <name val="Arial"/>
      <family val="2"/>
      <charset val="238"/>
    </font>
    <font>
      <b/>
      <sz val="8"/>
      <color indexed="23"/>
      <name val="Arial"/>
      <family val="2"/>
      <charset val="238"/>
    </font>
    <font>
      <sz val="8"/>
      <color indexed="63"/>
      <name val="Arial"/>
      <family val="2"/>
      <charset val="238"/>
    </font>
    <font>
      <b/>
      <sz val="8"/>
      <color indexed="55"/>
      <name val="Arial"/>
      <family val="2"/>
      <charset val="238"/>
    </font>
    <font>
      <b/>
      <i/>
      <sz val="10"/>
      <name val="Arial CE"/>
      <charset val="238"/>
    </font>
    <font>
      <b/>
      <i/>
      <sz val="10"/>
      <color indexed="53"/>
      <name val="Arial CE"/>
      <charset val="238"/>
    </font>
    <font>
      <b/>
      <i/>
      <sz val="8"/>
      <color indexed="63"/>
      <name val="Arial"/>
      <family val="2"/>
    </font>
    <font>
      <sz val="8"/>
      <color indexed="8"/>
      <name val="Arial"/>
      <family val="2"/>
      <charset val="238"/>
    </font>
    <font>
      <sz val="8"/>
      <color indexed="8"/>
      <name val="Arial CE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23"/>
      <name val="Arial"/>
      <family val="2"/>
      <charset val="238"/>
    </font>
    <font>
      <sz val="8"/>
      <color indexed="23"/>
      <name val="Arial"/>
      <family val="2"/>
      <charset val="238"/>
    </font>
    <font>
      <b/>
      <i/>
      <sz val="8"/>
      <color indexed="63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53"/>
      <name val="Arial"/>
      <family val="2"/>
      <charset val="238"/>
    </font>
    <font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i/>
      <sz val="10"/>
      <color indexed="53"/>
      <name val="Arial"/>
      <family val="2"/>
      <charset val="238"/>
    </font>
    <font>
      <b/>
      <sz val="8"/>
      <color indexed="9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9"/>
      <color indexed="81"/>
      <name val="Tahoma"/>
      <family val="2"/>
      <charset val="238"/>
    </font>
    <font>
      <sz val="8"/>
      <color indexed="53"/>
      <name val="Arial"/>
      <family val="2"/>
    </font>
    <font>
      <sz val="10"/>
      <color indexed="53"/>
      <name val="Arial CE"/>
      <charset val="238"/>
    </font>
    <font>
      <b/>
      <sz val="8"/>
      <color indexed="53"/>
      <name val="Arial CE"/>
      <family val="2"/>
      <charset val="238"/>
    </font>
    <font>
      <b/>
      <sz val="9"/>
      <color indexed="53"/>
      <name val="Arial"/>
      <family val="2"/>
    </font>
    <font>
      <sz val="10"/>
      <color indexed="53"/>
      <name val="Arial"/>
      <family val="2"/>
      <charset val="238"/>
    </font>
    <font>
      <b/>
      <sz val="8"/>
      <color indexed="55"/>
      <name val="Arial"/>
      <family val="2"/>
    </font>
    <font>
      <sz val="10"/>
      <color indexed="55"/>
      <name val="Arial CE"/>
      <charset val="238"/>
    </font>
    <font>
      <b/>
      <sz val="8"/>
      <color indexed="55"/>
      <name val="Arial CE"/>
      <family val="2"/>
      <charset val="238"/>
    </font>
    <font>
      <b/>
      <sz val="8"/>
      <color indexed="55"/>
      <name val="Arial CE"/>
      <charset val="238"/>
    </font>
    <font>
      <b/>
      <sz val="10"/>
      <color indexed="55"/>
      <name val="Arial"/>
      <family val="2"/>
      <charset val="238"/>
    </font>
    <font>
      <sz val="10"/>
      <color indexed="56"/>
      <name val="Arial CE"/>
      <charset val="238"/>
    </font>
    <font>
      <b/>
      <sz val="8"/>
      <color indexed="23"/>
      <name val="Arial CE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10"/>
      <color rgb="FFFF0000"/>
      <name val="Arial CE"/>
      <charset val="238"/>
    </font>
    <font>
      <sz val="11"/>
      <color theme="1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8"/>
      <color theme="0"/>
      <name val="Arial CE"/>
      <charset val="238"/>
    </font>
    <font>
      <sz val="10"/>
      <color theme="0"/>
      <name val="Arial CE"/>
      <charset val="238"/>
    </font>
    <font>
      <b/>
      <sz val="10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7"/>
      <color indexed="10"/>
      <name val="Arial"/>
      <family val="2"/>
      <charset val="238"/>
    </font>
    <font>
      <b/>
      <sz val="7"/>
      <color indexed="10"/>
      <name val="Arial"/>
      <family val="2"/>
    </font>
    <font>
      <b/>
      <sz val="7"/>
      <name val="Arial CE"/>
      <charset val="238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sz val="7"/>
      <color indexed="55"/>
      <name val="Arial"/>
      <family val="2"/>
    </font>
    <font>
      <b/>
      <sz val="7"/>
      <color indexed="55"/>
      <name val="Arial"/>
      <family val="2"/>
    </font>
    <font>
      <b/>
      <sz val="7"/>
      <color indexed="55"/>
      <name val="Arial CE"/>
      <family val="2"/>
      <charset val="238"/>
    </font>
    <font>
      <b/>
      <sz val="7"/>
      <color indexed="55"/>
      <name val="Arial CE"/>
      <charset val="238"/>
    </font>
    <font>
      <sz val="7"/>
      <color indexed="53"/>
      <name val="Arial"/>
      <family val="2"/>
    </font>
    <font>
      <b/>
      <sz val="7"/>
      <color indexed="53"/>
      <name val="Arial CE"/>
      <family val="2"/>
      <charset val="238"/>
    </font>
    <font>
      <b/>
      <sz val="7"/>
      <color indexed="53"/>
      <name val="Arial"/>
      <family val="2"/>
    </font>
    <font>
      <b/>
      <sz val="7"/>
      <name val="Arial CE"/>
      <family val="2"/>
      <charset val="238"/>
    </font>
    <font>
      <sz val="7"/>
      <color indexed="23"/>
      <name val="Arial"/>
      <family val="2"/>
    </font>
    <font>
      <b/>
      <sz val="7"/>
      <color indexed="23"/>
      <name val="Arial CE"/>
      <family val="2"/>
      <charset val="238"/>
    </font>
    <font>
      <b/>
      <sz val="7"/>
      <color indexed="23"/>
      <name val="Arial"/>
      <family val="2"/>
    </font>
    <font>
      <b/>
      <sz val="7"/>
      <color indexed="17"/>
      <name val="Arial"/>
      <family val="2"/>
    </font>
    <font>
      <sz val="7"/>
      <name val="Arial CE"/>
      <charset val="238"/>
    </font>
    <font>
      <sz val="7"/>
      <color indexed="10"/>
      <name val="Arial"/>
      <family val="2"/>
    </font>
    <font>
      <sz val="7"/>
      <color indexed="23"/>
      <name val="Arial"/>
      <family val="2"/>
      <charset val="238"/>
    </font>
    <font>
      <sz val="7"/>
      <color indexed="10"/>
      <name val="Arial"/>
      <family val="2"/>
      <charset val="238"/>
    </font>
    <font>
      <sz val="7"/>
      <color indexed="23"/>
      <name val="Arial CE"/>
      <family val="2"/>
      <charset val="238"/>
    </font>
    <font>
      <b/>
      <sz val="7"/>
      <color indexed="8"/>
      <name val="Arial"/>
      <family val="2"/>
      <charset val="238"/>
    </font>
    <font>
      <b/>
      <sz val="7"/>
      <color indexed="23"/>
      <name val="Arial"/>
      <family val="2"/>
      <charset val="238"/>
    </font>
    <font>
      <b/>
      <sz val="10"/>
      <color theme="0"/>
      <name val="Arial CE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8"/>
      <color rgb="FFFF000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8"/>
      <color theme="0"/>
      <name val="Arial CE"/>
      <charset val="238"/>
    </font>
    <font>
      <sz val="10"/>
      <color rgb="FFFF0000"/>
      <name val="Calibri"/>
      <family val="2"/>
      <charset val="238"/>
      <scheme val="minor"/>
    </font>
    <font>
      <sz val="10"/>
      <color rgb="FF00B050"/>
      <name val="Calibri"/>
      <family val="2"/>
      <charset val="238"/>
      <scheme val="minor"/>
    </font>
    <font>
      <sz val="10"/>
      <name val="Arial"/>
      <charset val="238"/>
    </font>
  </fonts>
  <fills count="6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13777">
    <xf numFmtId="0" fontId="0" fillId="0" borderId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4" fillId="18" borderId="0" applyNumberFormat="0" applyBorder="0" applyAlignment="0" applyProtection="0"/>
    <xf numFmtId="0" fontId="285" fillId="19" borderId="0" applyNumberFormat="0" applyBorder="0" applyAlignment="0" applyProtection="0"/>
    <xf numFmtId="0" fontId="285" fillId="20" borderId="0" applyNumberFormat="0" applyBorder="0" applyAlignment="0" applyProtection="0"/>
    <xf numFmtId="0" fontId="285" fillId="21" borderId="0" applyNumberFormat="0" applyBorder="0" applyAlignment="0" applyProtection="0"/>
    <xf numFmtId="0" fontId="285" fillId="22" borderId="0" applyNumberFormat="0" applyBorder="0" applyAlignment="0" applyProtection="0"/>
    <xf numFmtId="0" fontId="285" fillId="23" borderId="0" applyNumberFormat="0" applyBorder="0" applyAlignment="0" applyProtection="0"/>
    <xf numFmtId="0" fontId="285" fillId="24" borderId="0" applyNumberFormat="0" applyBorder="0" applyAlignment="0" applyProtection="0"/>
    <xf numFmtId="0" fontId="285" fillId="25" borderId="0" applyNumberFormat="0" applyBorder="0" applyAlignment="0" applyProtection="0"/>
    <xf numFmtId="0" fontId="285" fillId="26" borderId="0" applyNumberFormat="0" applyBorder="0" applyAlignment="0" applyProtection="0"/>
    <xf numFmtId="0" fontId="285" fillId="27" borderId="0" applyNumberFormat="0" applyBorder="0" applyAlignment="0" applyProtection="0"/>
    <xf numFmtId="0" fontId="285" fillId="28" borderId="0" applyNumberFormat="0" applyBorder="0" applyAlignment="0" applyProtection="0"/>
    <xf numFmtId="0" fontId="285" fillId="29" borderId="0" applyNumberFormat="0" applyBorder="0" applyAlignment="0" applyProtection="0"/>
    <xf numFmtId="0" fontId="285" fillId="30" borderId="0" applyNumberFormat="0" applyBorder="0" applyAlignment="0" applyProtection="0"/>
    <xf numFmtId="0" fontId="286" fillId="31" borderId="44" applyNumberFormat="0" applyAlignment="0" applyProtection="0"/>
    <xf numFmtId="0" fontId="287" fillId="32" borderId="45" applyNumberFormat="0" applyAlignment="0" applyProtection="0"/>
    <xf numFmtId="0" fontId="288" fillId="33" borderId="0" applyNumberFormat="0" applyBorder="0" applyAlignment="0" applyProtection="0"/>
    <xf numFmtId="43" fontId="200" fillId="0" borderId="0" applyFont="0" applyFill="0" applyBorder="0" applyAlignment="0" applyProtection="0"/>
    <xf numFmtId="0" fontId="289" fillId="0" borderId="46" applyNumberFormat="0" applyFill="0" applyAlignment="0" applyProtection="0"/>
    <xf numFmtId="0" fontId="290" fillId="34" borderId="47" applyNumberFormat="0" applyAlignment="0" applyProtection="0"/>
    <xf numFmtId="0" fontId="291" fillId="0" borderId="48" applyNumberFormat="0" applyFill="0" applyAlignment="0" applyProtection="0"/>
    <xf numFmtId="0" fontId="292" fillId="0" borderId="49" applyNumberFormat="0" applyFill="0" applyAlignment="0" applyProtection="0"/>
    <xf numFmtId="0" fontId="293" fillId="0" borderId="50" applyNumberFormat="0" applyFill="0" applyAlignment="0" applyProtection="0"/>
    <xf numFmtId="0" fontId="293" fillId="0" borderId="0" applyNumberFormat="0" applyFill="0" applyBorder="0" applyAlignment="0" applyProtection="0"/>
    <xf numFmtId="0" fontId="294" fillId="35" borderId="0" applyNumberFormat="0" applyBorder="0" applyAlignment="0" applyProtection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00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03" fillId="0" borderId="0"/>
    <xf numFmtId="0" fontId="295" fillId="32" borderId="44" applyNumberFormat="0" applyAlignment="0" applyProtection="0"/>
    <xf numFmtId="9" fontId="200" fillId="0" borderId="0" applyFont="0" applyFill="0" applyBorder="0" applyAlignment="0" applyProtection="0"/>
    <xf numFmtId="9" fontId="200" fillId="0" borderId="0" applyFont="0" applyFill="0" applyBorder="0" applyAlignment="0" applyProtection="0"/>
    <xf numFmtId="0" fontId="296" fillId="0" borderId="51" applyNumberFormat="0" applyFill="0" applyAlignment="0" applyProtection="0"/>
    <xf numFmtId="0" fontId="297" fillId="0" borderId="0" applyNumberFormat="0" applyFill="0" applyBorder="0" applyAlignment="0" applyProtection="0"/>
    <xf numFmtId="0" fontId="298" fillId="0" borderId="0" applyNumberFormat="0" applyFill="0" applyBorder="0" applyAlignment="0" applyProtection="0"/>
    <xf numFmtId="0" fontId="299" fillId="0" borderId="0" applyNumberFormat="0" applyFill="0" applyBorder="0" applyAlignment="0" applyProtection="0"/>
    <xf numFmtId="0" fontId="192" fillId="36" borderId="52" applyNumberFormat="0" applyFont="0" applyAlignment="0" applyProtection="0"/>
    <xf numFmtId="0" fontId="141" fillId="36" borderId="52" applyNumberFormat="0" applyFont="0" applyAlignment="0" applyProtection="0"/>
    <xf numFmtId="0" fontId="102" fillId="36" borderId="52" applyNumberFormat="0" applyFont="0" applyAlignment="0" applyProtection="0"/>
    <xf numFmtId="0" fontId="101" fillId="36" borderId="52" applyNumberFormat="0" applyFont="0" applyAlignment="0" applyProtection="0"/>
    <xf numFmtId="0" fontId="100" fillId="36" borderId="52" applyNumberFormat="0" applyFont="0" applyAlignment="0" applyProtection="0"/>
    <xf numFmtId="0" fontId="99" fillId="36" borderId="52" applyNumberFormat="0" applyFont="0" applyAlignment="0" applyProtection="0"/>
    <xf numFmtId="0" fontId="98" fillId="36" borderId="52" applyNumberFormat="0" applyFont="0" applyAlignment="0" applyProtection="0"/>
    <xf numFmtId="0" fontId="97" fillId="36" borderId="52" applyNumberFormat="0" applyFont="0" applyAlignment="0" applyProtection="0"/>
    <xf numFmtId="0" fontId="96" fillId="36" borderId="52" applyNumberFormat="0" applyFont="0" applyAlignment="0" applyProtection="0"/>
    <xf numFmtId="0" fontId="95" fillId="36" borderId="52" applyNumberFormat="0" applyFont="0" applyAlignment="0" applyProtection="0"/>
    <xf numFmtId="0" fontId="94" fillId="36" borderId="52" applyNumberFormat="0" applyFont="0" applyAlignment="0" applyProtection="0"/>
    <xf numFmtId="0" fontId="93" fillId="36" borderId="52" applyNumberFormat="0" applyFont="0" applyAlignment="0" applyProtection="0"/>
    <xf numFmtId="0" fontId="191" fillId="36" borderId="52" applyNumberFormat="0" applyFont="0" applyAlignment="0" applyProtection="0"/>
    <xf numFmtId="0" fontId="141" fillId="36" borderId="52" applyNumberFormat="0" applyFont="0" applyAlignment="0" applyProtection="0"/>
    <xf numFmtId="0" fontId="92" fillId="36" borderId="52" applyNumberFormat="0" applyFont="0" applyAlignment="0" applyProtection="0"/>
    <xf numFmtId="0" fontId="91" fillId="36" borderId="52" applyNumberFormat="0" applyFont="0" applyAlignment="0" applyProtection="0"/>
    <xf numFmtId="0" fontId="90" fillId="36" borderId="52" applyNumberFormat="0" applyFont="0" applyAlignment="0" applyProtection="0"/>
    <xf numFmtId="0" fontId="89" fillId="36" borderId="52" applyNumberFormat="0" applyFont="0" applyAlignment="0" applyProtection="0"/>
    <xf numFmtId="0" fontId="88" fillId="36" borderId="52" applyNumberFormat="0" applyFont="0" applyAlignment="0" applyProtection="0"/>
    <xf numFmtId="0" fontId="87" fillId="36" borderId="52" applyNumberFormat="0" applyFont="0" applyAlignment="0" applyProtection="0"/>
    <xf numFmtId="0" fontId="86" fillId="36" borderId="52" applyNumberFormat="0" applyFont="0" applyAlignment="0" applyProtection="0"/>
    <xf numFmtId="0" fontId="85" fillId="36" borderId="52" applyNumberFormat="0" applyFont="0" applyAlignment="0" applyProtection="0"/>
    <xf numFmtId="0" fontId="84" fillId="36" borderId="52" applyNumberFormat="0" applyFont="0" applyAlignment="0" applyProtection="0"/>
    <xf numFmtId="0" fontId="83" fillId="36" borderId="52" applyNumberFormat="0" applyFont="0" applyAlignment="0" applyProtection="0"/>
    <xf numFmtId="0" fontId="190" fillId="36" borderId="52" applyNumberFormat="0" applyFont="0" applyAlignment="0" applyProtection="0"/>
    <xf numFmtId="0" fontId="141" fillId="36" borderId="52" applyNumberFormat="0" applyFont="0" applyAlignment="0" applyProtection="0"/>
    <xf numFmtId="0" fontId="82" fillId="36" borderId="52" applyNumberFormat="0" applyFont="0" applyAlignment="0" applyProtection="0"/>
    <xf numFmtId="0" fontId="81" fillId="36" borderId="52" applyNumberFormat="0" applyFont="0" applyAlignment="0" applyProtection="0"/>
    <xf numFmtId="0" fontId="80" fillId="36" borderId="52" applyNumberFormat="0" applyFont="0" applyAlignment="0" applyProtection="0"/>
    <xf numFmtId="0" fontId="79" fillId="36" borderId="52" applyNumberFormat="0" applyFont="0" applyAlignment="0" applyProtection="0"/>
    <xf numFmtId="0" fontId="78" fillId="36" borderId="52" applyNumberFormat="0" applyFont="0" applyAlignment="0" applyProtection="0"/>
    <xf numFmtId="0" fontId="77" fillId="36" borderId="52" applyNumberFormat="0" applyFont="0" applyAlignment="0" applyProtection="0"/>
    <xf numFmtId="0" fontId="76" fillId="36" borderId="52" applyNumberFormat="0" applyFont="0" applyAlignment="0" applyProtection="0"/>
    <xf numFmtId="0" fontId="75" fillId="36" borderId="52" applyNumberFormat="0" applyFont="0" applyAlignment="0" applyProtection="0"/>
    <xf numFmtId="0" fontId="74" fillId="36" borderId="52" applyNumberFormat="0" applyFont="0" applyAlignment="0" applyProtection="0"/>
    <xf numFmtId="0" fontId="73" fillId="36" borderId="52" applyNumberFormat="0" applyFont="0" applyAlignment="0" applyProtection="0"/>
    <xf numFmtId="0" fontId="189" fillId="36" borderId="52" applyNumberFormat="0" applyFont="0" applyAlignment="0" applyProtection="0"/>
    <xf numFmtId="0" fontId="141" fillId="36" borderId="52" applyNumberFormat="0" applyFont="0" applyAlignment="0" applyProtection="0"/>
    <xf numFmtId="0" fontId="72" fillId="36" borderId="52" applyNumberFormat="0" applyFont="0" applyAlignment="0" applyProtection="0"/>
    <xf numFmtId="0" fontId="71" fillId="36" borderId="52" applyNumberFormat="0" applyFont="0" applyAlignment="0" applyProtection="0"/>
    <xf numFmtId="0" fontId="70" fillId="36" borderId="52" applyNumberFormat="0" applyFont="0" applyAlignment="0" applyProtection="0"/>
    <xf numFmtId="0" fontId="69" fillId="36" borderId="52" applyNumberFormat="0" applyFont="0" applyAlignment="0" applyProtection="0"/>
    <xf numFmtId="0" fontId="68" fillId="36" borderId="52" applyNumberFormat="0" applyFont="0" applyAlignment="0" applyProtection="0"/>
    <xf numFmtId="0" fontId="67" fillId="36" borderId="52" applyNumberFormat="0" applyFont="0" applyAlignment="0" applyProtection="0"/>
    <xf numFmtId="0" fontId="66" fillId="36" borderId="52" applyNumberFormat="0" applyFont="0" applyAlignment="0" applyProtection="0"/>
    <xf numFmtId="0" fontId="65" fillId="36" borderId="52" applyNumberFormat="0" applyFont="0" applyAlignment="0" applyProtection="0"/>
    <xf numFmtId="0" fontId="64" fillId="36" borderId="52" applyNumberFormat="0" applyFont="0" applyAlignment="0" applyProtection="0"/>
    <xf numFmtId="0" fontId="63" fillId="36" borderId="52" applyNumberFormat="0" applyFont="0" applyAlignment="0" applyProtection="0"/>
    <xf numFmtId="0" fontId="188" fillId="36" borderId="52" applyNumberFormat="0" applyFont="0" applyAlignment="0" applyProtection="0"/>
    <xf numFmtId="0" fontId="141" fillId="36" borderId="52" applyNumberFormat="0" applyFont="0" applyAlignment="0" applyProtection="0"/>
    <xf numFmtId="0" fontId="62" fillId="36" borderId="52" applyNumberFormat="0" applyFont="0" applyAlignment="0" applyProtection="0"/>
    <xf numFmtId="0" fontId="61" fillId="36" borderId="52" applyNumberFormat="0" applyFont="0" applyAlignment="0" applyProtection="0"/>
    <xf numFmtId="0" fontId="60" fillId="36" borderId="52" applyNumberFormat="0" applyFont="0" applyAlignment="0" applyProtection="0"/>
    <xf numFmtId="0" fontId="59" fillId="36" borderId="52" applyNumberFormat="0" applyFont="0" applyAlignment="0" applyProtection="0"/>
    <xf numFmtId="0" fontId="58" fillId="36" borderId="52" applyNumberFormat="0" applyFont="0" applyAlignment="0" applyProtection="0"/>
    <xf numFmtId="0" fontId="57" fillId="36" borderId="52" applyNumberFormat="0" applyFont="0" applyAlignment="0" applyProtection="0"/>
    <xf numFmtId="0" fontId="56" fillId="36" borderId="52" applyNumberFormat="0" applyFont="0" applyAlignment="0" applyProtection="0"/>
    <xf numFmtId="0" fontId="55" fillId="36" borderId="52" applyNumberFormat="0" applyFont="0" applyAlignment="0" applyProtection="0"/>
    <xf numFmtId="0" fontId="54" fillId="36" borderId="52" applyNumberFormat="0" applyFont="0" applyAlignment="0" applyProtection="0"/>
    <xf numFmtId="0" fontId="53" fillId="36" borderId="52" applyNumberFormat="0" applyFont="0" applyAlignment="0" applyProtection="0"/>
    <xf numFmtId="0" fontId="187" fillId="36" borderId="52" applyNumberFormat="0" applyFont="0" applyAlignment="0" applyProtection="0"/>
    <xf numFmtId="0" fontId="141" fillId="36" borderId="52" applyNumberFormat="0" applyFont="0" applyAlignment="0" applyProtection="0"/>
    <xf numFmtId="0" fontId="52" fillId="36" borderId="52" applyNumberFormat="0" applyFont="0" applyAlignment="0" applyProtection="0"/>
    <xf numFmtId="0" fontId="51" fillId="36" borderId="52" applyNumberFormat="0" applyFont="0" applyAlignment="0" applyProtection="0"/>
    <xf numFmtId="0" fontId="50" fillId="36" borderId="52" applyNumberFormat="0" applyFont="0" applyAlignment="0" applyProtection="0"/>
    <xf numFmtId="0" fontId="49" fillId="36" borderId="52" applyNumberFormat="0" applyFont="0" applyAlignment="0" applyProtection="0"/>
    <xf numFmtId="0" fontId="48" fillId="36" borderId="52" applyNumberFormat="0" applyFont="0" applyAlignment="0" applyProtection="0"/>
    <xf numFmtId="0" fontId="47" fillId="36" borderId="52" applyNumberFormat="0" applyFont="0" applyAlignment="0" applyProtection="0"/>
    <xf numFmtId="0" fontId="46" fillId="36" borderId="52" applyNumberFormat="0" applyFont="0" applyAlignment="0" applyProtection="0"/>
    <xf numFmtId="0" fontId="45" fillId="36" borderId="52" applyNumberFormat="0" applyFont="0" applyAlignment="0" applyProtection="0"/>
    <xf numFmtId="0" fontId="44" fillId="36" borderId="52" applyNumberFormat="0" applyFont="0" applyAlignment="0" applyProtection="0"/>
    <xf numFmtId="0" fontId="43" fillId="36" borderId="52" applyNumberFormat="0" applyFont="0" applyAlignment="0" applyProtection="0"/>
    <xf numFmtId="0" fontId="186" fillId="36" borderId="52" applyNumberFormat="0" applyFont="0" applyAlignment="0" applyProtection="0"/>
    <xf numFmtId="0" fontId="141" fillId="36" borderId="52" applyNumberFormat="0" applyFont="0" applyAlignment="0" applyProtection="0"/>
    <xf numFmtId="0" fontId="42" fillId="36" borderId="52" applyNumberFormat="0" applyFont="0" applyAlignment="0" applyProtection="0"/>
    <xf numFmtId="0" fontId="41" fillId="36" borderId="52" applyNumberFormat="0" applyFont="0" applyAlignment="0" applyProtection="0"/>
    <xf numFmtId="0" fontId="40" fillId="36" borderId="52" applyNumberFormat="0" applyFont="0" applyAlignment="0" applyProtection="0"/>
    <xf numFmtId="0" fontId="39" fillId="36" borderId="52" applyNumberFormat="0" applyFont="0" applyAlignment="0" applyProtection="0"/>
    <xf numFmtId="0" fontId="38" fillId="36" borderId="52" applyNumberFormat="0" applyFont="0" applyAlignment="0" applyProtection="0"/>
    <xf numFmtId="0" fontId="37" fillId="36" borderId="52" applyNumberFormat="0" applyFont="0" applyAlignment="0" applyProtection="0"/>
    <xf numFmtId="0" fontId="36" fillId="36" borderId="52" applyNumberFormat="0" applyFont="0" applyAlignment="0" applyProtection="0"/>
    <xf numFmtId="0" fontId="35" fillId="36" borderId="52" applyNumberFormat="0" applyFont="0" applyAlignment="0" applyProtection="0"/>
    <xf numFmtId="0" fontId="34" fillId="36" borderId="52" applyNumberFormat="0" applyFont="0" applyAlignment="0" applyProtection="0"/>
    <xf numFmtId="0" fontId="33" fillId="36" borderId="52" applyNumberFormat="0" applyFont="0" applyAlignment="0" applyProtection="0"/>
    <xf numFmtId="0" fontId="185" fillId="36" borderId="52" applyNumberFormat="0" applyFont="0" applyAlignment="0" applyProtection="0"/>
    <xf numFmtId="0" fontId="141" fillId="36" borderId="52" applyNumberFormat="0" applyFont="0" applyAlignment="0" applyProtection="0"/>
    <xf numFmtId="0" fontId="32" fillId="36" borderId="52" applyNumberFormat="0" applyFont="0" applyAlignment="0" applyProtection="0"/>
    <xf numFmtId="0" fontId="31" fillId="36" borderId="52" applyNumberFormat="0" applyFont="0" applyAlignment="0" applyProtection="0"/>
    <xf numFmtId="0" fontId="30" fillId="36" borderId="52" applyNumberFormat="0" applyFont="0" applyAlignment="0" applyProtection="0"/>
    <xf numFmtId="0" fontId="29" fillId="36" borderId="52" applyNumberFormat="0" applyFont="0" applyAlignment="0" applyProtection="0"/>
    <xf numFmtId="0" fontId="28" fillId="36" borderId="52" applyNumberFormat="0" applyFont="0" applyAlignment="0" applyProtection="0"/>
    <xf numFmtId="0" fontId="27" fillId="36" borderId="52" applyNumberFormat="0" applyFont="0" applyAlignment="0" applyProtection="0"/>
    <xf numFmtId="0" fontId="26" fillId="36" borderId="52" applyNumberFormat="0" applyFont="0" applyAlignment="0" applyProtection="0"/>
    <xf numFmtId="0" fontId="25" fillId="36" borderId="52" applyNumberFormat="0" applyFont="0" applyAlignment="0" applyProtection="0"/>
    <xf numFmtId="0" fontId="24" fillId="36" borderId="52" applyNumberFormat="0" applyFont="0" applyAlignment="0" applyProtection="0"/>
    <xf numFmtId="0" fontId="23" fillId="36" borderId="52" applyNumberFormat="0" applyFont="0" applyAlignment="0" applyProtection="0"/>
    <xf numFmtId="0" fontId="184" fillId="36" borderId="52" applyNumberFormat="0" applyFont="0" applyAlignment="0" applyProtection="0"/>
    <xf numFmtId="0" fontId="141" fillId="36" borderId="52" applyNumberFormat="0" applyFont="0" applyAlignment="0" applyProtection="0"/>
    <xf numFmtId="0" fontId="22" fillId="36" borderId="52" applyNumberFormat="0" applyFont="0" applyAlignment="0" applyProtection="0"/>
    <xf numFmtId="0" fontId="21" fillId="36" borderId="52" applyNumberFormat="0" applyFont="0" applyAlignment="0" applyProtection="0"/>
    <xf numFmtId="0" fontId="20" fillId="36" borderId="52" applyNumberFormat="0" applyFont="0" applyAlignment="0" applyProtection="0"/>
    <xf numFmtId="0" fontId="19" fillId="36" borderId="52" applyNumberFormat="0" applyFont="0" applyAlignment="0" applyProtection="0"/>
    <xf numFmtId="0" fontId="18" fillId="36" borderId="52" applyNumberFormat="0" applyFont="0" applyAlignment="0" applyProtection="0"/>
    <xf numFmtId="0" fontId="17" fillId="36" borderId="52" applyNumberFormat="0" applyFont="0" applyAlignment="0" applyProtection="0"/>
    <xf numFmtId="0" fontId="16" fillId="36" borderId="52" applyNumberFormat="0" applyFont="0" applyAlignment="0" applyProtection="0"/>
    <xf numFmtId="0" fontId="15" fillId="36" borderId="52" applyNumberFormat="0" applyFont="0" applyAlignment="0" applyProtection="0"/>
    <xf numFmtId="0" fontId="14" fillId="36" borderId="52" applyNumberFormat="0" applyFont="0" applyAlignment="0" applyProtection="0"/>
    <xf numFmtId="0" fontId="13" fillId="36" borderId="52" applyNumberFormat="0" applyFont="0" applyAlignment="0" applyProtection="0"/>
    <xf numFmtId="0" fontId="183" fillId="36" borderId="52" applyNumberFormat="0" applyFont="0" applyAlignment="0" applyProtection="0"/>
    <xf numFmtId="0" fontId="141" fillId="36" borderId="52" applyNumberFormat="0" applyFont="0" applyAlignment="0" applyProtection="0"/>
    <xf numFmtId="0" fontId="12" fillId="36" borderId="52" applyNumberFormat="0" applyFont="0" applyAlignment="0" applyProtection="0"/>
    <xf numFmtId="0" fontId="11" fillId="36" borderId="52" applyNumberFormat="0" applyFont="0" applyAlignment="0" applyProtection="0"/>
    <xf numFmtId="0" fontId="10" fillId="36" borderId="52" applyNumberFormat="0" applyFont="0" applyAlignment="0" applyProtection="0"/>
    <xf numFmtId="0" fontId="8" fillId="36" borderId="52" applyNumberFormat="0" applyFont="0" applyAlignment="0" applyProtection="0"/>
    <xf numFmtId="0" fontId="7" fillId="36" borderId="52" applyNumberFormat="0" applyFont="0" applyAlignment="0" applyProtection="0"/>
    <xf numFmtId="0" fontId="6" fillId="36" borderId="52" applyNumberFormat="0" applyFont="0" applyAlignment="0" applyProtection="0"/>
    <xf numFmtId="0" fontId="221" fillId="36" borderId="52" applyNumberFormat="0" applyFont="0" applyAlignment="0" applyProtection="0"/>
    <xf numFmtId="0" fontId="141" fillId="36" borderId="52" applyNumberFormat="0" applyFont="0" applyAlignment="0" applyProtection="0"/>
    <xf numFmtId="0" fontId="182" fillId="36" borderId="52" applyNumberFormat="0" applyFont="0" applyAlignment="0" applyProtection="0"/>
    <xf numFmtId="0" fontId="141" fillId="36" borderId="52" applyNumberFormat="0" applyFont="0" applyAlignment="0" applyProtection="0"/>
    <xf numFmtId="0" fontId="181" fillId="36" borderId="52" applyNumberFormat="0" applyFont="0" applyAlignment="0" applyProtection="0"/>
    <xf numFmtId="0" fontId="141" fillId="36" borderId="52" applyNumberFormat="0" applyFont="0" applyAlignment="0" applyProtection="0"/>
    <xf numFmtId="0" fontId="180" fillId="36" borderId="52" applyNumberFormat="0" applyFont="0" applyAlignment="0" applyProtection="0"/>
    <xf numFmtId="0" fontId="141" fillId="36" borderId="52" applyNumberFormat="0" applyFont="0" applyAlignment="0" applyProtection="0"/>
    <xf numFmtId="0" fontId="179" fillId="36" borderId="52" applyNumberFormat="0" applyFont="0" applyAlignment="0" applyProtection="0"/>
    <xf numFmtId="0" fontId="141" fillId="36" borderId="52" applyNumberFormat="0" applyFont="0" applyAlignment="0" applyProtection="0"/>
    <xf numFmtId="0" fontId="178" fillId="36" borderId="52" applyNumberFormat="0" applyFont="0" applyAlignment="0" applyProtection="0"/>
    <xf numFmtId="0" fontId="141" fillId="36" borderId="52" applyNumberFormat="0" applyFont="0" applyAlignment="0" applyProtection="0"/>
    <xf numFmtId="0" fontId="177" fillId="36" borderId="52" applyNumberFormat="0" applyFont="0" applyAlignment="0" applyProtection="0"/>
    <xf numFmtId="0" fontId="141" fillId="36" borderId="52" applyNumberFormat="0" applyFont="0" applyAlignment="0" applyProtection="0"/>
    <xf numFmtId="0" fontId="176" fillId="36" borderId="52" applyNumberFormat="0" applyFont="0" applyAlignment="0" applyProtection="0"/>
    <xf numFmtId="0" fontId="141" fillId="36" borderId="52" applyNumberFormat="0" applyFont="0" applyAlignment="0" applyProtection="0"/>
    <xf numFmtId="0" fontId="175" fillId="36" borderId="52" applyNumberFormat="0" applyFont="0" applyAlignment="0" applyProtection="0"/>
    <xf numFmtId="0" fontId="141" fillId="36" borderId="52" applyNumberFormat="0" applyFont="0" applyAlignment="0" applyProtection="0"/>
    <xf numFmtId="0" fontId="174" fillId="36" borderId="52" applyNumberFormat="0" applyFont="0" applyAlignment="0" applyProtection="0"/>
    <xf numFmtId="0" fontId="141" fillId="36" borderId="52" applyNumberFormat="0" applyFont="0" applyAlignment="0" applyProtection="0"/>
    <xf numFmtId="0" fontId="173" fillId="36" borderId="52" applyNumberFormat="0" applyFont="0" applyAlignment="0" applyProtection="0"/>
    <xf numFmtId="0" fontId="141" fillId="36" borderId="52" applyNumberFormat="0" applyFont="0" applyAlignment="0" applyProtection="0"/>
    <xf numFmtId="0" fontId="199" fillId="36" borderId="52" applyNumberFormat="0" applyFont="0" applyAlignment="0" applyProtection="0"/>
    <xf numFmtId="0" fontId="141" fillId="36" borderId="52" applyNumberFormat="0" applyFont="0" applyAlignment="0" applyProtection="0"/>
    <xf numFmtId="0" fontId="172" fillId="36" borderId="52" applyNumberFormat="0" applyFont="0" applyAlignment="0" applyProtection="0"/>
    <xf numFmtId="0" fontId="141" fillId="36" borderId="52" applyNumberFormat="0" applyFont="0" applyAlignment="0" applyProtection="0"/>
    <xf numFmtId="0" fontId="171" fillId="36" borderId="52" applyNumberFormat="0" applyFont="0" applyAlignment="0" applyProtection="0"/>
    <xf numFmtId="0" fontId="141" fillId="36" borderId="52" applyNumberFormat="0" applyFont="0" applyAlignment="0" applyProtection="0"/>
    <xf numFmtId="0" fontId="170" fillId="36" borderId="52" applyNumberFormat="0" applyFont="0" applyAlignment="0" applyProtection="0"/>
    <xf numFmtId="0" fontId="141" fillId="36" borderId="52" applyNumberFormat="0" applyFont="0" applyAlignment="0" applyProtection="0"/>
    <xf numFmtId="0" fontId="169" fillId="36" borderId="52" applyNumberFormat="0" applyFont="0" applyAlignment="0" applyProtection="0"/>
    <xf numFmtId="0" fontId="141" fillId="36" borderId="52" applyNumberFormat="0" applyFont="0" applyAlignment="0" applyProtection="0"/>
    <xf numFmtId="0" fontId="168" fillId="36" borderId="52" applyNumberFormat="0" applyFont="0" applyAlignment="0" applyProtection="0"/>
    <xf numFmtId="0" fontId="141" fillId="36" borderId="52" applyNumberFormat="0" applyFont="0" applyAlignment="0" applyProtection="0"/>
    <xf numFmtId="0" fontId="167" fillId="36" borderId="52" applyNumberFormat="0" applyFont="0" applyAlignment="0" applyProtection="0"/>
    <xf numFmtId="0" fontId="141" fillId="36" borderId="52" applyNumberFormat="0" applyFont="0" applyAlignment="0" applyProtection="0"/>
    <xf numFmtId="0" fontId="166" fillId="36" borderId="52" applyNumberFormat="0" applyFont="0" applyAlignment="0" applyProtection="0"/>
    <xf numFmtId="0" fontId="141" fillId="36" borderId="52" applyNumberFormat="0" applyFont="0" applyAlignment="0" applyProtection="0"/>
    <xf numFmtId="0" fontId="165" fillId="36" borderId="52" applyNumberFormat="0" applyFont="0" applyAlignment="0" applyProtection="0"/>
    <xf numFmtId="0" fontId="141" fillId="36" borderId="52" applyNumberFormat="0" applyFont="0" applyAlignment="0" applyProtection="0"/>
    <xf numFmtId="0" fontId="164" fillId="36" borderId="52" applyNumberFormat="0" applyFont="0" applyAlignment="0" applyProtection="0"/>
    <xf numFmtId="0" fontId="141" fillId="36" borderId="52" applyNumberFormat="0" applyFont="0" applyAlignment="0" applyProtection="0"/>
    <xf numFmtId="0" fontId="163" fillId="36" borderId="52" applyNumberFormat="0" applyFont="0" applyAlignment="0" applyProtection="0"/>
    <xf numFmtId="0" fontId="141" fillId="36" borderId="52" applyNumberFormat="0" applyFont="0" applyAlignment="0" applyProtection="0"/>
    <xf numFmtId="0" fontId="198" fillId="36" borderId="52" applyNumberFormat="0" applyFont="0" applyAlignment="0" applyProtection="0"/>
    <xf numFmtId="0" fontId="141" fillId="36" borderId="52" applyNumberFormat="0" applyFont="0" applyAlignment="0" applyProtection="0"/>
    <xf numFmtId="0" fontId="162" fillId="36" borderId="52" applyNumberFormat="0" applyFont="0" applyAlignment="0" applyProtection="0"/>
    <xf numFmtId="0" fontId="141" fillId="36" borderId="52" applyNumberFormat="0" applyFont="0" applyAlignment="0" applyProtection="0"/>
    <xf numFmtId="0" fontId="161" fillId="36" borderId="52" applyNumberFormat="0" applyFont="0" applyAlignment="0" applyProtection="0"/>
    <xf numFmtId="0" fontId="141" fillId="36" borderId="52" applyNumberFormat="0" applyFont="0" applyAlignment="0" applyProtection="0"/>
    <xf numFmtId="0" fontId="160" fillId="36" borderId="52" applyNumberFormat="0" applyFont="0" applyAlignment="0" applyProtection="0"/>
    <xf numFmtId="0" fontId="141" fillId="36" borderId="52" applyNumberFormat="0" applyFont="0" applyAlignment="0" applyProtection="0"/>
    <xf numFmtId="0" fontId="159" fillId="36" borderId="52" applyNumberFormat="0" applyFont="0" applyAlignment="0" applyProtection="0"/>
    <xf numFmtId="0" fontId="141" fillId="36" borderId="52" applyNumberFormat="0" applyFont="0" applyAlignment="0" applyProtection="0"/>
    <xf numFmtId="0" fontId="158" fillId="36" borderId="52" applyNumberFormat="0" applyFont="0" applyAlignment="0" applyProtection="0"/>
    <xf numFmtId="0" fontId="141" fillId="36" borderId="52" applyNumberFormat="0" applyFont="0" applyAlignment="0" applyProtection="0"/>
    <xf numFmtId="0" fontId="157" fillId="36" borderId="52" applyNumberFormat="0" applyFont="0" applyAlignment="0" applyProtection="0"/>
    <xf numFmtId="0" fontId="141" fillId="36" borderId="52" applyNumberFormat="0" applyFont="0" applyAlignment="0" applyProtection="0"/>
    <xf numFmtId="0" fontId="156" fillId="36" borderId="52" applyNumberFormat="0" applyFont="0" applyAlignment="0" applyProtection="0"/>
    <xf numFmtId="0" fontId="141" fillId="36" borderId="52" applyNumberFormat="0" applyFont="0" applyAlignment="0" applyProtection="0"/>
    <xf numFmtId="0" fontId="155" fillId="36" borderId="52" applyNumberFormat="0" applyFont="0" applyAlignment="0" applyProtection="0"/>
    <xf numFmtId="0" fontId="141" fillId="36" borderId="52" applyNumberFormat="0" applyFont="0" applyAlignment="0" applyProtection="0"/>
    <xf numFmtId="0" fontId="154" fillId="36" borderId="52" applyNumberFormat="0" applyFont="0" applyAlignment="0" applyProtection="0"/>
    <xf numFmtId="0" fontId="141" fillId="36" borderId="52" applyNumberFormat="0" applyFont="0" applyAlignment="0" applyProtection="0"/>
    <xf numFmtId="0" fontId="153" fillId="36" borderId="52" applyNumberFormat="0" applyFont="0" applyAlignment="0" applyProtection="0"/>
    <xf numFmtId="0" fontId="141" fillId="36" borderId="52" applyNumberFormat="0" applyFont="0" applyAlignment="0" applyProtection="0"/>
    <xf numFmtId="0" fontId="197" fillId="36" borderId="52" applyNumberFormat="0" applyFont="0" applyAlignment="0" applyProtection="0"/>
    <xf numFmtId="0" fontId="141" fillId="36" borderId="52" applyNumberFormat="0" applyFont="0" applyAlignment="0" applyProtection="0"/>
    <xf numFmtId="0" fontId="152" fillId="36" borderId="52" applyNumberFormat="0" applyFont="0" applyAlignment="0" applyProtection="0"/>
    <xf numFmtId="0" fontId="141" fillId="36" borderId="52" applyNumberFormat="0" applyFont="0" applyAlignment="0" applyProtection="0"/>
    <xf numFmtId="0" fontId="151" fillId="36" borderId="52" applyNumberFormat="0" applyFont="0" applyAlignment="0" applyProtection="0"/>
    <xf numFmtId="0" fontId="141" fillId="36" borderId="52" applyNumberFormat="0" applyFont="0" applyAlignment="0" applyProtection="0"/>
    <xf numFmtId="0" fontId="150" fillId="36" borderId="52" applyNumberFormat="0" applyFont="0" applyAlignment="0" applyProtection="0"/>
    <xf numFmtId="0" fontId="141" fillId="36" borderId="52" applyNumberFormat="0" applyFont="0" applyAlignment="0" applyProtection="0"/>
    <xf numFmtId="0" fontId="149" fillId="36" borderId="52" applyNumberFormat="0" applyFont="0" applyAlignment="0" applyProtection="0"/>
    <xf numFmtId="0" fontId="141" fillId="36" borderId="52" applyNumberFormat="0" applyFont="0" applyAlignment="0" applyProtection="0"/>
    <xf numFmtId="0" fontId="148" fillId="36" borderId="52" applyNumberFormat="0" applyFont="0" applyAlignment="0" applyProtection="0"/>
    <xf numFmtId="0" fontId="141" fillId="36" borderId="52" applyNumberFormat="0" applyFont="0" applyAlignment="0" applyProtection="0"/>
    <xf numFmtId="0" fontId="147" fillId="36" borderId="52" applyNumberFormat="0" applyFont="0" applyAlignment="0" applyProtection="0"/>
    <xf numFmtId="0" fontId="141" fillId="36" borderId="52" applyNumberFormat="0" applyFont="0" applyAlignment="0" applyProtection="0"/>
    <xf numFmtId="0" fontId="146" fillId="36" borderId="52" applyNumberFormat="0" applyFont="0" applyAlignment="0" applyProtection="0"/>
    <xf numFmtId="0" fontId="141" fillId="36" borderId="52" applyNumberFormat="0" applyFont="0" applyAlignment="0" applyProtection="0"/>
    <xf numFmtId="0" fontId="145" fillId="36" borderId="52" applyNumberFormat="0" applyFont="0" applyAlignment="0" applyProtection="0"/>
    <xf numFmtId="0" fontId="141" fillId="36" borderId="52" applyNumberFormat="0" applyFont="0" applyAlignment="0" applyProtection="0"/>
    <xf numFmtId="0" fontId="144" fillId="36" borderId="52" applyNumberFormat="0" applyFont="0" applyAlignment="0" applyProtection="0"/>
    <xf numFmtId="0" fontId="141" fillId="36" borderId="52" applyNumberFormat="0" applyFont="0" applyAlignment="0" applyProtection="0"/>
    <xf numFmtId="0" fontId="143" fillId="36" borderId="52" applyNumberFormat="0" applyFont="0" applyAlignment="0" applyProtection="0"/>
    <xf numFmtId="0" fontId="141" fillId="36" borderId="52" applyNumberFormat="0" applyFont="0" applyAlignment="0" applyProtection="0"/>
    <xf numFmtId="0" fontId="196" fillId="36" borderId="52" applyNumberFormat="0" applyFont="0" applyAlignment="0" applyProtection="0"/>
    <xf numFmtId="0" fontId="141" fillId="36" borderId="52" applyNumberFormat="0" applyFont="0" applyAlignment="0" applyProtection="0"/>
    <xf numFmtId="0" fontId="142" fillId="36" borderId="52" applyNumberFormat="0" applyFont="0" applyAlignment="0" applyProtection="0"/>
    <xf numFmtId="0" fontId="141" fillId="36" borderId="52" applyNumberFormat="0" applyFont="0" applyAlignment="0" applyProtection="0"/>
    <xf numFmtId="0" fontId="141" fillId="36" borderId="52" applyNumberFormat="0" applyFont="0" applyAlignment="0" applyProtection="0"/>
    <xf numFmtId="0" fontId="140" fillId="36" borderId="52" applyNumberFormat="0" applyFont="0" applyAlignment="0" applyProtection="0"/>
    <xf numFmtId="0" fontId="139" fillId="36" borderId="52" applyNumberFormat="0" applyFont="0" applyAlignment="0" applyProtection="0"/>
    <xf numFmtId="0" fontId="138" fillId="36" borderId="52" applyNumberFormat="0" applyFont="0" applyAlignment="0" applyProtection="0"/>
    <xf numFmtId="0" fontId="137" fillId="36" borderId="52" applyNumberFormat="0" applyFont="0" applyAlignment="0" applyProtection="0"/>
    <xf numFmtId="0" fontId="136" fillId="36" borderId="52" applyNumberFormat="0" applyFont="0" applyAlignment="0" applyProtection="0"/>
    <xf numFmtId="0" fontId="135" fillId="36" borderId="52" applyNumberFormat="0" applyFont="0" applyAlignment="0" applyProtection="0"/>
    <xf numFmtId="0" fontId="134" fillId="36" borderId="52" applyNumberFormat="0" applyFont="0" applyAlignment="0" applyProtection="0"/>
    <xf numFmtId="0" fontId="133" fillId="36" borderId="52" applyNumberFormat="0" applyFont="0" applyAlignment="0" applyProtection="0"/>
    <xf numFmtId="0" fontId="195" fillId="36" borderId="52" applyNumberFormat="0" applyFont="0" applyAlignment="0" applyProtection="0"/>
    <xf numFmtId="0" fontId="141" fillId="36" borderId="52" applyNumberFormat="0" applyFont="0" applyAlignment="0" applyProtection="0"/>
    <xf numFmtId="0" fontId="132" fillId="36" borderId="52" applyNumberFormat="0" applyFont="0" applyAlignment="0" applyProtection="0"/>
    <xf numFmtId="0" fontId="131" fillId="36" borderId="52" applyNumberFormat="0" applyFont="0" applyAlignment="0" applyProtection="0"/>
    <xf numFmtId="0" fontId="130" fillId="36" borderId="52" applyNumberFormat="0" applyFont="0" applyAlignment="0" applyProtection="0"/>
    <xf numFmtId="0" fontId="129" fillId="36" borderId="52" applyNumberFormat="0" applyFont="0" applyAlignment="0" applyProtection="0"/>
    <xf numFmtId="0" fontId="128" fillId="36" borderId="52" applyNumberFormat="0" applyFont="0" applyAlignment="0" applyProtection="0"/>
    <xf numFmtId="0" fontId="127" fillId="36" borderId="52" applyNumberFormat="0" applyFont="0" applyAlignment="0" applyProtection="0"/>
    <xf numFmtId="0" fontId="126" fillId="36" borderId="52" applyNumberFormat="0" applyFont="0" applyAlignment="0" applyProtection="0"/>
    <xf numFmtId="0" fontId="125" fillId="36" borderId="52" applyNumberFormat="0" applyFont="0" applyAlignment="0" applyProtection="0"/>
    <xf numFmtId="0" fontId="124" fillId="36" borderId="52" applyNumberFormat="0" applyFont="0" applyAlignment="0" applyProtection="0"/>
    <xf numFmtId="0" fontId="123" fillId="36" borderId="52" applyNumberFormat="0" applyFont="0" applyAlignment="0" applyProtection="0"/>
    <xf numFmtId="0" fontId="194" fillId="36" borderId="52" applyNumberFormat="0" applyFont="0" applyAlignment="0" applyProtection="0"/>
    <xf numFmtId="0" fontId="141" fillId="36" borderId="52" applyNumberFormat="0" applyFont="0" applyAlignment="0" applyProtection="0"/>
    <xf numFmtId="0" fontId="122" fillId="36" borderId="52" applyNumberFormat="0" applyFont="0" applyAlignment="0" applyProtection="0"/>
    <xf numFmtId="0" fontId="121" fillId="36" borderId="52" applyNumberFormat="0" applyFont="0" applyAlignment="0" applyProtection="0"/>
    <xf numFmtId="0" fontId="120" fillId="36" borderId="52" applyNumberFormat="0" applyFont="0" applyAlignment="0" applyProtection="0"/>
    <xf numFmtId="0" fontId="119" fillId="36" borderId="52" applyNumberFormat="0" applyFont="0" applyAlignment="0" applyProtection="0"/>
    <xf numFmtId="0" fontId="118" fillId="36" borderId="52" applyNumberFormat="0" applyFont="0" applyAlignment="0" applyProtection="0"/>
    <xf numFmtId="0" fontId="117" fillId="36" borderId="52" applyNumberFormat="0" applyFont="0" applyAlignment="0" applyProtection="0"/>
    <xf numFmtId="0" fontId="116" fillId="36" borderId="52" applyNumberFormat="0" applyFont="0" applyAlignment="0" applyProtection="0"/>
    <xf numFmtId="0" fontId="115" fillId="36" borderId="52" applyNumberFormat="0" applyFont="0" applyAlignment="0" applyProtection="0"/>
    <xf numFmtId="0" fontId="114" fillId="36" borderId="52" applyNumberFormat="0" applyFont="0" applyAlignment="0" applyProtection="0"/>
    <xf numFmtId="0" fontId="113" fillId="36" borderId="52" applyNumberFormat="0" applyFont="0" applyAlignment="0" applyProtection="0"/>
    <xf numFmtId="0" fontId="193" fillId="36" borderId="52" applyNumberFormat="0" applyFont="0" applyAlignment="0" applyProtection="0"/>
    <xf numFmtId="0" fontId="141" fillId="36" borderId="52" applyNumberFormat="0" applyFont="0" applyAlignment="0" applyProtection="0"/>
    <xf numFmtId="0" fontId="112" fillId="36" borderId="52" applyNumberFormat="0" applyFont="0" applyAlignment="0" applyProtection="0"/>
    <xf numFmtId="0" fontId="111" fillId="36" borderId="52" applyNumberFormat="0" applyFont="0" applyAlignment="0" applyProtection="0"/>
    <xf numFmtId="0" fontId="110" fillId="36" borderId="52" applyNumberFormat="0" applyFont="0" applyAlignment="0" applyProtection="0"/>
    <xf numFmtId="0" fontId="109" fillId="36" borderId="52" applyNumberFormat="0" applyFont="0" applyAlignment="0" applyProtection="0"/>
    <xf numFmtId="0" fontId="108" fillId="36" borderId="52" applyNumberFormat="0" applyFont="0" applyAlignment="0" applyProtection="0"/>
    <xf numFmtId="0" fontId="107" fillId="36" borderId="52" applyNumberFormat="0" applyFont="0" applyAlignment="0" applyProtection="0"/>
    <xf numFmtId="0" fontId="106" fillId="36" borderId="52" applyNumberFormat="0" applyFont="0" applyAlignment="0" applyProtection="0"/>
    <xf numFmtId="0" fontId="105" fillId="36" borderId="52" applyNumberFormat="0" applyFont="0" applyAlignment="0" applyProtection="0"/>
    <xf numFmtId="0" fontId="104" fillId="36" borderId="52" applyNumberFormat="0" applyFont="0" applyAlignment="0" applyProtection="0"/>
    <xf numFmtId="0" fontId="103" fillId="36" borderId="52" applyNumberFormat="0" applyFont="0" applyAlignment="0" applyProtection="0"/>
    <xf numFmtId="0" fontId="300" fillId="37" borderId="0" applyNumberFormat="0" applyBorder="0" applyAlignment="0" applyProtection="0"/>
    <xf numFmtId="43" fontId="284" fillId="0" borderId="0" applyFont="0" applyFill="0" applyBorder="0" applyAlignment="0" applyProtection="0"/>
    <xf numFmtId="0" fontId="284" fillId="36" borderId="52" applyNumberFormat="0" applyFont="0" applyAlignment="0" applyProtection="0"/>
    <xf numFmtId="0" fontId="303" fillId="0" borderId="0"/>
    <xf numFmtId="43" fontId="303" fillId="0" borderId="0" applyFont="0" applyFill="0" applyBorder="0" applyAlignment="0" applyProtection="0"/>
    <xf numFmtId="0" fontId="304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284" fillId="0" borderId="0" applyFont="0" applyFill="0" applyBorder="0" applyAlignment="0" applyProtection="0"/>
    <xf numFmtId="9" fontId="284" fillId="0" borderId="0" applyFont="0" applyFill="0" applyBorder="0" applyAlignment="0" applyProtection="0"/>
    <xf numFmtId="0" fontId="303" fillId="0" borderId="0"/>
    <xf numFmtId="9" fontId="284" fillId="0" borderId="0" applyFont="0" applyFill="0" applyBorder="0" applyAlignment="0" applyProtection="0"/>
    <xf numFmtId="0" fontId="200" fillId="0" borderId="0"/>
    <xf numFmtId="43" fontId="200" fillId="0" borderId="0" applyFont="0" applyFill="0" applyBorder="0" applyAlignment="0" applyProtection="0"/>
    <xf numFmtId="0" fontId="284" fillId="0" borderId="0"/>
    <xf numFmtId="0" fontId="284" fillId="0" borderId="0"/>
    <xf numFmtId="9" fontId="200" fillId="0" borderId="0" applyFont="0" applyFill="0" applyBorder="0" applyAlignment="0" applyProtection="0"/>
    <xf numFmtId="9" fontId="200" fillId="0" borderId="0" applyFont="0" applyFill="0" applyBorder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5" fillId="36" borderId="52" applyNumberFormat="0" applyFont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36" borderId="52" applyNumberFormat="0" applyFont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11" borderId="0" applyNumberFormat="0" applyBorder="0" applyAlignment="0" applyProtection="0"/>
    <xf numFmtId="0" fontId="4" fillId="17" borderId="0" applyNumberFormat="0" applyBorder="0" applyAlignment="0" applyProtection="0"/>
    <xf numFmtId="0" fontId="4" fillId="12" borderId="0" applyNumberFormat="0" applyBorder="0" applyAlignment="0" applyProtection="0"/>
    <xf numFmtId="0" fontId="4" fillId="18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4" fillId="0" borderId="0"/>
    <xf numFmtId="0" fontId="335" fillId="38" borderId="0" applyNumberFormat="0" applyBorder="0" applyAlignment="0" applyProtection="0"/>
    <xf numFmtId="0" fontId="335" fillId="39" borderId="0" applyNumberFormat="0" applyBorder="0" applyAlignment="0" applyProtection="0"/>
    <xf numFmtId="0" fontId="335" fillId="40" borderId="0" applyNumberFormat="0" applyBorder="0" applyAlignment="0" applyProtection="0"/>
    <xf numFmtId="0" fontId="335" fillId="41" borderId="0" applyNumberFormat="0" applyBorder="0" applyAlignment="0" applyProtection="0"/>
    <xf numFmtId="0" fontId="335" fillId="42" borderId="0" applyNumberFormat="0" applyBorder="0" applyAlignment="0" applyProtection="0"/>
    <xf numFmtId="0" fontId="335" fillId="43" borderId="0" applyNumberFormat="0" applyBorder="0" applyAlignment="0" applyProtection="0"/>
    <xf numFmtId="0" fontId="335" fillId="44" borderId="0" applyNumberFormat="0" applyBorder="0" applyAlignment="0" applyProtection="0"/>
    <xf numFmtId="0" fontId="335" fillId="45" borderId="0" applyNumberFormat="0" applyBorder="0" applyAlignment="0" applyProtection="0"/>
    <xf numFmtId="0" fontId="335" fillId="46" borderId="0" applyNumberFormat="0" applyBorder="0" applyAlignment="0" applyProtection="0"/>
    <xf numFmtId="0" fontId="335" fillId="41" borderId="0" applyNumberFormat="0" applyBorder="0" applyAlignment="0" applyProtection="0"/>
    <xf numFmtId="0" fontId="335" fillId="44" borderId="0" applyNumberFormat="0" applyBorder="0" applyAlignment="0" applyProtection="0"/>
    <xf numFmtId="0" fontId="335" fillId="47" borderId="0" applyNumberFormat="0" applyBorder="0" applyAlignment="0" applyProtection="0"/>
    <xf numFmtId="0" fontId="336" fillId="48" borderId="0" applyNumberFormat="0" applyBorder="0" applyAlignment="0" applyProtection="0"/>
    <xf numFmtId="0" fontId="336" fillId="45" borderId="0" applyNumberFormat="0" applyBorder="0" applyAlignment="0" applyProtection="0"/>
    <xf numFmtId="0" fontId="336" fillId="46" borderId="0" applyNumberFormat="0" applyBorder="0" applyAlignment="0" applyProtection="0"/>
    <xf numFmtId="0" fontId="336" fillId="49" borderId="0" applyNumberFormat="0" applyBorder="0" applyAlignment="0" applyProtection="0"/>
    <xf numFmtId="0" fontId="336" fillId="50" borderId="0" applyNumberFormat="0" applyBorder="0" applyAlignment="0" applyProtection="0"/>
    <xf numFmtId="0" fontId="336" fillId="51" borderId="0" applyNumberFormat="0" applyBorder="0" applyAlignment="0" applyProtection="0"/>
    <xf numFmtId="0" fontId="336" fillId="52" borderId="0" applyNumberFormat="0" applyBorder="0" applyAlignment="0" applyProtection="0"/>
    <xf numFmtId="0" fontId="336" fillId="53" borderId="0" applyNumberFormat="0" applyBorder="0" applyAlignment="0" applyProtection="0"/>
    <xf numFmtId="0" fontId="336" fillId="54" borderId="0" applyNumberFormat="0" applyBorder="0" applyAlignment="0" applyProtection="0"/>
    <xf numFmtId="0" fontId="336" fillId="49" borderId="0" applyNumberFormat="0" applyBorder="0" applyAlignment="0" applyProtection="0"/>
    <xf numFmtId="0" fontId="336" fillId="50" borderId="0" applyNumberFormat="0" applyBorder="0" applyAlignment="0" applyProtection="0"/>
    <xf numFmtId="0" fontId="336" fillId="55" borderId="0" applyNumberFormat="0" applyBorder="0" applyAlignment="0" applyProtection="0"/>
    <xf numFmtId="0" fontId="337" fillId="43" borderId="54" applyNumberFormat="0" applyAlignment="0" applyProtection="0"/>
    <xf numFmtId="0" fontId="338" fillId="56" borderId="55" applyNumberFormat="0" applyAlignment="0" applyProtection="0"/>
    <xf numFmtId="0" fontId="339" fillId="40" borderId="0" applyNumberFormat="0" applyBorder="0" applyAlignment="0" applyProtection="0"/>
    <xf numFmtId="0" fontId="340" fillId="0" borderId="56" applyNumberFormat="0" applyFill="0" applyAlignment="0" applyProtection="0"/>
    <xf numFmtId="0" fontId="341" fillId="57" borderId="57" applyNumberFormat="0" applyAlignment="0" applyProtection="0"/>
    <xf numFmtId="0" fontId="342" fillId="0" borderId="58" applyNumberFormat="0" applyFill="0" applyAlignment="0" applyProtection="0"/>
    <xf numFmtId="0" fontId="343" fillId="0" borderId="59" applyNumberFormat="0" applyFill="0" applyAlignment="0" applyProtection="0"/>
    <xf numFmtId="0" fontId="344" fillId="0" borderId="60" applyNumberFormat="0" applyFill="0" applyAlignment="0" applyProtection="0"/>
    <xf numFmtId="0" fontId="344" fillId="0" borderId="0" applyNumberFormat="0" applyFill="0" applyBorder="0" applyAlignment="0" applyProtection="0"/>
    <xf numFmtId="0" fontId="345" fillId="58" borderId="0" applyNumberFormat="0" applyBorder="0" applyAlignment="0" applyProtection="0"/>
    <xf numFmtId="0" fontId="346" fillId="56" borderId="54" applyNumberFormat="0" applyAlignment="0" applyProtection="0"/>
    <xf numFmtId="9" fontId="334" fillId="0" borderId="0" applyFont="0" applyFill="0" applyBorder="0" applyAlignment="0" applyProtection="0"/>
    <xf numFmtId="0" fontId="347" fillId="0" borderId="61" applyNumberFormat="0" applyFill="0" applyAlignment="0" applyProtection="0"/>
    <xf numFmtId="0" fontId="348" fillId="0" borderId="0" applyNumberFormat="0" applyFill="0" applyBorder="0" applyAlignment="0" applyProtection="0"/>
    <xf numFmtId="0" fontId="349" fillId="0" borderId="0" applyNumberFormat="0" applyFill="0" applyBorder="0" applyAlignment="0" applyProtection="0"/>
    <xf numFmtId="0" fontId="350" fillId="0" borderId="0" applyNumberFormat="0" applyFill="0" applyBorder="0" applyAlignment="0" applyProtection="0"/>
    <xf numFmtId="0" fontId="334" fillId="59" borderId="62" applyNumberFormat="0" applyFont="0" applyAlignment="0" applyProtection="0"/>
    <xf numFmtId="0" fontId="351" fillId="39" borderId="0" applyNumberFormat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53" fillId="0" borderId="0"/>
    <xf numFmtId="9" fontId="353" fillId="0" borderId="0" applyFont="0" applyFill="0" applyBorder="0" applyAlignment="0" applyProtection="0"/>
    <xf numFmtId="0" fontId="353" fillId="59" borderId="62" applyNumberFormat="0" applyFont="0" applyAlignment="0" applyProtection="0"/>
    <xf numFmtId="0" fontId="354" fillId="0" borderId="0"/>
    <xf numFmtId="9" fontId="354" fillId="0" borderId="0" applyFont="0" applyFill="0" applyBorder="0" applyAlignment="0" applyProtection="0"/>
    <xf numFmtId="0" fontId="354" fillId="59" borderId="62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12" borderId="0" applyNumberFormat="0" applyBorder="0" applyAlignment="0" applyProtection="0"/>
    <xf numFmtId="0" fontId="1" fillId="18" borderId="0" applyNumberFormat="0" applyBorder="0" applyAlignment="0" applyProtection="0"/>
    <xf numFmtId="0" fontId="200" fillId="0" borderId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43" fontId="20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00" fillId="0" borderId="0" applyFont="0" applyFill="0" applyBorder="0" applyAlignment="0" applyProtection="0"/>
    <xf numFmtId="0" fontId="1" fillId="36" borderId="52" applyNumberFormat="0" applyFont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36" borderId="52" applyNumberFormat="0" applyFont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1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6" fillId="0" borderId="0"/>
    <xf numFmtId="9" fontId="266" fillId="0" borderId="0" applyFont="0" applyFill="0" applyBorder="0" applyAlignment="0" applyProtection="0"/>
    <xf numFmtId="0" fontId="266" fillId="59" borderId="62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66" fillId="0" borderId="0"/>
    <xf numFmtId="9" fontId="266" fillId="0" borderId="0" applyFont="0" applyFill="0" applyBorder="0" applyAlignment="0" applyProtection="0"/>
    <xf numFmtId="0" fontId="266" fillId="59" borderId="62" applyNumberFormat="0" applyFont="0" applyAlignment="0" applyProtection="0"/>
    <xf numFmtId="0" fontId="266" fillId="0" borderId="0"/>
    <xf numFmtId="9" fontId="266" fillId="0" borderId="0" applyFont="0" applyFill="0" applyBorder="0" applyAlignment="0" applyProtection="0"/>
    <xf numFmtId="0" fontId="266" fillId="59" borderId="62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59" fillId="0" borderId="0"/>
    <xf numFmtId="9" fontId="359" fillId="0" borderId="0" applyFont="0" applyFill="0" applyBorder="0" applyAlignment="0" applyProtection="0"/>
    <xf numFmtId="0" fontId="359" fillId="59" borderId="62" applyNumberFormat="0" applyFont="0" applyAlignment="0" applyProtection="0"/>
  </cellStyleXfs>
  <cellXfs count="621">
    <xf numFmtId="0" fontId="0" fillId="0" borderId="0" xfId="0"/>
    <xf numFmtId="0" fontId="215" fillId="0" borderId="1" xfId="0" applyFont="1" applyBorder="1" applyAlignment="1">
      <alignment vertical="center"/>
    </xf>
    <xf numFmtId="0" fontId="206" fillId="0" borderId="0" xfId="0" applyFont="1" applyAlignment="1">
      <alignment vertical="center"/>
    </xf>
    <xf numFmtId="0" fontId="215" fillId="0" borderId="0" xfId="0" applyFont="1"/>
    <xf numFmtId="0" fontId="206" fillId="0" borderId="0" xfId="0" applyFont="1"/>
    <xf numFmtId="4" fontId="201" fillId="0" borderId="1" xfId="0" applyNumberFormat="1" applyFont="1" applyFill="1" applyBorder="1" applyAlignment="1">
      <alignment horizontal="left" vertical="center"/>
    </xf>
    <xf numFmtId="0" fontId="207" fillId="0" borderId="1" xfId="0" applyFont="1" applyBorder="1" applyAlignment="1">
      <alignment horizontal="left" vertical="center"/>
    </xf>
    <xf numFmtId="4" fontId="211" fillId="0" borderId="1" xfId="0" applyNumberFormat="1" applyFont="1" applyFill="1" applyBorder="1" applyAlignment="1">
      <alignment horizontal="left" vertical="center"/>
    </xf>
    <xf numFmtId="4" fontId="213" fillId="0" borderId="1" xfId="0" applyNumberFormat="1" applyFont="1" applyBorder="1" applyAlignment="1">
      <alignment horizontal="left" vertical="center"/>
    </xf>
    <xf numFmtId="4" fontId="210" fillId="2" borderId="1" xfId="0" applyNumberFormat="1" applyFont="1" applyFill="1" applyBorder="1" applyAlignment="1">
      <alignment horizontal="left" vertical="center"/>
    </xf>
    <xf numFmtId="4" fontId="217" fillId="0" borderId="1" xfId="0" applyNumberFormat="1" applyFont="1" applyFill="1" applyBorder="1" applyAlignment="1">
      <alignment horizontal="left" vertical="center"/>
    </xf>
    <xf numFmtId="10" fontId="217" fillId="0" borderId="1" xfId="3304" applyNumberFormat="1" applyFont="1" applyBorder="1" applyAlignment="1">
      <alignment horizontal="left" vertical="center"/>
    </xf>
    <xf numFmtId="0" fontId="215" fillId="0" borderId="0" xfId="0" applyFont="1" applyAlignment="1">
      <alignment horizontal="left" vertical="center"/>
    </xf>
    <xf numFmtId="0" fontId="212" fillId="0" borderId="0" xfId="0" applyFont="1" applyAlignment="1">
      <alignment horizontal="left"/>
    </xf>
    <xf numFmtId="0" fontId="218" fillId="0" borderId="0" xfId="0" applyFont="1" applyAlignment="1">
      <alignment horizontal="left" vertical="center"/>
    </xf>
    <xf numFmtId="0" fontId="214" fillId="0" borderId="0" xfId="0" applyFont="1" applyAlignment="1">
      <alignment horizontal="left"/>
    </xf>
    <xf numFmtId="0" fontId="208" fillId="0" borderId="1" xfId="0" applyFont="1" applyBorder="1" applyAlignment="1">
      <alignment horizontal="left" vertical="center"/>
    </xf>
    <xf numFmtId="0" fontId="206" fillId="0" borderId="0" xfId="0" applyFont="1" applyAlignment="1">
      <alignment horizontal="left" vertical="center"/>
    </xf>
    <xf numFmtId="0" fontId="215" fillId="0" borderId="0" xfId="0" applyFont="1" applyAlignment="1">
      <alignment horizontal="left"/>
    </xf>
    <xf numFmtId="0" fontId="219" fillId="0" borderId="0" xfId="0" applyFont="1" applyAlignment="1">
      <alignment horizontal="left" vertical="center"/>
    </xf>
    <xf numFmtId="4" fontId="205" fillId="0" borderId="1" xfId="0" applyNumberFormat="1" applyFont="1" applyFill="1" applyBorder="1" applyAlignment="1">
      <alignment horizontal="left" vertical="center"/>
    </xf>
    <xf numFmtId="0" fontId="212" fillId="0" borderId="0" xfId="0" applyFont="1" applyAlignment="1">
      <alignment horizontal="left" vertical="center"/>
    </xf>
    <xf numFmtId="0" fontId="214" fillId="0" borderId="0" xfId="0" applyFont="1" applyAlignment="1">
      <alignment horizontal="left" vertical="center"/>
    </xf>
    <xf numFmtId="0" fontId="216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4" fontId="210" fillId="0" borderId="1" xfId="3304" applyNumberFormat="1" applyFont="1" applyBorder="1" applyAlignment="1">
      <alignment horizontal="left" vertical="center"/>
    </xf>
    <xf numFmtId="4" fontId="224" fillId="0" borderId="1" xfId="0" applyNumberFormat="1" applyFont="1" applyFill="1" applyBorder="1" applyAlignment="1">
      <alignment horizontal="left" vertical="center"/>
    </xf>
    <xf numFmtId="10" fontId="225" fillId="0" borderId="1" xfId="3304" applyNumberFormat="1" applyFont="1" applyBorder="1" applyAlignment="1">
      <alignment horizontal="left" vertical="center"/>
    </xf>
    <xf numFmtId="0" fontId="226" fillId="0" borderId="0" xfId="0" applyFont="1" applyAlignment="1">
      <alignment horizontal="left" vertical="center"/>
    </xf>
    <xf numFmtId="4" fontId="227" fillId="0" borderId="1" xfId="3302" applyNumberFormat="1" applyFont="1" applyBorder="1" applyAlignment="1">
      <alignment horizontal="left" vertical="center"/>
    </xf>
    <xf numFmtId="0" fontId="228" fillId="0" borderId="0" xfId="0" applyFont="1" applyAlignment="1">
      <alignment horizontal="left" vertical="center"/>
    </xf>
    <xf numFmtId="4" fontId="227" fillId="0" borderId="1" xfId="0" applyNumberFormat="1" applyFont="1" applyFill="1" applyBorder="1" applyAlignment="1">
      <alignment horizontal="left" vertical="center"/>
    </xf>
    <xf numFmtId="0" fontId="229" fillId="0" borderId="1" xfId="0" applyNumberFormat="1" applyFont="1" applyFill="1" applyBorder="1" applyAlignment="1">
      <alignment horizontal="left" vertical="center"/>
    </xf>
    <xf numFmtId="4" fontId="224" fillId="2" borderId="1" xfId="0" applyNumberFormat="1" applyFont="1" applyFill="1" applyBorder="1" applyAlignment="1">
      <alignment horizontal="left" vertical="center"/>
    </xf>
    <xf numFmtId="0" fontId="231" fillId="0" borderId="0" xfId="0" applyFont="1" applyAlignment="1">
      <alignment horizontal="left" vertical="center"/>
    </xf>
    <xf numFmtId="0" fontId="232" fillId="0" borderId="0" xfId="0" applyFont="1" applyAlignment="1">
      <alignment horizontal="left" vertical="center"/>
    </xf>
    <xf numFmtId="4" fontId="225" fillId="2" borderId="1" xfId="0" applyNumberFormat="1" applyFont="1" applyFill="1" applyBorder="1" applyAlignment="1">
      <alignment horizontal="left" vertical="center"/>
    </xf>
    <xf numFmtId="0" fontId="233" fillId="0" borderId="0" xfId="0" applyFont="1" applyAlignment="1">
      <alignment horizontal="left" vertical="center"/>
    </xf>
    <xf numFmtId="0" fontId="234" fillId="0" borderId="0" xfId="0" applyFont="1" applyAlignment="1">
      <alignment horizontal="left" vertical="center"/>
    </xf>
    <xf numFmtId="4" fontId="238" fillId="0" borderId="1" xfId="0" applyNumberFormat="1" applyFont="1" applyFill="1" applyBorder="1" applyAlignment="1">
      <alignment horizontal="left" vertical="center"/>
    </xf>
    <xf numFmtId="4" fontId="237" fillId="0" borderId="1" xfId="0" applyNumberFormat="1" applyFont="1" applyFill="1" applyBorder="1" applyAlignment="1">
      <alignment horizontal="left" vertical="center"/>
    </xf>
    <xf numFmtId="3" fontId="237" fillId="0" borderId="1" xfId="3302" applyNumberFormat="1" applyFont="1" applyBorder="1" applyAlignment="1">
      <alignment horizontal="center" vertical="center"/>
    </xf>
    <xf numFmtId="3" fontId="203" fillId="0" borderId="1" xfId="3302" applyNumberFormat="1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23" fillId="0" borderId="0" xfId="0" applyFont="1" applyAlignment="1">
      <alignment horizontal="left" vertical="center"/>
    </xf>
    <xf numFmtId="3" fontId="205" fillId="0" borderId="1" xfId="3302" applyNumberFormat="1" applyFont="1" applyBorder="1" applyAlignment="1">
      <alignment horizontal="center" vertical="center"/>
    </xf>
    <xf numFmtId="0" fontId="239" fillId="0" borderId="0" xfId="0" applyFont="1" applyAlignment="1">
      <alignment horizontal="left" vertical="center"/>
    </xf>
    <xf numFmtId="0" fontId="240" fillId="0" borderId="0" xfId="0" applyFont="1" applyAlignment="1">
      <alignment horizontal="left" vertical="center"/>
    </xf>
    <xf numFmtId="0" fontId="215" fillId="0" borderId="1" xfId="0" applyFont="1" applyBorder="1" applyAlignment="1">
      <alignment horizontal="center" vertical="center"/>
    </xf>
    <xf numFmtId="0" fontId="206" fillId="0" borderId="1" xfId="0" applyFont="1" applyBorder="1" applyAlignment="1">
      <alignment horizontal="center" vertical="center"/>
    </xf>
    <xf numFmtId="9" fontId="237" fillId="0" borderId="1" xfId="3304" applyFont="1" applyBorder="1" applyAlignment="1">
      <alignment horizontal="center" vertical="center"/>
    </xf>
    <xf numFmtId="4" fontId="225" fillId="0" borderId="1" xfId="0" applyNumberFormat="1" applyFont="1" applyFill="1" applyBorder="1" applyAlignment="1">
      <alignment horizontal="left" vertical="center"/>
    </xf>
    <xf numFmtId="0" fontId="0" fillId="2" borderId="0" xfId="0" applyFill="1"/>
    <xf numFmtId="4" fontId="202" fillId="0" borderId="1" xfId="0" applyNumberFormat="1" applyFont="1" applyFill="1" applyBorder="1" applyAlignment="1">
      <alignment horizontal="left" vertical="center"/>
    </xf>
    <xf numFmtId="43" fontId="237" fillId="0" borderId="1" xfId="3040" applyFont="1" applyBorder="1" applyAlignment="1">
      <alignment horizontal="center" vertical="center"/>
    </xf>
    <xf numFmtId="4" fontId="244" fillId="0" borderId="1" xfId="0" applyNumberFormat="1" applyFont="1" applyFill="1" applyBorder="1" applyAlignment="1">
      <alignment horizontal="left" vertical="center"/>
    </xf>
    <xf numFmtId="1" fontId="243" fillId="2" borderId="1" xfId="0" applyNumberFormat="1" applyFont="1" applyFill="1" applyBorder="1" applyAlignment="1">
      <alignment horizontal="left" vertical="center"/>
    </xf>
    <xf numFmtId="43" fontId="238" fillId="0" borderId="1" xfId="3040" applyFont="1" applyBorder="1" applyAlignment="1">
      <alignment horizontal="center" vertical="center"/>
    </xf>
    <xf numFmtId="4" fontId="241" fillId="0" borderId="1" xfId="0" applyNumberFormat="1" applyFont="1" applyFill="1" applyBorder="1" applyAlignment="1">
      <alignment horizontal="left" vertical="center"/>
    </xf>
    <xf numFmtId="4" fontId="241" fillId="2" borderId="1" xfId="0" applyNumberFormat="1" applyFont="1" applyFill="1" applyBorder="1" applyAlignment="1">
      <alignment horizontal="left" vertical="center"/>
    </xf>
    <xf numFmtId="0" fontId="222" fillId="0" borderId="0" xfId="0" applyFont="1" applyAlignment="1">
      <alignment horizontal="left" vertical="center"/>
    </xf>
    <xf numFmtId="0" fontId="242" fillId="0" borderId="0" xfId="0" applyFont="1" applyAlignment="1">
      <alignment horizontal="left" vertical="center"/>
    </xf>
    <xf numFmtId="4" fontId="243" fillId="0" borderId="2" xfId="0" applyNumberFormat="1" applyFont="1" applyFill="1" applyBorder="1" applyAlignment="1">
      <alignment horizontal="left" vertical="center"/>
    </xf>
    <xf numFmtId="3" fontId="243" fillId="0" borderId="0" xfId="3302" applyNumberFormat="1" applyFont="1" applyBorder="1" applyAlignment="1">
      <alignment horizontal="center" vertical="center"/>
    </xf>
    <xf numFmtId="4" fontId="243" fillId="2" borderId="3" xfId="0" applyNumberFormat="1" applyFont="1" applyFill="1" applyBorder="1" applyAlignment="1">
      <alignment horizontal="left" vertical="center"/>
    </xf>
    <xf numFmtId="4" fontId="245" fillId="0" borderId="1" xfId="0" applyNumberFormat="1" applyFont="1" applyFill="1" applyBorder="1" applyAlignment="1">
      <alignment horizontal="left" vertical="center"/>
    </xf>
    <xf numFmtId="0" fontId="222" fillId="0" borderId="0" xfId="0" applyFont="1" applyAlignment="1">
      <alignment horizontal="left"/>
    </xf>
    <xf numFmtId="0" fontId="247" fillId="0" borderId="0" xfId="0" applyFont="1" applyAlignment="1">
      <alignment horizontal="left" vertical="center"/>
    </xf>
    <xf numFmtId="0" fontId="203" fillId="0" borderId="0" xfId="0" applyFont="1"/>
    <xf numFmtId="0" fontId="253" fillId="0" borderId="0" xfId="0" applyFont="1" applyAlignment="1">
      <alignment horizontal="left" vertical="center"/>
    </xf>
    <xf numFmtId="0" fontId="254" fillId="0" borderId="0" xfId="0" applyFont="1" applyAlignment="1">
      <alignment horizontal="left"/>
    </xf>
    <xf numFmtId="2" fontId="206" fillId="0" borderId="1" xfId="0" applyNumberFormat="1" applyFont="1" applyBorder="1" applyAlignment="1">
      <alignment vertical="center"/>
    </xf>
    <xf numFmtId="4" fontId="256" fillId="0" borderId="1" xfId="0" applyNumberFormat="1" applyFont="1" applyFill="1" applyBorder="1" applyAlignment="1">
      <alignment horizontal="left" vertical="center"/>
    </xf>
    <xf numFmtId="0" fontId="257" fillId="0" borderId="1" xfId="0" applyFont="1" applyBorder="1" applyAlignment="1">
      <alignment horizontal="center" vertical="center"/>
    </xf>
    <xf numFmtId="0" fontId="257" fillId="0" borderId="0" xfId="0" applyFont="1"/>
    <xf numFmtId="4" fontId="246" fillId="0" borderId="1" xfId="3302" applyNumberFormat="1" applyFont="1" applyBorder="1" applyAlignment="1">
      <alignment horizontal="center" vertical="center"/>
    </xf>
    <xf numFmtId="4" fontId="241" fillId="0" borderId="1" xfId="3302" applyNumberFormat="1" applyFont="1" applyBorder="1" applyAlignment="1">
      <alignment horizontal="center" vertical="center"/>
    </xf>
    <xf numFmtId="43" fontId="257" fillId="0" borderId="1" xfId="3040" applyFont="1" applyBorder="1" applyAlignment="1">
      <alignment horizontal="center" vertical="center"/>
    </xf>
    <xf numFmtId="43" fontId="203" fillId="0" borderId="1" xfId="3040" applyFont="1" applyBorder="1" applyAlignment="1">
      <alignment horizontal="center" vertical="center"/>
    </xf>
    <xf numFmtId="43" fontId="241" fillId="0" borderId="1" xfId="3040" applyFont="1" applyBorder="1" applyAlignment="1">
      <alignment horizontal="center" vertical="center"/>
    </xf>
    <xf numFmtId="43" fontId="245" fillId="0" borderId="1" xfId="3040" applyFont="1" applyBorder="1" applyAlignment="1">
      <alignment horizontal="center" vertical="center"/>
    </xf>
    <xf numFmtId="43" fontId="246" fillId="0" borderId="1" xfId="3040" applyFont="1" applyBorder="1" applyAlignment="1">
      <alignment horizontal="center" vertical="center"/>
    </xf>
    <xf numFmtId="43" fontId="225" fillId="0" borderId="1" xfId="3040" applyFont="1" applyBorder="1" applyAlignment="1">
      <alignment horizontal="center" vertical="center"/>
    </xf>
    <xf numFmtId="43" fontId="244" fillId="0" borderId="1" xfId="3040" applyFont="1" applyBorder="1" applyAlignment="1">
      <alignment horizontal="center" vertical="center"/>
    </xf>
    <xf numFmtId="4" fontId="256" fillId="0" borderId="1" xfId="0" applyNumberFormat="1" applyFont="1" applyFill="1" applyBorder="1" applyAlignment="1">
      <alignment horizontal="center" vertical="center"/>
    </xf>
    <xf numFmtId="43" fontId="252" fillId="0" borderId="1" xfId="3040" applyFont="1" applyBorder="1" applyAlignment="1">
      <alignment horizontal="center" vertical="center"/>
    </xf>
    <xf numFmtId="43" fontId="252" fillId="0" borderId="1" xfId="3040" applyNumberFormat="1" applyFont="1" applyBorder="1" applyAlignment="1">
      <alignment horizontal="center" vertical="center"/>
    </xf>
    <xf numFmtId="4" fontId="252" fillId="0" borderId="1" xfId="0" applyNumberFormat="1" applyFont="1" applyFill="1" applyBorder="1" applyAlignment="1">
      <alignment horizontal="left" vertical="center"/>
    </xf>
    <xf numFmtId="43" fontId="248" fillId="0" borderId="1" xfId="3040" applyFont="1" applyBorder="1" applyAlignment="1">
      <alignment horizontal="left" vertical="center"/>
    </xf>
    <xf numFmtId="43" fontId="249" fillId="0" borderId="1" xfId="3040" applyFont="1" applyBorder="1" applyAlignment="1">
      <alignment horizontal="left" vertical="center"/>
    </xf>
    <xf numFmtId="43" fontId="236" fillId="0" borderId="1" xfId="3040" applyFont="1" applyBorder="1" applyAlignment="1">
      <alignment horizontal="left" vertical="center"/>
    </xf>
    <xf numFmtId="10" fontId="250" fillId="0" borderId="1" xfId="3304" applyNumberFormat="1" applyFont="1" applyBorder="1" applyAlignment="1">
      <alignment horizontal="center" vertical="center"/>
    </xf>
    <xf numFmtId="43" fontId="248" fillId="0" borderId="4" xfId="3040" applyFont="1" applyBorder="1" applyAlignment="1">
      <alignment horizontal="left" vertical="center"/>
    </xf>
    <xf numFmtId="43" fontId="213" fillId="0" borderId="1" xfId="3040" applyFont="1" applyBorder="1" applyAlignment="1">
      <alignment horizontal="left" vertical="center"/>
    </xf>
    <xf numFmtId="43" fontId="210" fillId="2" borderId="1" xfId="3040" applyFont="1" applyFill="1" applyBorder="1" applyAlignment="1">
      <alignment horizontal="left" vertical="center"/>
    </xf>
    <xf numFmtId="10" fontId="251" fillId="0" borderId="1" xfId="3304" applyNumberFormat="1" applyFont="1" applyBorder="1" applyAlignment="1">
      <alignment horizontal="center" vertical="center"/>
    </xf>
    <xf numFmtId="10" fontId="237" fillId="0" borderId="1" xfId="3304" applyNumberFormat="1" applyFont="1" applyBorder="1" applyAlignment="1">
      <alignment horizontal="center" vertical="center"/>
    </xf>
    <xf numFmtId="43" fontId="205" fillId="0" borderId="1" xfId="3040" applyFont="1" applyBorder="1" applyAlignment="1">
      <alignment horizontal="center" vertical="center"/>
    </xf>
    <xf numFmtId="43" fontId="202" fillId="0" borderId="1" xfId="3040" applyFont="1" applyBorder="1" applyAlignment="1">
      <alignment horizontal="left" vertical="center"/>
    </xf>
    <xf numFmtId="10" fontId="225" fillId="0" borderId="1" xfId="3304" applyNumberFormat="1" applyFont="1" applyBorder="1" applyAlignment="1">
      <alignment horizontal="center" vertical="center"/>
    </xf>
    <xf numFmtId="43" fontId="210" fillId="0" borderId="1" xfId="3040" applyFont="1" applyBorder="1" applyAlignment="1">
      <alignment horizontal="left" vertical="center"/>
    </xf>
    <xf numFmtId="43" fontId="256" fillId="0" borderId="1" xfId="3040" applyFont="1" applyFill="1" applyBorder="1" applyAlignment="1">
      <alignment horizontal="center" vertical="center"/>
    </xf>
    <xf numFmtId="4" fontId="255" fillId="0" borderId="5" xfId="0" applyNumberFormat="1" applyFont="1" applyFill="1" applyBorder="1" applyAlignment="1">
      <alignment horizontal="left" vertical="center"/>
    </xf>
    <xf numFmtId="10" fontId="255" fillId="0" borderId="5" xfId="3304" applyNumberFormat="1" applyFont="1" applyBorder="1" applyAlignment="1">
      <alignment horizontal="center" vertical="center"/>
    </xf>
    <xf numFmtId="49" fontId="237" fillId="0" borderId="1" xfId="3040" applyNumberFormat="1" applyFont="1" applyBorder="1" applyAlignment="1">
      <alignment horizontal="center" vertical="center"/>
    </xf>
    <xf numFmtId="2" fontId="206" fillId="0" borderId="0" xfId="0" applyNumberFormat="1" applyFont="1"/>
    <xf numFmtId="0" fontId="237" fillId="0" borderId="1" xfId="3040" applyNumberFormat="1" applyFont="1" applyBorder="1" applyAlignment="1">
      <alignment horizontal="center" vertical="center"/>
    </xf>
    <xf numFmtId="0" fontId="0" fillId="0" borderId="4" xfId="0" applyBorder="1"/>
    <xf numFmtId="165" fontId="9" fillId="0" borderId="4" xfId="3040" applyNumberFormat="1" applyFont="1" applyBorder="1"/>
    <xf numFmtId="165" fontId="9" fillId="0" borderId="4" xfId="3040" applyNumberFormat="1" applyFont="1" applyBorder="1" applyAlignment="1">
      <alignment horizontal="right"/>
    </xf>
    <xf numFmtId="165" fontId="0" fillId="0" borderId="4" xfId="0" applyNumberFormat="1" applyBorder="1"/>
    <xf numFmtId="0" fontId="0" fillId="0" borderId="4" xfId="0" applyBorder="1" applyAlignment="1">
      <alignment horizontal="center"/>
    </xf>
    <xf numFmtId="4" fontId="258" fillId="0" borderId="1" xfId="0" applyNumberFormat="1" applyFont="1" applyFill="1" applyBorder="1" applyAlignment="1">
      <alignment horizontal="left" vertical="center"/>
    </xf>
    <xf numFmtId="4" fontId="259" fillId="0" borderId="1" xfId="0" applyNumberFormat="1" applyFont="1" applyFill="1" applyBorder="1" applyAlignment="1">
      <alignment horizontal="left" vertical="center"/>
    </xf>
    <xf numFmtId="0" fontId="220" fillId="0" borderId="1" xfId="0" applyFont="1" applyBorder="1" applyAlignment="1">
      <alignment horizontal="left" vertical="center"/>
    </xf>
    <xf numFmtId="43" fontId="259" fillId="2" borderId="1" xfId="3040" applyFont="1" applyFill="1" applyBorder="1" applyAlignment="1">
      <alignment horizontal="left" vertical="center"/>
    </xf>
    <xf numFmtId="4" fontId="260" fillId="0" borderId="1" xfId="0" applyNumberFormat="1" applyFont="1" applyFill="1" applyBorder="1" applyAlignment="1">
      <alignment horizontal="left" vertical="center"/>
    </xf>
    <xf numFmtId="43" fontId="249" fillId="2" borderId="1" xfId="3040" applyFont="1" applyFill="1" applyBorder="1" applyAlignment="1">
      <alignment horizontal="left" vertical="center"/>
    </xf>
    <xf numFmtId="4" fontId="236" fillId="0" borderId="1" xfId="0" applyNumberFormat="1" applyFont="1" applyFill="1" applyBorder="1" applyAlignment="1">
      <alignment horizontal="left" vertical="center"/>
    </xf>
    <xf numFmtId="43" fontId="236" fillId="2" borderId="1" xfId="3040" applyFont="1" applyFill="1" applyBorder="1" applyAlignment="1">
      <alignment horizontal="left" vertical="center"/>
    </xf>
    <xf numFmtId="4" fontId="261" fillId="0" borderId="1" xfId="0" applyNumberFormat="1" applyFont="1" applyFill="1" applyBorder="1" applyAlignment="1">
      <alignment horizontal="left" vertical="center"/>
    </xf>
    <xf numFmtId="4" fontId="249" fillId="2" borderId="1" xfId="0" applyNumberFormat="1" applyFont="1" applyFill="1" applyBorder="1" applyAlignment="1">
      <alignment horizontal="left" vertical="center"/>
    </xf>
    <xf numFmtId="164" fontId="250" fillId="2" borderId="1" xfId="0" applyNumberFormat="1" applyFont="1" applyFill="1" applyBorder="1" applyAlignment="1">
      <alignment horizontal="left" vertical="center"/>
    </xf>
    <xf numFmtId="2" fontId="249" fillId="2" borderId="1" xfId="0" applyNumberFormat="1" applyFont="1" applyFill="1" applyBorder="1" applyAlignment="1">
      <alignment horizontal="left" vertical="center"/>
    </xf>
    <xf numFmtId="4" fontId="251" fillId="0" borderId="1" xfId="0" applyNumberFormat="1" applyFont="1" applyFill="1" applyBorder="1" applyAlignment="1">
      <alignment horizontal="left" vertical="center"/>
    </xf>
    <xf numFmtId="164" fontId="251" fillId="2" borderId="1" xfId="0" applyNumberFormat="1" applyFont="1" applyFill="1" applyBorder="1" applyAlignment="1">
      <alignment horizontal="left" vertical="center"/>
    </xf>
    <xf numFmtId="164" fontId="262" fillId="2" borderId="1" xfId="0" applyNumberFormat="1" applyFont="1" applyFill="1" applyBorder="1" applyAlignment="1">
      <alignment horizontal="left" vertical="center"/>
    </xf>
    <xf numFmtId="4" fontId="262" fillId="0" borderId="5" xfId="0" applyNumberFormat="1" applyFont="1" applyFill="1" applyBorder="1" applyAlignment="1">
      <alignment horizontal="left" vertical="center"/>
    </xf>
    <xf numFmtId="10" fontId="262" fillId="0" borderId="5" xfId="3304" applyNumberFormat="1" applyFont="1" applyBorder="1" applyAlignment="1">
      <alignment horizontal="center" vertical="center"/>
    </xf>
    <xf numFmtId="43" fontId="256" fillId="0" borderId="1" xfId="3040" applyFont="1" applyBorder="1" applyAlignment="1">
      <alignment horizontal="center" vertical="center"/>
    </xf>
    <xf numFmtId="0" fontId="263" fillId="0" borderId="6" xfId="0" applyFont="1" applyBorder="1" applyAlignment="1">
      <alignment horizontal="center" vertical="center"/>
    </xf>
    <xf numFmtId="4" fontId="203" fillId="0" borderId="1" xfId="0" applyNumberFormat="1" applyFont="1" applyFill="1" applyBorder="1" applyAlignment="1">
      <alignment horizontal="left" vertical="center"/>
    </xf>
    <xf numFmtId="4" fontId="261" fillId="2" borderId="1" xfId="0" applyNumberFormat="1" applyFont="1" applyFill="1" applyBorder="1" applyAlignment="1">
      <alignment horizontal="left" vertical="center"/>
    </xf>
    <xf numFmtId="4" fontId="246" fillId="0" borderId="1" xfId="0" applyNumberFormat="1" applyFont="1" applyFill="1" applyBorder="1" applyAlignment="1">
      <alignment horizontal="left" vertical="center"/>
    </xf>
    <xf numFmtId="10" fontId="246" fillId="0" borderId="1" xfId="3304" applyNumberFormat="1" applyFont="1" applyBorder="1" applyAlignment="1">
      <alignment horizontal="center" vertical="center"/>
    </xf>
    <xf numFmtId="4" fontId="250" fillId="2" borderId="1" xfId="0" applyNumberFormat="1" applyFont="1" applyFill="1" applyBorder="1" applyAlignment="1">
      <alignment horizontal="left" vertical="center"/>
    </xf>
    <xf numFmtId="4" fontId="245" fillId="2" borderId="1" xfId="0" applyNumberFormat="1" applyFont="1" applyFill="1" applyBorder="1" applyAlignment="1">
      <alignment horizontal="left" vertical="center"/>
    </xf>
    <xf numFmtId="4" fontId="203" fillId="2" borderId="1" xfId="0" applyNumberFormat="1" applyFont="1" applyFill="1" applyBorder="1" applyAlignment="1">
      <alignment horizontal="left" vertical="center"/>
    </xf>
    <xf numFmtId="43" fontId="250" fillId="0" borderId="1" xfId="3040" applyFont="1" applyBorder="1" applyAlignment="1">
      <alignment horizontal="center" vertical="center"/>
    </xf>
    <xf numFmtId="1" fontId="245" fillId="2" borderId="1" xfId="0" applyNumberFormat="1" applyFont="1" applyFill="1" applyBorder="1" applyAlignment="1">
      <alignment horizontal="left" vertical="center"/>
    </xf>
    <xf numFmtId="1" fontId="244" fillId="2" borderId="1" xfId="0" applyNumberFormat="1" applyFont="1" applyFill="1" applyBorder="1" applyAlignment="1">
      <alignment horizontal="left" vertical="center"/>
    </xf>
    <xf numFmtId="4" fontId="252" fillId="2" borderId="1" xfId="0" applyNumberFormat="1" applyFont="1" applyFill="1" applyBorder="1" applyAlignment="1">
      <alignment horizontal="left" vertical="center"/>
    </xf>
    <xf numFmtId="4" fontId="259" fillId="2" borderId="1" xfId="0" applyNumberFormat="1" applyFont="1" applyFill="1" applyBorder="1" applyAlignment="1">
      <alignment horizontal="left" vertical="center"/>
    </xf>
    <xf numFmtId="4" fontId="244" fillId="2" borderId="1" xfId="0" applyNumberFormat="1" applyFont="1" applyFill="1" applyBorder="1" applyAlignment="1">
      <alignment horizontal="left" vertical="center"/>
    </xf>
    <xf numFmtId="4" fontId="244" fillId="0" borderId="2" xfId="0" applyNumberFormat="1" applyFont="1" applyFill="1" applyBorder="1" applyAlignment="1">
      <alignment horizontal="left" vertical="center"/>
    </xf>
    <xf numFmtId="3" fontId="244" fillId="0" borderId="0" xfId="3302" applyNumberFormat="1" applyFont="1" applyBorder="1" applyAlignment="1">
      <alignment horizontal="center" vertical="center"/>
    </xf>
    <xf numFmtId="4" fontId="244" fillId="2" borderId="3" xfId="0" applyNumberFormat="1" applyFont="1" applyFill="1" applyBorder="1" applyAlignment="1">
      <alignment horizontal="left" vertical="center"/>
    </xf>
    <xf numFmtId="0" fontId="203" fillId="0" borderId="1" xfId="0" applyFont="1" applyBorder="1" applyAlignment="1">
      <alignment horizontal="left" vertical="center"/>
    </xf>
    <xf numFmtId="0" fontId="203" fillId="0" borderId="0" xfId="0" applyFont="1" applyAlignment="1">
      <alignment horizontal="left" vertical="center"/>
    </xf>
    <xf numFmtId="0" fontId="220" fillId="0" borderId="0" xfId="0" applyFont="1" applyAlignment="1">
      <alignment horizontal="left" vertical="center"/>
    </xf>
    <xf numFmtId="1" fontId="203" fillId="0" borderId="0" xfId="0" applyNumberFormat="1" applyFont="1" applyBorder="1" applyAlignment="1">
      <alignment horizontal="left" vertical="center"/>
    </xf>
    <xf numFmtId="0" fontId="264" fillId="0" borderId="0" xfId="0" applyFont="1" applyAlignment="1">
      <alignment horizontal="left"/>
    </xf>
    <xf numFmtId="0" fontId="264" fillId="0" borderId="0" xfId="0" applyFont="1" applyAlignment="1">
      <alignment horizontal="left" vertical="center"/>
    </xf>
    <xf numFmtId="0" fontId="265" fillId="0" borderId="0" xfId="0" applyFont="1" applyAlignment="1">
      <alignment horizontal="left" vertical="center"/>
    </xf>
    <xf numFmtId="0" fontId="265" fillId="0" borderId="0" xfId="0" applyFont="1" applyAlignment="1">
      <alignment horizontal="left"/>
    </xf>
    <xf numFmtId="0" fontId="266" fillId="0" borderId="0" xfId="0" applyFont="1" applyAlignment="1">
      <alignment horizontal="left" vertical="center"/>
    </xf>
    <xf numFmtId="0" fontId="266" fillId="0" borderId="0" xfId="0" applyFont="1" applyAlignment="1">
      <alignment horizontal="left"/>
    </xf>
    <xf numFmtId="0" fontId="266" fillId="0" borderId="0" xfId="0" applyFont="1"/>
    <xf numFmtId="0" fontId="267" fillId="0" borderId="0" xfId="0" applyFont="1" applyAlignment="1">
      <alignment horizontal="left" vertical="center"/>
    </xf>
    <xf numFmtId="0" fontId="268" fillId="0" borderId="0" xfId="0" applyFont="1" applyAlignment="1">
      <alignment horizontal="left"/>
    </xf>
    <xf numFmtId="1" fontId="220" fillId="0" borderId="0" xfId="0" applyNumberFormat="1" applyFont="1" applyAlignment="1">
      <alignment horizontal="left"/>
    </xf>
    <xf numFmtId="0" fontId="0" fillId="0" borderId="0" xfId="0" applyAlignment="1">
      <alignment horizontal="center"/>
    </xf>
    <xf numFmtId="43" fontId="259" fillId="0" borderId="1" xfId="3040" applyFont="1" applyBorder="1" applyAlignment="1">
      <alignment horizontal="left" vertical="center"/>
    </xf>
    <xf numFmtId="43" fontId="249" fillId="0" borderId="1" xfId="3040" applyFont="1" applyBorder="1" applyAlignment="1">
      <alignment horizontal="center" vertical="center"/>
    </xf>
    <xf numFmtId="165" fontId="0" fillId="0" borderId="0" xfId="0" applyNumberFormat="1"/>
    <xf numFmtId="2" fontId="206" fillId="0" borderId="1" xfId="0" applyNumberFormat="1" applyFont="1" applyFill="1" applyBorder="1" applyAlignment="1">
      <alignment vertical="center"/>
    </xf>
    <xf numFmtId="0" fontId="220" fillId="3" borderId="7" xfId="0" applyFont="1" applyFill="1" applyBorder="1" applyAlignment="1">
      <alignment horizontal="center"/>
    </xf>
    <xf numFmtId="0" fontId="220" fillId="4" borderId="8" xfId="0" applyFont="1" applyFill="1" applyBorder="1" applyAlignment="1">
      <alignment horizontal="center"/>
    </xf>
    <xf numFmtId="9" fontId="203" fillId="3" borderId="6" xfId="3304" applyFont="1" applyFill="1" applyBorder="1"/>
    <xf numFmtId="0" fontId="203" fillId="0" borderId="9" xfId="0" applyFont="1" applyFill="1" applyBorder="1" applyAlignment="1">
      <alignment horizontal="center"/>
    </xf>
    <xf numFmtId="0" fontId="203" fillId="0" borderId="10" xfId="0" applyFont="1" applyFill="1" applyBorder="1" applyAlignment="1">
      <alignment horizontal="center"/>
    </xf>
    <xf numFmtId="0" fontId="203" fillId="0" borderId="11" xfId="0" applyFont="1" applyFill="1" applyBorder="1" applyAlignment="1">
      <alignment horizontal="center"/>
    </xf>
    <xf numFmtId="0" fontId="203" fillId="0" borderId="12" xfId="0" applyFont="1" applyFill="1" applyBorder="1" applyAlignment="1">
      <alignment horizontal="center"/>
    </xf>
    <xf numFmtId="0" fontId="203" fillId="0" borderId="13" xfId="0" applyFont="1" applyFill="1" applyBorder="1" applyAlignment="1">
      <alignment horizontal="center"/>
    </xf>
    <xf numFmtId="0" fontId="203" fillId="0" borderId="6" xfId="0" applyFont="1" applyFill="1" applyBorder="1" applyAlignment="1">
      <alignment horizontal="center"/>
    </xf>
    <xf numFmtId="0" fontId="203" fillId="0" borderId="14" xfId="0" applyFont="1" applyFill="1" applyBorder="1" applyAlignment="1">
      <alignment horizontal="center"/>
    </xf>
    <xf numFmtId="0" fontId="220" fillId="3" borderId="15" xfId="0" applyFont="1" applyFill="1" applyBorder="1" applyAlignment="1">
      <alignment horizontal="right"/>
    </xf>
    <xf numFmtId="0" fontId="220" fillId="3" borderId="15" xfId="0" applyFont="1" applyFill="1" applyBorder="1" applyAlignment="1">
      <alignment horizontal="center"/>
    </xf>
    <xf numFmtId="0" fontId="203" fillId="3" borderId="9" xfId="0" applyFont="1" applyFill="1" applyBorder="1" applyAlignment="1">
      <alignment horizontal="right"/>
    </xf>
    <xf numFmtId="0" fontId="203" fillId="3" borderId="10" xfId="0" applyFont="1" applyFill="1" applyBorder="1" applyAlignment="1">
      <alignment horizontal="right"/>
    </xf>
    <xf numFmtId="0" fontId="203" fillId="3" borderId="10" xfId="0" applyFont="1" applyFill="1" applyBorder="1" applyAlignment="1">
      <alignment horizontal="center"/>
    </xf>
    <xf numFmtId="0" fontId="203" fillId="3" borderId="11" xfId="0" applyFont="1" applyFill="1" applyBorder="1" applyAlignment="1">
      <alignment horizontal="right"/>
    </xf>
    <xf numFmtId="0" fontId="203" fillId="3" borderId="12" xfId="0" applyFont="1" applyFill="1" applyBorder="1" applyAlignment="1">
      <alignment horizontal="right"/>
    </xf>
    <xf numFmtId="0" fontId="203" fillId="3" borderId="13" xfId="0" applyFont="1" applyFill="1" applyBorder="1" applyAlignment="1">
      <alignment horizontal="right"/>
    </xf>
    <xf numFmtId="0" fontId="269" fillId="0" borderId="0" xfId="0" applyFont="1" applyFill="1" applyBorder="1" applyAlignment="1">
      <alignment horizontal="center"/>
    </xf>
    <xf numFmtId="0" fontId="220" fillId="3" borderId="8" xfId="0" applyFont="1" applyFill="1" applyBorder="1" applyAlignment="1">
      <alignment horizontal="center"/>
    </xf>
    <xf numFmtId="0" fontId="220" fillId="4" borderId="16" xfId="0" applyFont="1" applyFill="1" applyBorder="1" applyAlignment="1">
      <alignment horizontal="center"/>
    </xf>
    <xf numFmtId="0" fontId="220" fillId="3" borderId="17" xfId="0" applyFont="1" applyFill="1" applyBorder="1" applyAlignment="1">
      <alignment horizontal="center"/>
    </xf>
    <xf numFmtId="0" fontId="203" fillId="0" borderId="1" xfId="0" applyFont="1" applyFill="1" applyBorder="1" applyAlignment="1">
      <alignment horizontal="center"/>
    </xf>
    <xf numFmtId="0" fontId="203" fillId="3" borderId="1" xfId="0" applyFont="1" applyFill="1" applyBorder="1" applyAlignment="1">
      <alignment horizontal="center"/>
    </xf>
    <xf numFmtId="0" fontId="203" fillId="0" borderId="18" xfId="0" applyFont="1" applyFill="1" applyBorder="1" applyAlignment="1">
      <alignment horizontal="center"/>
    </xf>
    <xf numFmtId="0" fontId="203" fillId="0" borderId="19" xfId="0" applyFont="1" applyFill="1" applyBorder="1" applyAlignment="1">
      <alignment horizontal="center"/>
    </xf>
    <xf numFmtId="0" fontId="203" fillId="0" borderId="20" xfId="0" applyFont="1" applyFill="1" applyBorder="1" applyAlignment="1">
      <alignment horizontal="center"/>
    </xf>
    <xf numFmtId="0" fontId="203" fillId="0" borderId="21" xfId="0" applyFont="1" applyFill="1" applyBorder="1" applyAlignment="1">
      <alignment horizontal="center"/>
    </xf>
    <xf numFmtId="0" fontId="203" fillId="0" borderId="22" xfId="0" applyFont="1" applyFill="1" applyBorder="1" applyAlignment="1">
      <alignment horizontal="center"/>
    </xf>
    <xf numFmtId="0" fontId="0" fillId="0" borderId="0" xfId="0" applyFont="1"/>
    <xf numFmtId="0" fontId="212" fillId="0" borderId="0" xfId="0" applyFont="1"/>
    <xf numFmtId="4" fontId="249" fillId="0" borderId="1" xfId="3304" applyNumberFormat="1" applyFont="1" applyBorder="1" applyAlignment="1">
      <alignment horizontal="left" vertical="center"/>
    </xf>
    <xf numFmtId="0" fontId="222" fillId="0" borderId="0" xfId="0" applyFont="1"/>
    <xf numFmtId="0" fontId="203" fillId="0" borderId="23" xfId="0" applyFont="1" applyFill="1" applyBorder="1" applyAlignment="1">
      <alignment horizontal="center"/>
    </xf>
    <xf numFmtId="43" fontId="0" fillId="0" borderId="4" xfId="3040" applyFont="1" applyBorder="1" applyAlignment="1">
      <alignment horizontal="center"/>
    </xf>
    <xf numFmtId="43" fontId="0" fillId="0" borderId="0" xfId="0" applyNumberFormat="1"/>
    <xf numFmtId="0" fontId="203" fillId="0" borderId="24" xfId="0" applyFont="1" applyFill="1" applyBorder="1" applyAlignment="1">
      <alignment horizontal="center"/>
    </xf>
    <xf numFmtId="0" fontId="203" fillId="0" borderId="25" xfId="0" applyFont="1" applyFill="1" applyBorder="1" applyAlignment="1">
      <alignment horizontal="center"/>
    </xf>
    <xf numFmtId="0" fontId="207" fillId="0" borderId="26" xfId="0" applyFont="1" applyFill="1" applyBorder="1" applyAlignment="1">
      <alignment horizontal="left" vertical="center"/>
    </xf>
    <xf numFmtId="0" fontId="263" fillId="0" borderId="27" xfId="0" applyFont="1" applyBorder="1" applyAlignment="1">
      <alignment horizontal="center" vertical="center"/>
    </xf>
    <xf numFmtId="0" fontId="263" fillId="0" borderId="20" xfId="0" applyFont="1" applyBorder="1" applyAlignment="1">
      <alignment horizontal="center" vertical="center"/>
    </xf>
    <xf numFmtId="0" fontId="220" fillId="0" borderId="27" xfId="0" applyFont="1" applyBorder="1" applyAlignment="1">
      <alignment horizontal="center" vertical="center"/>
    </xf>
    <xf numFmtId="0" fontId="220" fillId="0" borderId="20" xfId="0" applyFont="1" applyBorder="1" applyAlignment="1">
      <alignment horizontal="center" vertical="center"/>
    </xf>
    <xf numFmtId="0" fontId="220" fillId="0" borderId="6" xfId="0" applyFont="1" applyBorder="1" applyAlignment="1">
      <alignment horizontal="center" vertical="center"/>
    </xf>
    <xf numFmtId="0" fontId="229" fillId="0" borderId="6" xfId="0" applyFont="1" applyFill="1" applyBorder="1" applyAlignment="1">
      <alignment horizontal="center" vertical="center"/>
    </xf>
    <xf numFmtId="0" fontId="235" fillId="0" borderId="27" xfId="0" applyFont="1" applyBorder="1" applyAlignment="1">
      <alignment horizontal="center" vertical="center"/>
    </xf>
    <xf numFmtId="0" fontId="235" fillId="0" borderId="20" xfId="0" applyFont="1" applyBorder="1" applyAlignment="1">
      <alignment horizontal="center" vertical="center"/>
    </xf>
    <xf numFmtId="4" fontId="202" fillId="0" borderId="27" xfId="0" applyNumberFormat="1" applyFont="1" applyFill="1" applyBorder="1" applyAlignment="1">
      <alignment horizontal="left" vertical="center"/>
    </xf>
    <xf numFmtId="4" fontId="202" fillId="0" borderId="20" xfId="0" applyNumberFormat="1" applyFont="1" applyFill="1" applyBorder="1" applyAlignment="1">
      <alignment horizontal="left" vertical="center"/>
    </xf>
    <xf numFmtId="4" fontId="202" fillId="0" borderId="6" xfId="0" applyNumberFormat="1" applyFont="1" applyFill="1" applyBorder="1" applyAlignment="1">
      <alignment horizontal="left" vertical="center"/>
    </xf>
    <xf numFmtId="4" fontId="259" fillId="0" borderId="1" xfId="0" applyNumberFormat="1" applyFont="1" applyFill="1" applyBorder="1" applyAlignment="1">
      <alignment horizontal="center" vertical="center"/>
    </xf>
    <xf numFmtId="43" fontId="244" fillId="0" borderId="1" xfId="3040" applyFont="1" applyBorder="1" applyAlignment="1">
      <alignment horizontal="left" vertical="center"/>
    </xf>
    <xf numFmtId="43" fontId="0" fillId="0" borderId="4" xfId="3040" applyFont="1" applyBorder="1"/>
    <xf numFmtId="43" fontId="0" fillId="0" borderId="4" xfId="0" applyNumberFormat="1" applyBorder="1"/>
    <xf numFmtId="0" fontId="0" fillId="0" borderId="4" xfId="0" applyBorder="1" applyAlignment="1">
      <alignment vertical="center"/>
    </xf>
    <xf numFmtId="165" fontId="0" fillId="0" borderId="4" xfId="3040" applyNumberFormat="1" applyFont="1" applyBorder="1" applyAlignment="1">
      <alignment vertical="center"/>
    </xf>
    <xf numFmtId="4" fontId="270" fillId="5" borderId="1" xfId="0" applyNumberFormat="1" applyFont="1" applyFill="1" applyBorder="1" applyAlignment="1">
      <alignment horizontal="center" vertical="center"/>
    </xf>
    <xf numFmtId="0" fontId="220" fillId="5" borderId="1" xfId="0" applyFont="1" applyFill="1" applyBorder="1" applyAlignment="1">
      <alignment horizontal="left" vertical="center"/>
    </xf>
    <xf numFmtId="0" fontId="229" fillId="5" borderId="20" xfId="0" applyFont="1" applyFill="1" applyBorder="1" applyAlignment="1">
      <alignment horizontal="center" vertical="center"/>
    </xf>
    <xf numFmtId="4" fontId="259" fillId="5" borderId="1" xfId="0" applyNumberFormat="1" applyFont="1" applyFill="1" applyBorder="1" applyAlignment="1">
      <alignment horizontal="center" vertical="center"/>
    </xf>
    <xf numFmtId="4" fontId="259" fillId="5" borderId="1" xfId="0" applyNumberFormat="1" applyFont="1" applyFill="1" applyBorder="1" applyAlignment="1">
      <alignment horizontal="left" vertical="center"/>
    </xf>
    <xf numFmtId="43" fontId="244" fillId="5" borderId="1" xfId="3040" applyFont="1" applyFill="1" applyBorder="1" applyAlignment="1">
      <alignment horizontal="left" vertical="center"/>
    </xf>
    <xf numFmtId="43" fontId="249" fillId="5" borderId="1" xfId="3040" applyFont="1" applyFill="1" applyBorder="1" applyAlignment="1">
      <alignment horizontal="left" vertical="center"/>
    </xf>
    <xf numFmtId="10" fontId="250" fillId="5" borderId="1" xfId="3304" applyNumberFormat="1" applyFont="1" applyFill="1" applyBorder="1" applyAlignment="1">
      <alignment horizontal="center" vertical="center"/>
    </xf>
    <xf numFmtId="10" fontId="251" fillId="5" borderId="1" xfId="3304" applyNumberFormat="1" applyFont="1" applyFill="1" applyBorder="1" applyAlignment="1">
      <alignment horizontal="center" vertical="center"/>
    </xf>
    <xf numFmtId="10" fontId="262" fillId="5" borderId="5" xfId="3304" applyNumberFormat="1" applyFont="1" applyFill="1" applyBorder="1" applyAlignment="1">
      <alignment horizontal="center" vertical="center"/>
    </xf>
    <xf numFmtId="0" fontId="263" fillId="5" borderId="20" xfId="0" applyFont="1" applyFill="1" applyBorder="1" applyAlignment="1">
      <alignment horizontal="center" vertical="center"/>
    </xf>
    <xf numFmtId="43" fontId="256" fillId="5" borderId="1" xfId="3040" applyFont="1" applyFill="1" applyBorder="1" applyAlignment="1">
      <alignment horizontal="center" vertical="center"/>
    </xf>
    <xf numFmtId="43" fontId="203" fillId="5" borderId="1" xfId="3040" applyFont="1" applyFill="1" applyBorder="1" applyAlignment="1">
      <alignment horizontal="center" vertical="center"/>
    </xf>
    <xf numFmtId="43" fontId="246" fillId="5" borderId="1" xfId="3040" applyFont="1" applyFill="1" applyBorder="1" applyAlignment="1">
      <alignment horizontal="center" vertical="center"/>
    </xf>
    <xf numFmtId="10" fontId="246" fillId="5" borderId="1" xfId="3304" applyNumberFormat="1" applyFont="1" applyFill="1" applyBorder="1" applyAlignment="1">
      <alignment horizontal="center" vertical="center"/>
    </xf>
    <xf numFmtId="43" fontId="252" fillId="5" borderId="1" xfId="3040" applyFont="1" applyFill="1" applyBorder="1" applyAlignment="1">
      <alignment horizontal="center" vertical="center"/>
    </xf>
    <xf numFmtId="43" fontId="245" fillId="5" borderId="1" xfId="3040" applyFont="1" applyFill="1" applyBorder="1" applyAlignment="1">
      <alignment horizontal="center" vertical="center"/>
    </xf>
    <xf numFmtId="43" fontId="250" fillId="5" borderId="1" xfId="3040" applyFont="1" applyFill="1" applyBorder="1" applyAlignment="1">
      <alignment horizontal="center" vertical="center"/>
    </xf>
    <xf numFmtId="43" fontId="244" fillId="5" borderId="1" xfId="3040" applyFont="1" applyFill="1" applyBorder="1" applyAlignment="1">
      <alignment horizontal="center" vertical="center"/>
    </xf>
    <xf numFmtId="0" fontId="203" fillId="5" borderId="9" xfId="0" applyFont="1" applyFill="1" applyBorder="1" applyAlignment="1">
      <alignment horizontal="center"/>
    </xf>
    <xf numFmtId="0" fontId="203" fillId="5" borderId="10" xfId="0" applyFont="1" applyFill="1" applyBorder="1" applyAlignment="1">
      <alignment horizontal="center"/>
    </xf>
    <xf numFmtId="0" fontId="203" fillId="5" borderId="11" xfId="0" applyFont="1" applyFill="1" applyBorder="1" applyAlignment="1">
      <alignment horizontal="center"/>
    </xf>
    <xf numFmtId="0" fontId="203" fillId="5" borderId="12" xfId="0" applyFont="1" applyFill="1" applyBorder="1" applyAlignment="1">
      <alignment horizontal="center"/>
    </xf>
    <xf numFmtId="0" fontId="203" fillId="5" borderId="13" xfId="0" applyFont="1" applyFill="1" applyBorder="1" applyAlignment="1">
      <alignment horizontal="center"/>
    </xf>
    <xf numFmtId="0" fontId="203" fillId="5" borderId="18" xfId="0" applyFont="1" applyFill="1" applyBorder="1" applyAlignment="1">
      <alignment horizontal="center"/>
    </xf>
    <xf numFmtId="0" fontId="203" fillId="5" borderId="19" xfId="0" applyFont="1" applyFill="1" applyBorder="1" applyAlignment="1">
      <alignment horizontal="center"/>
    </xf>
    <xf numFmtId="0" fontId="203" fillId="3" borderId="22" xfId="0" applyFont="1" applyFill="1" applyBorder="1" applyAlignment="1">
      <alignment horizontal="center"/>
    </xf>
    <xf numFmtId="43" fontId="0" fillId="0" borderId="0" xfId="3040" applyFont="1"/>
    <xf numFmtId="0" fontId="203" fillId="3" borderId="28" xfId="0" applyFont="1" applyFill="1" applyBorder="1" applyAlignment="1">
      <alignment horizontal="right"/>
    </xf>
    <xf numFmtId="0" fontId="203" fillId="3" borderId="1" xfId="0" applyFont="1" applyFill="1" applyBorder="1" applyAlignment="1">
      <alignment horizontal="right"/>
    </xf>
    <xf numFmtId="0" fontId="203" fillId="3" borderId="29" xfId="0" applyFont="1" applyFill="1" applyBorder="1" applyAlignment="1">
      <alignment horizontal="right"/>
    </xf>
    <xf numFmtId="0" fontId="203" fillId="0" borderId="30" xfId="0" applyFont="1" applyFill="1" applyBorder="1" applyAlignment="1">
      <alignment horizontal="center"/>
    </xf>
    <xf numFmtId="0" fontId="203" fillId="0" borderId="16" xfId="0" applyFont="1" applyFill="1" applyBorder="1" applyAlignment="1">
      <alignment horizontal="center"/>
    </xf>
    <xf numFmtId="0" fontId="220" fillId="3" borderId="31" xfId="0" applyFont="1" applyFill="1" applyBorder="1" applyAlignment="1">
      <alignment horizontal="center"/>
    </xf>
    <xf numFmtId="0" fontId="220" fillId="4" borderId="19" xfId="0" applyFont="1" applyFill="1" applyBorder="1" applyAlignment="1">
      <alignment horizontal="center"/>
    </xf>
    <xf numFmtId="0" fontId="220" fillId="4" borderId="31" xfId="0" applyFont="1" applyFill="1" applyBorder="1" applyAlignment="1">
      <alignment horizontal="center"/>
    </xf>
    <xf numFmtId="0" fontId="220" fillId="6" borderId="31" xfId="0" applyFont="1" applyFill="1" applyBorder="1" applyAlignment="1">
      <alignment horizontal="center"/>
    </xf>
    <xf numFmtId="0" fontId="220" fillId="6" borderId="19" xfId="0" applyFont="1" applyFill="1" applyBorder="1" applyAlignment="1">
      <alignment horizontal="center"/>
    </xf>
    <xf numFmtId="0" fontId="220" fillId="6" borderId="32" xfId="0" applyFont="1" applyFill="1" applyBorder="1" applyAlignment="1">
      <alignment horizontal="center"/>
    </xf>
    <xf numFmtId="0" fontId="220" fillId="6" borderId="21" xfId="0" applyFont="1" applyFill="1" applyBorder="1" applyAlignment="1">
      <alignment horizontal="center"/>
    </xf>
    <xf numFmtId="0" fontId="0" fillId="0" borderId="20" xfId="0" applyBorder="1" applyAlignment="1">
      <alignment horizontal="center" vertical="center"/>
    </xf>
    <xf numFmtId="3" fontId="206" fillId="0" borderId="20" xfId="0" applyNumberFormat="1" applyFont="1" applyBorder="1" applyAlignment="1">
      <alignment horizontal="center" vertical="center"/>
    </xf>
    <xf numFmtId="0" fontId="235" fillId="0" borderId="6" xfId="0" applyFont="1" applyBorder="1" applyAlignment="1">
      <alignment horizontal="center" vertical="center"/>
    </xf>
    <xf numFmtId="4" fontId="227" fillId="0" borderId="1" xfId="3302" applyNumberFormat="1" applyFont="1" applyBorder="1" applyAlignment="1">
      <alignment horizontal="center" vertical="center"/>
    </xf>
    <xf numFmtId="43" fontId="236" fillId="0" borderId="1" xfId="3040" applyFont="1" applyBorder="1" applyAlignment="1">
      <alignment horizontal="center" vertical="center"/>
    </xf>
    <xf numFmtId="43" fontId="206" fillId="0" borderId="4" xfId="3040" applyFont="1" applyBorder="1" applyAlignment="1">
      <alignment vertical="center"/>
    </xf>
    <xf numFmtId="10" fontId="206" fillId="0" borderId="4" xfId="3304" applyNumberFormat="1" applyFont="1" applyBorder="1" applyAlignment="1">
      <alignment vertical="center"/>
    </xf>
    <xf numFmtId="0" fontId="273" fillId="2" borderId="0" xfId="0" applyFont="1" applyFill="1"/>
    <xf numFmtId="0" fontId="276" fillId="2" borderId="0" xfId="0" applyFont="1" applyFill="1"/>
    <xf numFmtId="10" fontId="275" fillId="2" borderId="4" xfId="3304" applyNumberFormat="1" applyFont="1" applyFill="1" applyBorder="1" applyAlignment="1">
      <alignment horizontal="center"/>
    </xf>
    <xf numFmtId="43" fontId="222" fillId="0" borderId="4" xfId="3040" applyFont="1" applyBorder="1" applyAlignment="1">
      <alignment horizontal="center"/>
    </xf>
    <xf numFmtId="0" fontId="222" fillId="0" borderId="4" xfId="0" applyFont="1" applyBorder="1" applyAlignment="1">
      <alignment horizontal="center"/>
    </xf>
    <xf numFmtId="43" fontId="222" fillId="0" borderId="4" xfId="0" applyNumberFormat="1" applyFont="1" applyBorder="1" applyAlignment="1">
      <alignment horizontal="center"/>
    </xf>
    <xf numFmtId="10" fontId="243" fillId="0" borderId="1" xfId="3304" applyNumberFormat="1" applyFont="1" applyBorder="1" applyAlignment="1">
      <alignment horizontal="left" vertical="center"/>
    </xf>
    <xf numFmtId="164" fontId="243" fillId="2" borderId="1" xfId="0" applyNumberFormat="1" applyFont="1" applyFill="1" applyBorder="1" applyAlignment="1">
      <alignment horizontal="left" vertical="center"/>
    </xf>
    <xf numFmtId="0" fontId="278" fillId="2" borderId="0" xfId="0" applyFont="1" applyFill="1"/>
    <xf numFmtId="43" fontId="279" fillId="2" borderId="1" xfId="3040" applyFont="1" applyFill="1" applyBorder="1" applyAlignment="1">
      <alignment horizontal="right" vertical="center"/>
    </xf>
    <xf numFmtId="43" fontId="279" fillId="2" borderId="1" xfId="3040" applyFont="1" applyFill="1" applyBorder="1" applyAlignment="1">
      <alignment horizontal="center" vertical="center"/>
    </xf>
    <xf numFmtId="43" fontId="280" fillId="2" borderId="1" xfId="3040" applyFont="1" applyFill="1" applyBorder="1" applyAlignment="1">
      <alignment horizontal="right" vertical="center"/>
    </xf>
    <xf numFmtId="0" fontId="278" fillId="2" borderId="4" xfId="0" applyFont="1" applyFill="1" applyBorder="1" applyAlignment="1">
      <alignment horizontal="center"/>
    </xf>
    <xf numFmtId="0" fontId="281" fillId="2" borderId="4" xfId="0" applyFont="1" applyFill="1" applyBorder="1" applyAlignment="1">
      <alignment horizontal="center"/>
    </xf>
    <xf numFmtId="43" fontId="227" fillId="2" borderId="27" xfId="3040" applyFont="1" applyFill="1" applyBorder="1" applyAlignment="1">
      <alignment horizontal="left" vertical="center"/>
    </xf>
    <xf numFmtId="0" fontId="0" fillId="0" borderId="0" xfId="0" applyFont="1" applyAlignment="1">
      <alignment horizontal="center"/>
    </xf>
    <xf numFmtId="0" fontId="282" fillId="0" borderId="4" xfId="0" applyFont="1" applyBorder="1" applyAlignment="1">
      <alignment horizontal="center"/>
    </xf>
    <xf numFmtId="0" fontId="282" fillId="0" borderId="0" xfId="0" applyFont="1"/>
    <xf numFmtId="0" fontId="278" fillId="2" borderId="33" xfId="0" applyFont="1" applyFill="1" applyBorder="1" applyAlignment="1">
      <alignment horizontal="center"/>
    </xf>
    <xf numFmtId="10" fontId="275" fillId="2" borderId="33" xfId="3304" applyNumberFormat="1" applyFont="1" applyFill="1" applyBorder="1" applyAlignment="1">
      <alignment horizontal="center"/>
    </xf>
    <xf numFmtId="4" fontId="201" fillId="0" borderId="5" xfId="0" applyNumberFormat="1" applyFont="1" applyFill="1" applyBorder="1" applyAlignment="1">
      <alignment horizontal="left" vertical="center"/>
    </xf>
    <xf numFmtId="4" fontId="202" fillId="0" borderId="5" xfId="0" applyNumberFormat="1" applyFont="1" applyFill="1" applyBorder="1" applyAlignment="1">
      <alignment horizontal="left" vertical="center"/>
    </xf>
    <xf numFmtId="0" fontId="207" fillId="0" borderId="28" xfId="0" applyFont="1" applyBorder="1" applyAlignment="1">
      <alignment horizontal="left" vertical="center"/>
    </xf>
    <xf numFmtId="43" fontId="202" fillId="2" borderId="34" xfId="3040" applyFont="1" applyFill="1" applyBorder="1" applyAlignment="1">
      <alignment horizontal="left" vertical="center"/>
    </xf>
    <xf numFmtId="4" fontId="277" fillId="2" borderId="36" xfId="0" applyNumberFormat="1" applyFont="1" applyFill="1" applyBorder="1" applyAlignment="1">
      <alignment horizontal="center" vertical="center"/>
    </xf>
    <xf numFmtId="4" fontId="277" fillId="2" borderId="37" xfId="0" applyNumberFormat="1" applyFont="1" applyFill="1" applyBorder="1" applyAlignment="1">
      <alignment horizontal="right" vertical="center"/>
    </xf>
    <xf numFmtId="43" fontId="277" fillId="2" borderId="38" xfId="3040" applyFont="1" applyFill="1" applyBorder="1" applyAlignment="1">
      <alignment horizontal="right" vertical="center"/>
    </xf>
    <xf numFmtId="4" fontId="272" fillId="2" borderId="39" xfId="0" applyNumberFormat="1" applyFont="1" applyFill="1" applyBorder="1" applyAlignment="1">
      <alignment horizontal="left" vertical="center"/>
    </xf>
    <xf numFmtId="10" fontId="274" fillId="2" borderId="40" xfId="3304" applyNumberFormat="1" applyFont="1" applyFill="1" applyBorder="1" applyAlignment="1">
      <alignment horizontal="right" vertical="center"/>
    </xf>
    <xf numFmtId="10" fontId="275" fillId="2" borderId="41" xfId="3304" applyNumberFormat="1" applyFont="1" applyFill="1" applyBorder="1" applyAlignment="1">
      <alignment horizontal="right" vertical="center"/>
    </xf>
    <xf numFmtId="43" fontId="222" fillId="0" borderId="33" xfId="0" applyNumberFormat="1" applyFont="1" applyBorder="1" applyAlignment="1">
      <alignment horizontal="center"/>
    </xf>
    <xf numFmtId="43" fontId="0" fillId="0" borderId="33" xfId="0" applyNumberFormat="1" applyBorder="1" applyAlignment="1">
      <alignment horizontal="center"/>
    </xf>
    <xf numFmtId="0" fontId="0" fillId="0" borderId="33" xfId="0" applyBorder="1" applyAlignment="1">
      <alignment horizontal="center"/>
    </xf>
    <xf numFmtId="0" fontId="222" fillId="0" borderId="33" xfId="0" applyFont="1" applyBorder="1" applyAlignment="1">
      <alignment horizontal="center"/>
    </xf>
    <xf numFmtId="0" fontId="207" fillId="0" borderId="35" xfId="0" applyFont="1" applyBorder="1" applyAlignment="1">
      <alignment horizontal="left" vertical="center"/>
    </xf>
    <xf numFmtId="43" fontId="215" fillId="0" borderId="36" xfId="3040" applyFont="1" applyBorder="1" applyAlignment="1">
      <alignment horizontal="left" vertical="center"/>
    </xf>
    <xf numFmtId="43" fontId="202" fillId="2" borderId="37" xfId="3040" applyFont="1" applyFill="1" applyBorder="1" applyAlignment="1">
      <alignment horizontal="left" vertical="center"/>
    </xf>
    <xf numFmtId="4" fontId="211" fillId="0" borderId="24" xfId="0" applyNumberFormat="1" applyFont="1" applyFill="1" applyBorder="1" applyAlignment="1">
      <alignment horizontal="left" vertical="center"/>
    </xf>
    <xf numFmtId="43" fontId="215" fillId="0" borderId="1" xfId="3040" applyFont="1" applyBorder="1" applyAlignment="1">
      <alignment horizontal="left" vertical="center"/>
    </xf>
    <xf numFmtId="43" fontId="210" fillId="2" borderId="38" xfId="3040" applyFont="1" applyFill="1" applyBorder="1" applyAlignment="1">
      <alignment horizontal="left" vertical="center"/>
    </xf>
    <xf numFmtId="4" fontId="227" fillId="0" borderId="24" xfId="0" applyNumberFormat="1" applyFont="1" applyFill="1" applyBorder="1" applyAlignment="1">
      <alignment horizontal="left" vertical="center"/>
    </xf>
    <xf numFmtId="43" fontId="228" fillId="0" borderId="1" xfId="3040" applyFont="1" applyBorder="1" applyAlignment="1">
      <alignment horizontal="left" vertical="center"/>
    </xf>
    <xf numFmtId="43" fontId="227" fillId="2" borderId="38" xfId="3040" applyFont="1" applyFill="1" applyBorder="1" applyAlignment="1">
      <alignment horizontal="left" vertical="center"/>
    </xf>
    <xf numFmtId="4" fontId="210" fillId="2" borderId="38" xfId="0" applyNumberFormat="1" applyFont="1" applyFill="1" applyBorder="1" applyAlignment="1">
      <alignment horizontal="left" vertical="center"/>
    </xf>
    <xf numFmtId="4" fontId="224" fillId="0" borderId="24" xfId="0" applyNumberFormat="1" applyFont="1" applyFill="1" applyBorder="1" applyAlignment="1">
      <alignment horizontal="left" vertical="center"/>
    </xf>
    <xf numFmtId="2" fontId="210" fillId="2" borderId="38" xfId="0" applyNumberFormat="1" applyFont="1" applyFill="1" applyBorder="1" applyAlignment="1">
      <alignment horizontal="left" vertical="center"/>
    </xf>
    <xf numFmtId="4" fontId="241" fillId="0" borderId="39" xfId="0" applyNumberFormat="1" applyFont="1" applyFill="1" applyBorder="1" applyAlignment="1">
      <alignment horizontal="left" vertical="center"/>
    </xf>
    <xf numFmtId="10" fontId="243" fillId="0" borderId="40" xfId="3304" applyNumberFormat="1" applyFont="1" applyBorder="1" applyAlignment="1">
      <alignment horizontal="center" vertical="center"/>
    </xf>
    <xf numFmtId="10" fontId="243" fillId="0" borderId="40" xfId="3304" applyNumberFormat="1" applyFont="1" applyBorder="1" applyAlignment="1">
      <alignment horizontal="left" vertical="center"/>
    </xf>
    <xf numFmtId="164" fontId="243" fillId="2" borderId="41" xfId="0" applyNumberFormat="1" applyFont="1" applyFill="1" applyBorder="1" applyAlignment="1">
      <alignment horizontal="left" vertical="center"/>
    </xf>
    <xf numFmtId="0" fontId="282" fillId="0" borderId="33" xfId="0" applyFont="1" applyBorder="1" applyAlignment="1">
      <alignment horizontal="center"/>
    </xf>
    <xf numFmtId="4" fontId="211" fillId="0" borderId="26" xfId="0" applyNumberFormat="1" applyFont="1" applyFill="1" applyBorder="1" applyAlignment="1">
      <alignment horizontal="left" vertical="center"/>
    </xf>
    <xf numFmtId="4" fontId="210" fillId="0" borderId="26" xfId="3304" applyNumberFormat="1" applyFont="1" applyBorder="1" applyAlignment="1">
      <alignment horizontal="left" vertical="center"/>
    </xf>
    <xf numFmtId="2" fontId="210" fillId="2" borderId="2" xfId="0" applyNumberFormat="1" applyFont="1" applyFill="1" applyBorder="1" applyAlignment="1">
      <alignment horizontal="left" vertical="center"/>
    </xf>
    <xf numFmtId="43" fontId="248" fillId="0" borderId="42" xfId="3040" applyFont="1" applyBorder="1" applyAlignment="1">
      <alignment horizontal="left" vertical="center"/>
    </xf>
    <xf numFmtId="4" fontId="277" fillId="2" borderId="36" xfId="0" applyNumberFormat="1" applyFont="1" applyFill="1" applyBorder="1" applyAlignment="1">
      <alignment horizontal="left" vertical="center"/>
    </xf>
    <xf numFmtId="4" fontId="211" fillId="0" borderId="5" xfId="0" applyNumberFormat="1" applyFont="1" applyFill="1" applyBorder="1" applyAlignment="1">
      <alignment horizontal="left" vertical="center"/>
    </xf>
    <xf numFmtId="4" fontId="210" fillId="0" borderId="5" xfId="3304" applyNumberFormat="1" applyFont="1" applyBorder="1" applyAlignment="1">
      <alignment horizontal="left" vertical="center"/>
    </xf>
    <xf numFmtId="2" fontId="210" fillId="2" borderId="5" xfId="0" applyNumberFormat="1" applyFont="1" applyFill="1" applyBorder="1" applyAlignment="1">
      <alignment horizontal="left" vertical="center"/>
    </xf>
    <xf numFmtId="2" fontId="210" fillId="2" borderId="26" xfId="0" applyNumberFormat="1" applyFont="1" applyFill="1" applyBorder="1" applyAlignment="1">
      <alignment horizontal="left" vertical="center"/>
    </xf>
    <xf numFmtId="4" fontId="255" fillId="0" borderId="26" xfId="0" applyNumberFormat="1" applyFont="1" applyFill="1" applyBorder="1" applyAlignment="1">
      <alignment horizontal="left" vertical="center"/>
    </xf>
    <xf numFmtId="43" fontId="255" fillId="0" borderId="26" xfId="3304" applyNumberFormat="1" applyFont="1" applyBorder="1" applyAlignment="1">
      <alignment horizontal="center" vertical="center"/>
    </xf>
    <xf numFmtId="164" fontId="255" fillId="2" borderId="28" xfId="0" applyNumberFormat="1" applyFont="1" applyFill="1" applyBorder="1" applyAlignment="1">
      <alignment horizontal="left" vertical="center"/>
    </xf>
    <xf numFmtId="4" fontId="217" fillId="0" borderId="35" xfId="0" applyNumberFormat="1" applyFont="1" applyFill="1" applyBorder="1" applyAlignment="1">
      <alignment horizontal="left" vertical="center"/>
    </xf>
    <xf numFmtId="10" fontId="217" fillId="0" borderId="36" xfId="3304" applyNumberFormat="1" applyFont="1" applyBorder="1" applyAlignment="1">
      <alignment horizontal="left" vertical="center"/>
    </xf>
    <xf numFmtId="164" fontId="217" fillId="2" borderId="37" xfId="0" applyNumberFormat="1" applyFont="1" applyFill="1" applyBorder="1" applyAlignment="1">
      <alignment horizontal="left" vertical="center"/>
    </xf>
    <xf numFmtId="4" fontId="217" fillId="0" borderId="39" xfId="0" applyNumberFormat="1" applyFont="1" applyFill="1" applyBorder="1" applyAlignment="1">
      <alignment horizontal="left" vertical="center"/>
    </xf>
    <xf numFmtId="10" fontId="217" fillId="0" borderId="40" xfId="3304" applyNumberFormat="1" applyFont="1" applyBorder="1" applyAlignment="1">
      <alignment horizontal="left" vertical="center"/>
    </xf>
    <xf numFmtId="164" fontId="217" fillId="2" borderId="41" xfId="0" applyNumberFormat="1" applyFont="1" applyFill="1" applyBorder="1" applyAlignment="1">
      <alignment horizontal="left" vertical="center"/>
    </xf>
    <xf numFmtId="0" fontId="283" fillId="0" borderId="35" xfId="0" applyFont="1" applyBorder="1" applyAlignment="1">
      <alignment horizontal="left" vertical="center"/>
    </xf>
    <xf numFmtId="4" fontId="261" fillId="0" borderId="36" xfId="3302" applyNumberFormat="1" applyFont="1" applyBorder="1" applyAlignment="1">
      <alignment horizontal="left" vertical="center"/>
    </xf>
    <xf numFmtId="43" fontId="261" fillId="0" borderId="36" xfId="3040" applyFont="1" applyBorder="1" applyAlignment="1">
      <alignment horizontal="left" vertical="center"/>
    </xf>
    <xf numFmtId="4" fontId="225" fillId="2" borderId="37" xfId="0" applyNumberFormat="1" applyFont="1" applyFill="1" applyBorder="1" applyAlignment="1">
      <alignment horizontal="left" vertical="center"/>
    </xf>
    <xf numFmtId="0" fontId="283" fillId="0" borderId="43" xfId="0" applyFont="1" applyBorder="1" applyAlignment="1">
      <alignment horizontal="left" vertical="center"/>
    </xf>
    <xf numFmtId="10" fontId="261" fillId="0" borderId="40" xfId="3304" applyNumberFormat="1" applyFont="1" applyBorder="1" applyAlignment="1">
      <alignment horizontal="center" vertical="center"/>
    </xf>
    <xf numFmtId="4" fontId="261" fillId="0" borderId="40" xfId="3302" applyNumberFormat="1" applyFont="1" applyBorder="1" applyAlignment="1">
      <alignment horizontal="left" vertical="center"/>
    </xf>
    <xf numFmtId="4" fontId="225" fillId="0" borderId="40" xfId="3302" applyNumberFormat="1" applyFont="1" applyBorder="1" applyAlignment="1">
      <alignment horizontal="left" vertical="center"/>
    </xf>
    <xf numFmtId="4" fontId="225" fillId="2" borderId="41" xfId="0" applyNumberFormat="1" applyFont="1" applyFill="1" applyBorder="1" applyAlignment="1">
      <alignment horizontal="left" vertical="center"/>
    </xf>
    <xf numFmtId="0" fontId="232" fillId="0" borderId="0" xfId="0" applyFont="1"/>
    <xf numFmtId="43" fontId="248" fillId="0" borderId="0" xfId="3040" applyNumberFormat="1" applyFont="1" applyBorder="1" applyAlignment="1">
      <alignment horizontal="left" vertical="center"/>
    </xf>
    <xf numFmtId="43" fontId="298" fillId="0" borderId="4" xfId="0" applyNumberFormat="1" applyFont="1" applyBorder="1"/>
    <xf numFmtId="43" fontId="301" fillId="0" borderId="4" xfId="3040" applyFont="1" applyBorder="1"/>
    <xf numFmtId="43" fontId="298" fillId="0" borderId="4" xfId="3040" applyFont="1" applyBorder="1"/>
    <xf numFmtId="10" fontId="0" fillId="0" borderId="0" xfId="3304" applyNumberFormat="1" applyFont="1"/>
    <xf numFmtId="0" fontId="302" fillId="0" borderId="0" xfId="0" applyFont="1"/>
    <xf numFmtId="4" fontId="237" fillId="2" borderId="24" xfId="0" applyNumberFormat="1" applyFont="1" applyFill="1" applyBorder="1" applyAlignment="1">
      <alignment horizontal="left" vertical="center"/>
    </xf>
    <xf numFmtId="4" fontId="237" fillId="2" borderId="35" xfId="0" applyNumberFormat="1" applyFont="1" applyFill="1" applyBorder="1" applyAlignment="1">
      <alignment horizontal="left" vertical="center"/>
    </xf>
    <xf numFmtId="0" fontId="284" fillId="0" borderId="4" xfId="3048" applyBorder="1"/>
    <xf numFmtId="0" fontId="284" fillId="0" borderId="4" xfId="3048" applyBorder="1" applyAlignment="1">
      <alignment horizontal="center"/>
    </xf>
    <xf numFmtId="2" fontId="305" fillId="0" borderId="1" xfId="0" applyNumberFormat="1" applyFont="1" applyBorder="1" applyAlignment="1">
      <alignment vertical="center"/>
    </xf>
    <xf numFmtId="0" fontId="306" fillId="0" borderId="20" xfId="0" applyFont="1" applyBorder="1" applyAlignment="1">
      <alignment horizontal="center" vertical="center"/>
    </xf>
    <xf numFmtId="0" fontId="307" fillId="0" borderId="0" xfId="0" applyFont="1" applyAlignment="1">
      <alignment vertical="center" wrapText="1"/>
    </xf>
    <xf numFmtId="4" fontId="308" fillId="0" borderId="0" xfId="0" applyNumberFormat="1" applyFont="1" applyAlignment="1">
      <alignment horizontal="right" vertical="center" wrapText="1"/>
    </xf>
    <xf numFmtId="0" fontId="309" fillId="0" borderId="1" xfId="0" applyNumberFormat="1" applyFont="1" applyFill="1" applyBorder="1" applyAlignment="1">
      <alignment horizontal="left" vertical="center"/>
    </xf>
    <xf numFmtId="4" fontId="312" fillId="0" borderId="5" xfId="0" applyNumberFormat="1" applyFont="1" applyFill="1" applyBorder="1" applyAlignment="1">
      <alignment horizontal="left" vertical="center"/>
    </xf>
    <xf numFmtId="4" fontId="313" fillId="0" borderId="5" xfId="0" applyNumberFormat="1" applyFont="1" applyFill="1" applyBorder="1" applyAlignment="1">
      <alignment horizontal="left" vertical="center"/>
    </xf>
    <xf numFmtId="4" fontId="314" fillId="2" borderId="35" xfId="0" applyNumberFormat="1" applyFont="1" applyFill="1" applyBorder="1" applyAlignment="1">
      <alignment horizontal="left" vertical="center"/>
    </xf>
    <xf numFmtId="4" fontId="315" fillId="2" borderId="36" xfId="0" applyNumberFormat="1" applyFont="1" applyFill="1" applyBorder="1" applyAlignment="1">
      <alignment horizontal="center" vertical="center"/>
    </xf>
    <xf numFmtId="4" fontId="315" fillId="2" borderId="37" xfId="0" applyNumberFormat="1" applyFont="1" applyFill="1" applyBorder="1" applyAlignment="1">
      <alignment horizontal="right" vertical="center"/>
    </xf>
    <xf numFmtId="4" fontId="314" fillId="2" borderId="24" xfId="0" applyNumberFormat="1" applyFont="1" applyFill="1" applyBorder="1" applyAlignment="1">
      <alignment horizontal="left" vertical="center"/>
    </xf>
    <xf numFmtId="43" fontId="316" fillId="2" borderId="1" xfId="3040" applyFont="1" applyFill="1" applyBorder="1" applyAlignment="1">
      <alignment horizontal="right" vertical="center"/>
    </xf>
    <xf numFmtId="43" fontId="316" fillId="2" borderId="1" xfId="3040" applyFont="1" applyFill="1" applyBorder="1" applyAlignment="1">
      <alignment horizontal="center" vertical="center"/>
    </xf>
    <xf numFmtId="43" fontId="317" fillId="2" borderId="1" xfId="3040" applyFont="1" applyFill="1" applyBorder="1" applyAlignment="1">
      <alignment horizontal="right" vertical="center"/>
    </xf>
    <xf numFmtId="43" fontId="315" fillId="2" borderId="38" xfId="3040" applyFont="1" applyFill="1" applyBorder="1" applyAlignment="1">
      <alignment horizontal="right" vertical="center"/>
    </xf>
    <xf numFmtId="4" fontId="318" fillId="2" borderId="39" xfId="0" applyNumberFormat="1" applyFont="1" applyFill="1" applyBorder="1" applyAlignment="1">
      <alignment horizontal="left" vertical="center"/>
    </xf>
    <xf numFmtId="10" fontId="319" fillId="2" borderId="40" xfId="3304" applyNumberFormat="1" applyFont="1" applyFill="1" applyBorder="1" applyAlignment="1">
      <alignment horizontal="right" vertical="center"/>
    </xf>
    <xf numFmtId="10" fontId="320" fillId="2" borderId="41" xfId="3304" applyNumberFormat="1" applyFont="1" applyFill="1" applyBorder="1" applyAlignment="1">
      <alignment horizontal="right" vertical="center"/>
    </xf>
    <xf numFmtId="0" fontId="321" fillId="0" borderId="35" xfId="0" applyFont="1" applyBorder="1" applyAlignment="1">
      <alignment horizontal="left" vertical="center"/>
    </xf>
    <xf numFmtId="43" fontId="311" fillId="0" borderId="36" xfId="3040" applyFont="1" applyBorder="1" applyAlignment="1">
      <alignment horizontal="left" vertical="center"/>
    </xf>
    <xf numFmtId="43" fontId="313" fillId="2" borderId="37" xfId="3040" applyFont="1" applyFill="1" applyBorder="1" applyAlignment="1">
      <alignment horizontal="left" vertical="center"/>
    </xf>
    <xf numFmtId="4" fontId="322" fillId="0" borderId="24" xfId="0" applyNumberFormat="1" applyFont="1" applyFill="1" applyBorder="1" applyAlignment="1">
      <alignment horizontal="left" vertical="center"/>
    </xf>
    <xf numFmtId="43" fontId="323" fillId="0" borderId="1" xfId="3040" applyFont="1" applyBorder="1" applyAlignment="1">
      <alignment horizontal="left" vertical="center"/>
    </xf>
    <xf numFmtId="43" fontId="311" fillId="0" borderId="1" xfId="3040" applyFont="1" applyBorder="1" applyAlignment="1">
      <alignment horizontal="left" vertical="center"/>
    </xf>
    <xf numFmtId="43" fontId="324" fillId="2" borderId="38" xfId="3040" applyFont="1" applyFill="1" applyBorder="1" applyAlignment="1">
      <alignment horizontal="left" vertical="center"/>
    </xf>
    <xf numFmtId="4" fontId="325" fillId="0" borderId="24" xfId="0" applyNumberFormat="1" applyFont="1" applyFill="1" applyBorder="1" applyAlignment="1">
      <alignment horizontal="left" vertical="center"/>
    </xf>
    <xf numFmtId="4" fontId="325" fillId="0" borderId="1" xfId="3302" applyNumberFormat="1" applyFont="1" applyBorder="1" applyAlignment="1">
      <alignment horizontal="left" vertical="center"/>
    </xf>
    <xf numFmtId="43" fontId="325" fillId="2" borderId="38" xfId="3040" applyFont="1" applyFill="1" applyBorder="1" applyAlignment="1">
      <alignment horizontal="left" vertical="center"/>
    </xf>
    <xf numFmtId="4" fontId="323" fillId="0" borderId="1" xfId="0" applyNumberFormat="1" applyFont="1" applyBorder="1" applyAlignment="1">
      <alignment horizontal="left" vertical="center"/>
    </xf>
    <xf numFmtId="4" fontId="324" fillId="2" borderId="38" xfId="0" applyNumberFormat="1" applyFont="1" applyFill="1" applyBorder="1" applyAlignment="1">
      <alignment horizontal="left" vertical="center"/>
    </xf>
    <xf numFmtId="10" fontId="324" fillId="0" borderId="1" xfId="3304" applyNumberFormat="1" applyFont="1" applyBorder="1" applyAlignment="1">
      <alignment horizontal="left" vertical="center"/>
    </xf>
    <xf numFmtId="4" fontId="324" fillId="0" borderId="1" xfId="3304" applyNumberFormat="1" applyFont="1" applyBorder="1" applyAlignment="1">
      <alignment horizontal="left" vertical="center"/>
    </xf>
    <xf numFmtId="2" fontId="324" fillId="2" borderId="38" xfId="0" applyNumberFormat="1" applyFont="1" applyFill="1" applyBorder="1" applyAlignment="1">
      <alignment horizontal="left" vertical="center"/>
    </xf>
    <xf numFmtId="4" fontId="327" fillId="0" borderId="39" xfId="0" applyNumberFormat="1" applyFont="1" applyFill="1" applyBorder="1" applyAlignment="1">
      <alignment horizontal="left" vertical="center"/>
    </xf>
    <xf numFmtId="10" fontId="310" fillId="0" borderId="40" xfId="3304" applyNumberFormat="1" applyFont="1" applyBorder="1" applyAlignment="1">
      <alignment horizontal="center" vertical="center"/>
    </xf>
    <xf numFmtId="10" fontId="310" fillId="0" borderId="40" xfId="3304" applyNumberFormat="1" applyFont="1" applyBorder="1" applyAlignment="1">
      <alignment horizontal="left" vertical="center"/>
    </xf>
    <xf numFmtId="164" fontId="310" fillId="2" borderId="41" xfId="0" applyNumberFormat="1" applyFont="1" applyFill="1" applyBorder="1" applyAlignment="1">
      <alignment horizontal="left" vertical="center"/>
    </xf>
    <xf numFmtId="0" fontId="323" fillId="0" borderId="35" xfId="0" applyFont="1" applyBorder="1" applyAlignment="1">
      <alignment horizontal="left" vertical="center"/>
    </xf>
    <xf numFmtId="4" fontId="328" fillId="0" borderId="36" xfId="3302" applyNumberFormat="1" applyFont="1" applyBorder="1" applyAlignment="1">
      <alignment horizontal="left" vertical="center"/>
    </xf>
    <xf numFmtId="43" fontId="328" fillId="0" borderId="36" xfId="3040" applyFont="1" applyBorder="1" applyAlignment="1">
      <alignment horizontal="left" vertical="center"/>
    </xf>
    <xf numFmtId="4" fontId="324" fillId="2" borderId="37" xfId="0" applyNumberFormat="1" applyFont="1" applyFill="1" applyBorder="1" applyAlignment="1">
      <alignment horizontal="left" vertical="center"/>
    </xf>
    <xf numFmtId="0" fontId="323" fillId="0" borderId="43" xfId="0" applyFont="1" applyBorder="1" applyAlignment="1">
      <alignment horizontal="left" vertical="center"/>
    </xf>
    <xf numFmtId="10" fontId="328" fillId="0" borderId="40" xfId="3304" applyNumberFormat="1" applyFont="1" applyBorder="1" applyAlignment="1">
      <alignment horizontal="center" vertical="center"/>
    </xf>
    <xf numFmtId="4" fontId="328" fillId="0" borderId="40" xfId="3302" applyNumberFormat="1" applyFont="1" applyBorder="1" applyAlignment="1">
      <alignment horizontal="left" vertical="center"/>
    </xf>
    <xf numFmtId="4" fontId="324" fillId="0" borderId="40" xfId="3302" applyNumberFormat="1" applyFont="1" applyBorder="1" applyAlignment="1">
      <alignment horizontal="left" vertical="center"/>
    </xf>
    <xf numFmtId="4" fontId="324" fillId="2" borderId="41" xfId="0" applyNumberFormat="1" applyFont="1" applyFill="1" applyBorder="1" applyAlignment="1">
      <alignment horizontal="left" vertical="center"/>
    </xf>
    <xf numFmtId="4" fontId="329" fillId="0" borderId="35" xfId="0" applyNumberFormat="1" applyFont="1" applyFill="1" applyBorder="1" applyAlignment="1">
      <alignment horizontal="left" vertical="center"/>
    </xf>
    <xf numFmtId="10" fontId="329" fillId="0" borderId="36" xfId="3304" applyNumberFormat="1" applyFont="1" applyBorder="1" applyAlignment="1">
      <alignment horizontal="center" vertical="center"/>
    </xf>
    <xf numFmtId="4" fontId="330" fillId="0" borderId="36" xfId="0" applyNumberFormat="1" applyFont="1" applyBorder="1" applyAlignment="1">
      <alignment horizontal="left" vertical="center"/>
    </xf>
    <xf numFmtId="4" fontId="322" fillId="2" borderId="37" xfId="0" applyNumberFormat="1" applyFont="1" applyFill="1" applyBorder="1" applyAlignment="1">
      <alignment horizontal="left" vertical="center"/>
    </xf>
    <xf numFmtId="4" fontId="329" fillId="0" borderId="24" xfId="0" applyNumberFormat="1" applyFont="1" applyFill="1" applyBorder="1" applyAlignment="1">
      <alignment horizontal="left" vertical="center"/>
    </xf>
    <xf numFmtId="10" fontId="329" fillId="0" borderId="1" xfId="3304" applyNumberFormat="1" applyFont="1" applyBorder="1" applyAlignment="1">
      <alignment horizontal="center" vertical="center"/>
    </xf>
    <xf numFmtId="43" fontId="324" fillId="0" borderId="1" xfId="3040" applyFont="1" applyBorder="1" applyAlignment="1">
      <alignment horizontal="left" vertical="center"/>
    </xf>
    <xf numFmtId="4" fontId="330" fillId="0" borderId="1" xfId="0" applyNumberFormat="1" applyFont="1" applyBorder="1" applyAlignment="1">
      <alignment horizontal="left" vertical="center"/>
    </xf>
    <xf numFmtId="4" fontId="322" fillId="2" borderId="38" xfId="0" applyNumberFormat="1" applyFont="1" applyFill="1" applyBorder="1" applyAlignment="1">
      <alignment horizontal="left" vertical="center"/>
    </xf>
    <xf numFmtId="4" fontId="329" fillId="0" borderId="39" xfId="0" applyNumberFormat="1" applyFont="1" applyFill="1" applyBorder="1" applyAlignment="1">
      <alignment horizontal="left" vertical="center"/>
    </xf>
    <xf numFmtId="10" fontId="329" fillId="0" borderId="40" xfId="3304" applyNumberFormat="1" applyFont="1" applyBorder="1" applyAlignment="1">
      <alignment horizontal="center" vertical="center"/>
    </xf>
    <xf numFmtId="4" fontId="327" fillId="2" borderId="41" xfId="0" applyNumberFormat="1" applyFont="1" applyFill="1" applyBorder="1" applyAlignment="1">
      <alignment horizontal="left" vertical="center"/>
    </xf>
    <xf numFmtId="4" fontId="315" fillId="2" borderId="36" xfId="0" applyNumberFormat="1" applyFont="1" applyFill="1" applyBorder="1" applyAlignment="1">
      <alignment horizontal="left" vertical="center"/>
    </xf>
    <xf numFmtId="0" fontId="321" fillId="0" borderId="28" xfId="0" applyFont="1" applyBorder="1" applyAlignment="1">
      <alignment horizontal="left" vertical="center"/>
    </xf>
    <xf numFmtId="43" fontId="331" fillId="0" borderId="42" xfId="3040" applyFont="1" applyBorder="1" applyAlignment="1">
      <alignment horizontal="left" vertical="center"/>
    </xf>
    <xf numFmtId="43" fontId="313" fillId="2" borderId="34" xfId="3040" applyFont="1" applyFill="1" applyBorder="1" applyAlignment="1">
      <alignment horizontal="left" vertical="center"/>
    </xf>
    <xf numFmtId="4" fontId="322" fillId="0" borderId="1" xfId="0" applyNumberFormat="1" applyFont="1" applyFill="1" applyBorder="1" applyAlignment="1">
      <alignment horizontal="left" vertical="center"/>
    </xf>
    <xf numFmtId="43" fontId="324" fillId="2" borderId="1" xfId="3040" applyFont="1" applyFill="1" applyBorder="1" applyAlignment="1">
      <alignment horizontal="left" vertical="center"/>
    </xf>
    <xf numFmtId="4" fontId="325" fillId="0" borderId="1" xfId="0" applyNumberFormat="1" applyFont="1" applyFill="1" applyBorder="1" applyAlignment="1">
      <alignment horizontal="left" vertical="center"/>
    </xf>
    <xf numFmtId="43" fontId="325" fillId="2" borderId="27" xfId="3040" applyFont="1" applyFill="1" applyBorder="1" applyAlignment="1">
      <alignment horizontal="left" vertical="center"/>
    </xf>
    <xf numFmtId="4" fontId="324" fillId="2" borderId="1" xfId="0" applyNumberFormat="1" applyFont="1" applyFill="1" applyBorder="1" applyAlignment="1">
      <alignment horizontal="left" vertical="center"/>
    </xf>
    <xf numFmtId="4" fontId="327" fillId="0" borderId="1" xfId="0" applyNumberFormat="1" applyFont="1" applyFill="1" applyBorder="1" applyAlignment="1">
      <alignment horizontal="left" vertical="center"/>
    </xf>
    <xf numFmtId="10" fontId="310" fillId="0" borderId="1" xfId="3304" applyNumberFormat="1" applyFont="1" applyBorder="1" applyAlignment="1">
      <alignment horizontal="left" vertical="center"/>
    </xf>
    <xf numFmtId="164" fontId="310" fillId="2" borderId="1" xfId="0" applyNumberFormat="1" applyFont="1" applyFill="1" applyBorder="1" applyAlignment="1">
      <alignment horizontal="left" vertical="center"/>
    </xf>
    <xf numFmtId="4" fontId="322" fillId="0" borderId="5" xfId="0" applyNumberFormat="1" applyFont="1" applyFill="1" applyBorder="1" applyAlignment="1">
      <alignment horizontal="left" vertical="center"/>
    </xf>
    <xf numFmtId="4" fontId="324" fillId="0" borderId="5" xfId="3304" applyNumberFormat="1" applyFont="1" applyBorder="1" applyAlignment="1">
      <alignment horizontal="left" vertical="center"/>
    </xf>
    <xf numFmtId="2" fontId="324" fillId="2" borderId="5" xfId="0" applyNumberFormat="1" applyFont="1" applyFill="1" applyBorder="1" applyAlignment="1">
      <alignment horizontal="left" vertical="center"/>
    </xf>
    <xf numFmtId="4" fontId="327" fillId="2" borderId="38" xfId="0" applyNumberFormat="1" applyFont="1" applyFill="1" applyBorder="1" applyAlignment="1">
      <alignment horizontal="left" vertical="center"/>
    </xf>
    <xf numFmtId="4" fontId="332" fillId="0" borderId="36" xfId="3302" applyNumberFormat="1" applyFont="1" applyBorder="1" applyAlignment="1">
      <alignment horizontal="left" vertical="center"/>
    </xf>
    <xf numFmtId="0" fontId="333" fillId="0" borderId="33" xfId="0" applyFont="1" applyBorder="1" applyAlignment="1">
      <alignment horizontal="center"/>
    </xf>
    <xf numFmtId="0" fontId="333" fillId="0" borderId="4" xfId="0" applyFont="1" applyBorder="1" applyAlignment="1">
      <alignment horizontal="center"/>
    </xf>
    <xf numFmtId="43" fontId="333" fillId="0" borderId="4" xfId="0" applyNumberFormat="1" applyFont="1" applyBorder="1" applyAlignment="1">
      <alignment horizontal="center"/>
    </xf>
    <xf numFmtId="0" fontId="333" fillId="0" borderId="0" xfId="0" applyFont="1"/>
    <xf numFmtId="0" fontId="0" fillId="0" borderId="4" xfId="0" applyBorder="1" applyAlignment="1">
      <alignment horizontal="center"/>
    </xf>
    <xf numFmtId="43" fontId="4" fillId="0" borderId="4" xfId="3835" applyFont="1" applyBorder="1"/>
    <xf numFmtId="3" fontId="206" fillId="0" borderId="0" xfId="0" applyNumberFormat="1" applyFont="1"/>
    <xf numFmtId="43" fontId="302" fillId="0" borderId="0" xfId="3040" applyFont="1"/>
    <xf numFmtId="0" fontId="0" fillId="0" borderId="20" xfId="0" applyBorder="1" applyAlignment="1">
      <alignment horizontal="center" vertical="center"/>
    </xf>
    <xf numFmtId="0" fontId="235" fillId="0" borderId="27" xfId="0" applyFont="1" applyBorder="1" applyAlignment="1">
      <alignment horizontal="center" vertical="center"/>
    </xf>
    <xf numFmtId="0" fontId="235" fillId="0" borderId="20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43" fontId="352" fillId="0" borderId="1" xfId="3040" applyFont="1" applyBorder="1" applyAlignment="1">
      <alignment horizontal="left" vertical="center"/>
    </xf>
    <xf numFmtId="165" fontId="5" fillId="0" borderId="4" xfId="3040" quotePrefix="1" applyNumberFormat="1" applyFont="1" applyBorder="1" applyAlignment="1">
      <alignment horizontal="right"/>
    </xf>
    <xf numFmtId="0" fontId="203" fillId="0" borderId="10" xfId="7166" applyFont="1" applyFill="1" applyBorder="1" applyAlignment="1">
      <alignment horizontal="center"/>
    </xf>
    <xf numFmtId="0" fontId="203" fillId="0" borderId="16" xfId="7166" applyFont="1" applyFill="1" applyBorder="1" applyAlignment="1">
      <alignment horizontal="center"/>
    </xf>
    <xf numFmtId="0" fontId="203" fillId="0" borderId="9" xfId="7166" applyFont="1" applyFill="1" applyBorder="1" applyAlignment="1">
      <alignment horizontal="center"/>
    </xf>
    <xf numFmtId="0" fontId="203" fillId="0" borderId="30" xfId="7166" applyFont="1" applyFill="1" applyBorder="1" applyAlignment="1">
      <alignment horizontal="center"/>
    </xf>
    <xf numFmtId="0" fontId="203" fillId="3" borderId="10" xfId="7166" applyFont="1" applyFill="1" applyBorder="1" applyAlignment="1">
      <alignment horizontal="center"/>
    </xf>
    <xf numFmtId="0" fontId="203" fillId="0" borderId="11" xfId="7166" applyFont="1" applyFill="1" applyBorder="1" applyAlignment="1">
      <alignment horizontal="center"/>
    </xf>
    <xf numFmtId="0" fontId="203" fillId="0" borderId="23" xfId="7166" applyFont="1" applyFill="1" applyBorder="1" applyAlignment="1">
      <alignment horizontal="center"/>
    </xf>
    <xf numFmtId="0" fontId="203" fillId="0" borderId="12" xfId="7166" applyFont="1" applyFill="1" applyBorder="1" applyAlignment="1">
      <alignment horizontal="center"/>
    </xf>
    <xf numFmtId="0" fontId="203" fillId="0" borderId="13" xfId="7166" applyFont="1" applyFill="1" applyBorder="1" applyAlignment="1">
      <alignment horizontal="center"/>
    </xf>
    <xf numFmtId="0" fontId="203" fillId="0" borderId="18" xfId="7166" applyFont="1" applyFill="1" applyBorder="1" applyAlignment="1">
      <alignment horizontal="center"/>
    </xf>
    <xf numFmtId="0" fontId="203" fillId="0" borderId="19" xfId="7166" applyFont="1" applyFill="1" applyBorder="1" applyAlignment="1">
      <alignment horizontal="center"/>
    </xf>
    <xf numFmtId="0" fontId="203" fillId="0" borderId="21" xfId="7166" applyFont="1" applyFill="1" applyBorder="1" applyAlignment="1">
      <alignment horizontal="center"/>
    </xf>
    <xf numFmtId="0" fontId="207" fillId="0" borderId="0" xfId="0" applyFont="1" applyAlignment="1">
      <alignment horizontal="left" vertical="center"/>
    </xf>
    <xf numFmtId="2" fontId="305" fillId="60" borderId="1" xfId="0" applyNumberFormat="1" applyFont="1" applyFill="1" applyBorder="1" applyAlignment="1">
      <alignment vertical="center"/>
    </xf>
    <xf numFmtId="0" fontId="0" fillId="0" borderId="63" xfId="0" applyFill="1" applyBorder="1"/>
    <xf numFmtId="10" fontId="0" fillId="0" borderId="4" xfId="3304" applyNumberFormat="1" applyFont="1" applyBorder="1"/>
    <xf numFmtId="0" fontId="306" fillId="0" borderId="20" xfId="0" applyFont="1" applyBorder="1" applyAlignment="1">
      <alignment horizontal="center" vertical="center"/>
    </xf>
    <xf numFmtId="165" fontId="2" fillId="0" borderId="4" xfId="7173" applyNumberFormat="1" applyFont="1" applyBorder="1" applyAlignment="1">
      <alignment vertical="center"/>
    </xf>
    <xf numFmtId="0" fontId="2" fillId="0" borderId="4" xfId="3048" applyFont="1" applyBorder="1"/>
    <xf numFmtId="43" fontId="355" fillId="0" borderId="4" xfId="7176" applyNumberFormat="1" applyFont="1" applyBorder="1"/>
    <xf numFmtId="43" fontId="355" fillId="0" borderId="4" xfId="7175" applyNumberFormat="1" applyFont="1" applyBorder="1"/>
    <xf numFmtId="43" fontId="355" fillId="0" borderId="4" xfId="7176" applyNumberFormat="1" applyFont="1" applyBorder="1"/>
    <xf numFmtId="43" fontId="355" fillId="0" borderId="4" xfId="7175" applyNumberFormat="1" applyFont="1" applyBorder="1"/>
    <xf numFmtId="43" fontId="355" fillId="0" borderId="4" xfId="7176" applyNumberFormat="1" applyFont="1" applyBorder="1"/>
    <xf numFmtId="2" fontId="356" fillId="0" borderId="1" xfId="0" applyNumberFormat="1" applyFont="1" applyBorder="1" applyAlignment="1">
      <alignment vertical="center"/>
    </xf>
    <xf numFmtId="0" fontId="356" fillId="0" borderId="1" xfId="0" applyFont="1" applyBorder="1" applyAlignment="1">
      <alignment vertical="center"/>
    </xf>
    <xf numFmtId="0" fontId="355" fillId="0" borderId="4" xfId="3834" applyFont="1" applyBorder="1"/>
    <xf numFmtId="0" fontId="355" fillId="0" borderId="4" xfId="3834" applyFont="1" applyBorder="1" applyAlignment="1">
      <alignment horizontal="center"/>
    </xf>
    <xf numFmtId="0" fontId="355" fillId="0" borderId="4" xfId="3048" applyFont="1" applyBorder="1"/>
    <xf numFmtId="43" fontId="355" fillId="0" borderId="4" xfId="3040" applyNumberFormat="1" applyFont="1" applyBorder="1"/>
    <xf numFmtId="43" fontId="355" fillId="0" borderId="4" xfId="0" applyNumberFormat="1" applyFont="1" applyBorder="1"/>
    <xf numFmtId="43" fontId="357" fillId="0" borderId="4" xfId="0" applyNumberFormat="1" applyFont="1" applyBorder="1"/>
    <xf numFmtId="43" fontId="358" fillId="0" borderId="4" xfId="3040" applyFont="1" applyBorder="1"/>
    <xf numFmtId="43" fontId="357" fillId="0" borderId="4" xfId="3040" applyFont="1" applyBorder="1"/>
    <xf numFmtId="4" fontId="325" fillId="0" borderId="1" xfId="3302" applyNumberFormat="1" applyFont="1" applyBorder="1" applyAlignment="1">
      <alignment horizontal="center" vertical="center"/>
    </xf>
    <xf numFmtId="4" fontId="326" fillId="0" borderId="0" xfId="0" applyNumberFormat="1" applyFont="1"/>
    <xf numFmtId="0" fontId="355" fillId="0" borderId="4" xfId="7182" applyFont="1" applyBorder="1"/>
    <xf numFmtId="43" fontId="355" fillId="0" borderId="4" xfId="7179" applyNumberFormat="1" applyFont="1" applyBorder="1"/>
    <xf numFmtId="43" fontId="355" fillId="0" borderId="4" xfId="7180" applyNumberFormat="1" applyFont="1" applyBorder="1"/>
    <xf numFmtId="2" fontId="0" fillId="0" borderId="0" xfId="0" applyNumberFormat="1" applyFont="1"/>
    <xf numFmtId="43" fontId="355" fillId="0" borderId="4" xfId="3040" applyFont="1" applyBorder="1"/>
    <xf numFmtId="165" fontId="5" fillId="0" borderId="4" xfId="3040" applyNumberFormat="1" applyFont="1" applyBorder="1" applyAlignment="1">
      <alignment horizontal="right"/>
    </xf>
    <xf numFmtId="4" fontId="313" fillId="0" borderId="5" xfId="0" applyNumberFormat="1" applyFont="1" applyFill="1" applyBorder="1" applyAlignment="1">
      <alignment horizontal="center" vertical="center"/>
    </xf>
    <xf numFmtId="10" fontId="319" fillId="2" borderId="40" xfId="3304" applyNumberFormat="1" applyFont="1" applyFill="1" applyBorder="1" applyAlignment="1">
      <alignment horizontal="center" vertical="center"/>
    </xf>
    <xf numFmtId="43" fontId="311" fillId="0" borderId="36" xfId="3040" applyFont="1" applyBorder="1" applyAlignment="1">
      <alignment horizontal="center" vertical="center"/>
    </xf>
    <xf numFmtId="43" fontId="323" fillId="0" borderId="1" xfId="3040" applyFont="1" applyBorder="1" applyAlignment="1">
      <alignment horizontal="center" vertical="center"/>
    </xf>
    <xf numFmtId="0" fontId="203" fillId="0" borderId="10" xfId="13774" applyFont="1" applyFill="1" applyBorder="1" applyAlignment="1">
      <alignment horizontal="center"/>
    </xf>
    <xf numFmtId="0" fontId="203" fillId="0" borderId="14" xfId="13774" applyFont="1" applyFill="1" applyBorder="1" applyAlignment="1">
      <alignment horizontal="center"/>
    </xf>
    <xf numFmtId="0" fontId="203" fillId="0" borderId="6" xfId="13774" applyFont="1" applyFill="1" applyBorder="1" applyAlignment="1">
      <alignment horizontal="center"/>
    </xf>
    <xf numFmtId="0" fontId="203" fillId="0" borderId="25" xfId="13774" applyFont="1" applyFill="1" applyBorder="1" applyAlignment="1">
      <alignment horizontal="center"/>
    </xf>
    <xf numFmtId="0" fontId="203" fillId="0" borderId="24" xfId="13774" applyFont="1" applyFill="1" applyBorder="1" applyAlignment="1">
      <alignment horizontal="center"/>
    </xf>
    <xf numFmtId="0" fontId="203" fillId="0" borderId="9" xfId="13774" applyFont="1" applyFill="1" applyBorder="1" applyAlignment="1">
      <alignment horizontal="center"/>
    </xf>
    <xf numFmtId="0" fontId="203" fillId="3" borderId="10" xfId="13774" applyFont="1" applyFill="1" applyBorder="1" applyAlignment="1">
      <alignment horizontal="center"/>
    </xf>
    <xf numFmtId="0" fontId="203" fillId="0" borderId="11" xfId="13774" applyFont="1" applyFill="1" applyBorder="1" applyAlignment="1">
      <alignment horizontal="center"/>
    </xf>
    <xf numFmtId="0" fontId="203" fillId="0" borderId="12" xfId="13774" applyFont="1" applyFill="1" applyBorder="1" applyAlignment="1">
      <alignment horizontal="center"/>
    </xf>
    <xf numFmtId="0" fontId="203" fillId="0" borderId="13" xfId="13774" applyFont="1" applyFill="1" applyBorder="1" applyAlignment="1">
      <alignment horizontal="center"/>
    </xf>
    <xf numFmtId="0" fontId="203" fillId="0" borderId="18" xfId="13774" applyFont="1" applyFill="1" applyBorder="1" applyAlignment="1">
      <alignment horizontal="center"/>
    </xf>
    <xf numFmtId="0" fontId="203" fillId="0" borderId="19" xfId="13774" applyFont="1" applyFill="1" applyBorder="1" applyAlignment="1">
      <alignment horizontal="center"/>
    </xf>
    <xf numFmtId="0" fontId="203" fillId="0" borderId="21" xfId="13774" applyFont="1" applyFill="1" applyBorder="1" applyAlignment="1">
      <alignment horizontal="center"/>
    </xf>
    <xf numFmtId="0" fontId="203" fillId="0" borderId="10" xfId="13774" applyFont="1" applyFill="1" applyBorder="1" applyAlignment="1">
      <alignment horizontal="center"/>
    </xf>
    <xf numFmtId="0" fontId="203" fillId="0" borderId="14" xfId="13774" applyFont="1" applyFill="1" applyBorder="1" applyAlignment="1">
      <alignment horizontal="center"/>
    </xf>
    <xf numFmtId="0" fontId="203" fillId="0" borderId="6" xfId="13774" applyFont="1" applyFill="1" applyBorder="1" applyAlignment="1">
      <alignment horizontal="center"/>
    </xf>
    <xf numFmtId="0" fontId="203" fillId="0" borderId="25" xfId="13774" applyFont="1" applyFill="1" applyBorder="1" applyAlignment="1">
      <alignment horizontal="center"/>
    </xf>
    <xf numFmtId="0" fontId="203" fillId="0" borderId="24" xfId="13774" applyFont="1" applyFill="1" applyBorder="1" applyAlignment="1">
      <alignment horizontal="center"/>
    </xf>
    <xf numFmtId="0" fontId="203" fillId="0" borderId="9" xfId="13774" applyFont="1" applyFill="1" applyBorder="1" applyAlignment="1">
      <alignment horizontal="center"/>
    </xf>
    <xf numFmtId="0" fontId="203" fillId="3" borderId="10" xfId="13774" applyFont="1" applyFill="1" applyBorder="1" applyAlignment="1">
      <alignment horizontal="center"/>
    </xf>
    <xf numFmtId="0" fontId="203" fillId="0" borderId="11" xfId="13774" applyFont="1" applyFill="1" applyBorder="1" applyAlignment="1">
      <alignment horizontal="center"/>
    </xf>
    <xf numFmtId="0" fontId="203" fillId="0" borderId="12" xfId="13774" applyFont="1" applyFill="1" applyBorder="1" applyAlignment="1">
      <alignment horizontal="center"/>
    </xf>
    <xf numFmtId="0" fontId="203" fillId="0" borderId="13" xfId="13774" applyFont="1" applyFill="1" applyBorder="1" applyAlignment="1">
      <alignment horizontal="center"/>
    </xf>
    <xf numFmtId="0" fontId="203" fillId="0" borderId="18" xfId="13774" applyFont="1" applyFill="1" applyBorder="1" applyAlignment="1">
      <alignment horizontal="center"/>
    </xf>
    <xf numFmtId="0" fontId="203" fillId="0" borderId="19" xfId="13774" applyFont="1" applyFill="1" applyBorder="1" applyAlignment="1">
      <alignment horizontal="center"/>
    </xf>
    <xf numFmtId="0" fontId="203" fillId="0" borderId="21" xfId="13774" applyFont="1" applyFill="1" applyBorder="1" applyAlignment="1">
      <alignment horizontal="center"/>
    </xf>
    <xf numFmtId="0" fontId="203" fillId="0" borderId="10" xfId="13774" applyFont="1" applyFill="1" applyBorder="1" applyAlignment="1">
      <alignment horizontal="center"/>
    </xf>
    <xf numFmtId="0" fontId="203" fillId="0" borderId="14" xfId="13774" applyFont="1" applyFill="1" applyBorder="1" applyAlignment="1">
      <alignment horizontal="center"/>
    </xf>
    <xf numFmtId="0" fontId="203" fillId="0" borderId="6" xfId="13774" applyFont="1" applyFill="1" applyBorder="1" applyAlignment="1">
      <alignment horizontal="center"/>
    </xf>
    <xf numFmtId="0" fontId="203" fillId="0" borderId="25" xfId="13774" applyFont="1" applyFill="1" applyBorder="1" applyAlignment="1">
      <alignment horizontal="center"/>
    </xf>
    <xf numFmtId="0" fontId="203" fillId="0" borderId="24" xfId="13774" applyFont="1" applyFill="1" applyBorder="1" applyAlignment="1">
      <alignment horizontal="center"/>
    </xf>
    <xf numFmtId="0" fontId="203" fillId="0" borderId="9" xfId="13774" applyFont="1" applyFill="1" applyBorder="1" applyAlignment="1">
      <alignment horizontal="center"/>
    </xf>
    <xf numFmtId="0" fontId="203" fillId="3" borderId="10" xfId="13774" applyFont="1" applyFill="1" applyBorder="1" applyAlignment="1">
      <alignment horizontal="center"/>
    </xf>
    <xf numFmtId="0" fontId="203" fillId="0" borderId="11" xfId="13774" applyFont="1" applyFill="1" applyBorder="1" applyAlignment="1">
      <alignment horizontal="center"/>
    </xf>
    <xf numFmtId="0" fontId="203" fillId="0" borderId="12" xfId="13774" applyFont="1" applyFill="1" applyBorder="1" applyAlignment="1">
      <alignment horizontal="center"/>
    </xf>
    <xf numFmtId="0" fontId="203" fillId="0" borderId="13" xfId="13774" applyFont="1" applyFill="1" applyBorder="1" applyAlignment="1">
      <alignment horizontal="center"/>
    </xf>
    <xf numFmtId="0" fontId="203" fillId="0" borderId="18" xfId="13774" applyFont="1" applyFill="1" applyBorder="1" applyAlignment="1">
      <alignment horizontal="center"/>
    </xf>
    <xf numFmtId="0" fontId="203" fillId="0" borderId="19" xfId="13774" applyFont="1" applyFill="1" applyBorder="1" applyAlignment="1">
      <alignment horizontal="center"/>
    </xf>
    <xf numFmtId="0" fontId="203" fillId="0" borderId="21" xfId="13774" applyFont="1" applyFill="1" applyBorder="1" applyAlignment="1">
      <alignment horizontal="center"/>
    </xf>
    <xf numFmtId="0" fontId="203" fillId="0" borderId="10" xfId="13774" applyFont="1" applyFill="1" applyBorder="1" applyAlignment="1">
      <alignment horizontal="center"/>
    </xf>
    <xf numFmtId="0" fontId="203" fillId="0" borderId="14" xfId="13774" applyFont="1" applyFill="1" applyBorder="1" applyAlignment="1">
      <alignment horizontal="center"/>
    </xf>
    <xf numFmtId="0" fontId="203" fillId="0" borderId="6" xfId="13774" applyFont="1" applyFill="1" applyBorder="1" applyAlignment="1">
      <alignment horizontal="center"/>
    </xf>
    <xf numFmtId="0" fontId="203" fillId="0" borderId="25" xfId="13774" applyFont="1" applyFill="1" applyBorder="1" applyAlignment="1">
      <alignment horizontal="center"/>
    </xf>
    <xf numFmtId="0" fontId="203" fillId="0" borderId="24" xfId="13774" applyFont="1" applyFill="1" applyBorder="1" applyAlignment="1">
      <alignment horizontal="center"/>
    </xf>
    <xf numFmtId="0" fontId="203" fillId="0" borderId="9" xfId="13774" applyFont="1" applyFill="1" applyBorder="1" applyAlignment="1">
      <alignment horizontal="center"/>
    </xf>
    <xf numFmtId="0" fontId="203" fillId="3" borderId="10" xfId="13774" applyFont="1" applyFill="1" applyBorder="1" applyAlignment="1">
      <alignment horizontal="center"/>
    </xf>
    <xf numFmtId="0" fontId="203" fillId="0" borderId="11" xfId="13774" applyFont="1" applyFill="1" applyBorder="1" applyAlignment="1">
      <alignment horizontal="center"/>
    </xf>
    <xf numFmtId="0" fontId="203" fillId="0" borderId="12" xfId="13774" applyFont="1" applyFill="1" applyBorder="1" applyAlignment="1">
      <alignment horizontal="center"/>
    </xf>
    <xf numFmtId="0" fontId="203" fillId="0" borderId="13" xfId="13774" applyFont="1" applyFill="1" applyBorder="1" applyAlignment="1">
      <alignment horizontal="center"/>
    </xf>
    <xf numFmtId="0" fontId="203" fillId="0" borderId="18" xfId="13774" applyFont="1" applyFill="1" applyBorder="1" applyAlignment="1">
      <alignment horizontal="center"/>
    </xf>
    <xf numFmtId="0" fontId="203" fillId="0" borderId="19" xfId="13774" applyFont="1" applyFill="1" applyBorder="1" applyAlignment="1">
      <alignment horizontal="center"/>
    </xf>
    <xf numFmtId="0" fontId="203" fillId="0" borderId="21" xfId="13774" applyFont="1" applyFill="1" applyBorder="1" applyAlignment="1">
      <alignment horizontal="center"/>
    </xf>
    <xf numFmtId="0" fontId="203" fillId="0" borderId="10" xfId="13774" applyFont="1" applyFill="1" applyBorder="1" applyAlignment="1">
      <alignment horizontal="center"/>
    </xf>
    <xf numFmtId="0" fontId="203" fillId="0" borderId="14" xfId="13774" applyFont="1" applyFill="1" applyBorder="1" applyAlignment="1">
      <alignment horizontal="center"/>
    </xf>
    <xf numFmtId="0" fontId="203" fillId="0" borderId="6" xfId="13774" applyFont="1" applyFill="1" applyBorder="1" applyAlignment="1">
      <alignment horizontal="center"/>
    </xf>
    <xf numFmtId="0" fontId="203" fillId="0" borderId="25" xfId="13774" applyFont="1" applyFill="1" applyBorder="1" applyAlignment="1">
      <alignment horizontal="center"/>
    </xf>
    <xf numFmtId="0" fontId="203" fillId="0" borderId="24" xfId="13774" applyFont="1" applyFill="1" applyBorder="1" applyAlignment="1">
      <alignment horizontal="center"/>
    </xf>
    <xf numFmtId="0" fontId="203" fillId="0" borderId="9" xfId="13774" applyFont="1" applyFill="1" applyBorder="1" applyAlignment="1">
      <alignment horizontal="center"/>
    </xf>
    <xf numFmtId="0" fontId="203" fillId="3" borderId="10" xfId="13774" applyFont="1" applyFill="1" applyBorder="1" applyAlignment="1">
      <alignment horizontal="center"/>
    </xf>
    <xf numFmtId="0" fontId="203" fillId="0" borderId="11" xfId="13774" applyFont="1" applyFill="1" applyBorder="1" applyAlignment="1">
      <alignment horizontal="center"/>
    </xf>
    <xf numFmtId="0" fontId="203" fillId="0" borderId="12" xfId="13774" applyFont="1" applyFill="1" applyBorder="1" applyAlignment="1">
      <alignment horizontal="center"/>
    </xf>
    <xf numFmtId="0" fontId="203" fillId="0" borderId="13" xfId="13774" applyFont="1" applyFill="1" applyBorder="1" applyAlignment="1">
      <alignment horizontal="center"/>
    </xf>
    <xf numFmtId="0" fontId="203" fillId="0" borderId="18" xfId="13774" applyFont="1" applyFill="1" applyBorder="1" applyAlignment="1">
      <alignment horizontal="center"/>
    </xf>
    <xf numFmtId="0" fontId="203" fillId="0" borderId="19" xfId="13774" applyFont="1" applyFill="1" applyBorder="1" applyAlignment="1">
      <alignment horizontal="center"/>
    </xf>
    <xf numFmtId="0" fontId="203" fillId="0" borderId="21" xfId="13774" applyFont="1" applyFill="1" applyBorder="1" applyAlignment="1">
      <alignment horizontal="center"/>
    </xf>
    <xf numFmtId="0" fontId="203" fillId="0" borderId="10" xfId="13774" applyFont="1" applyFill="1" applyBorder="1" applyAlignment="1">
      <alignment horizontal="center"/>
    </xf>
    <xf numFmtId="0" fontId="203" fillId="0" borderId="14" xfId="13774" applyFont="1" applyFill="1" applyBorder="1" applyAlignment="1">
      <alignment horizontal="center"/>
    </xf>
    <xf numFmtId="0" fontId="203" fillId="0" borderId="6" xfId="13774" applyFont="1" applyFill="1" applyBorder="1" applyAlignment="1">
      <alignment horizontal="center"/>
    </xf>
    <xf numFmtId="0" fontId="203" fillId="0" borderId="25" xfId="13774" applyFont="1" applyFill="1" applyBorder="1" applyAlignment="1">
      <alignment horizontal="center"/>
    </xf>
    <xf numFmtId="0" fontId="203" fillId="0" borderId="24" xfId="13774" applyFont="1" applyFill="1" applyBorder="1" applyAlignment="1">
      <alignment horizontal="center"/>
    </xf>
    <xf numFmtId="0" fontId="203" fillId="0" borderId="9" xfId="13774" applyFont="1" applyFill="1" applyBorder="1" applyAlignment="1">
      <alignment horizontal="center"/>
    </xf>
    <xf numFmtId="0" fontId="203" fillId="3" borderId="10" xfId="13774" applyFont="1" applyFill="1" applyBorder="1" applyAlignment="1">
      <alignment horizontal="center"/>
    </xf>
    <xf numFmtId="0" fontId="203" fillId="0" borderId="11" xfId="13774" applyFont="1" applyFill="1" applyBorder="1" applyAlignment="1">
      <alignment horizontal="center"/>
    </xf>
    <xf numFmtId="0" fontId="203" fillId="0" borderId="12" xfId="13774" applyFont="1" applyFill="1" applyBorder="1" applyAlignment="1">
      <alignment horizontal="center"/>
    </xf>
    <xf numFmtId="0" fontId="203" fillId="0" borderId="13" xfId="13774" applyFont="1" applyFill="1" applyBorder="1" applyAlignment="1">
      <alignment horizontal="center"/>
    </xf>
    <xf numFmtId="0" fontId="203" fillId="0" borderId="18" xfId="13774" applyFont="1" applyFill="1" applyBorder="1" applyAlignment="1">
      <alignment horizontal="center"/>
    </xf>
    <xf numFmtId="0" fontId="203" fillId="0" borderId="19" xfId="13774" applyFont="1" applyFill="1" applyBorder="1" applyAlignment="1">
      <alignment horizontal="center"/>
    </xf>
    <xf numFmtId="0" fontId="203" fillId="0" borderId="21" xfId="13774" applyFont="1" applyFill="1" applyBorder="1" applyAlignment="1">
      <alignment horizontal="center"/>
    </xf>
    <xf numFmtId="43" fontId="252" fillId="5" borderId="27" xfId="3040" applyFont="1" applyFill="1" applyBorder="1" applyAlignment="1">
      <alignment vertical="center"/>
    </xf>
    <xf numFmtId="43" fontId="252" fillId="5" borderId="20" xfId="3040" applyFont="1" applyFill="1" applyBorder="1" applyAlignment="1">
      <alignment vertical="center"/>
    </xf>
    <xf numFmtId="0" fontId="0" fillId="0" borderId="6" xfId="0" applyBorder="1" applyAlignment="1">
      <alignment vertical="center"/>
    </xf>
    <xf numFmtId="43" fontId="252" fillId="5" borderId="27" xfId="3040" applyFont="1" applyFill="1" applyBorder="1" applyAlignment="1">
      <alignment horizontal="center" vertical="center"/>
    </xf>
    <xf numFmtId="43" fontId="252" fillId="5" borderId="20" xfId="304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3" fontId="244" fillId="5" borderId="27" xfId="3040" applyFont="1" applyFill="1" applyBorder="1" applyAlignment="1">
      <alignment horizontal="center" vertical="center"/>
    </xf>
    <xf numFmtId="43" fontId="244" fillId="5" borderId="20" xfId="3040" applyFont="1" applyFill="1" applyBorder="1" applyAlignment="1">
      <alignment horizontal="center" vertical="center"/>
    </xf>
    <xf numFmtId="43" fontId="220" fillId="5" borderId="27" xfId="3040" applyFont="1" applyFill="1" applyBorder="1" applyAlignment="1">
      <alignment vertical="center"/>
    </xf>
    <xf numFmtId="43" fontId="220" fillId="5" borderId="20" xfId="3040" applyFont="1" applyFill="1" applyBorder="1" applyAlignment="1">
      <alignment vertical="center"/>
    </xf>
    <xf numFmtId="10" fontId="252" fillId="5" borderId="27" xfId="3304" applyNumberFormat="1" applyFont="1" applyFill="1" applyBorder="1" applyAlignment="1">
      <alignment vertical="center"/>
    </xf>
    <xf numFmtId="10" fontId="252" fillId="5" borderId="20" xfId="3304" applyNumberFormat="1" applyFont="1" applyFill="1" applyBorder="1" applyAlignment="1">
      <alignment vertical="center"/>
    </xf>
    <xf numFmtId="0" fontId="229" fillId="0" borderId="27" xfId="0" applyFont="1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43" fontId="220" fillId="5" borderId="27" xfId="3040" applyFont="1" applyFill="1" applyBorder="1" applyAlignment="1">
      <alignment horizontal="center" vertical="center"/>
    </xf>
    <xf numFmtId="43" fontId="220" fillId="5" borderId="20" xfId="3040" applyFont="1" applyFill="1" applyBorder="1" applyAlignment="1">
      <alignment horizontal="center" vertical="center"/>
    </xf>
    <xf numFmtId="0" fontId="204" fillId="0" borderId="27" xfId="0" applyFont="1" applyFill="1" applyBorder="1" applyAlignment="1">
      <alignment horizontal="center" vertical="center"/>
    </xf>
    <xf numFmtId="0" fontId="204" fillId="0" borderId="20" xfId="0" applyFont="1" applyFill="1" applyBorder="1" applyAlignment="1">
      <alignment horizontal="center" vertical="center"/>
    </xf>
    <xf numFmtId="0" fontId="204" fillId="0" borderId="6" xfId="0" applyFont="1" applyFill="1" applyBorder="1" applyAlignment="1">
      <alignment horizontal="center" vertical="center"/>
    </xf>
    <xf numFmtId="0" fontId="215" fillId="0" borderId="20" xfId="0" applyFont="1" applyBorder="1" applyAlignment="1">
      <alignment horizontal="center" vertical="center"/>
    </xf>
    <xf numFmtId="0" fontId="215" fillId="0" borderId="6" xfId="0" applyFont="1" applyBorder="1" applyAlignment="1">
      <alignment horizontal="center" vertical="center"/>
    </xf>
    <xf numFmtId="0" fontId="235" fillId="0" borderId="27" xfId="0" applyFont="1" applyBorder="1" applyAlignment="1">
      <alignment horizontal="center" vertical="center"/>
    </xf>
    <xf numFmtId="0" fontId="235" fillId="0" borderId="20" xfId="0" applyFont="1" applyBorder="1" applyAlignment="1">
      <alignment horizontal="center" vertical="center"/>
    </xf>
    <xf numFmtId="0" fontId="235" fillId="0" borderId="6" xfId="0" applyFont="1" applyBorder="1" applyAlignment="1">
      <alignment horizontal="center" vertical="center"/>
    </xf>
    <xf numFmtId="0" fontId="215" fillId="0" borderId="27" xfId="0" applyFont="1" applyBorder="1" applyAlignment="1">
      <alignment horizontal="center" vertical="center"/>
    </xf>
    <xf numFmtId="0" fontId="230" fillId="0" borderId="1" xfId="0" applyFont="1" applyBorder="1" applyAlignment="1">
      <alignment horizontal="center" vertical="center"/>
    </xf>
    <xf numFmtId="0" fontId="215" fillId="0" borderId="27" xfId="0" applyFont="1" applyBorder="1" applyAlignment="1">
      <alignment vertical="center"/>
    </xf>
    <xf numFmtId="0" fontId="0" fillId="0" borderId="20" xfId="0" applyBorder="1" applyAlignment="1">
      <alignment vertical="center"/>
    </xf>
    <xf numFmtId="0" fontId="206" fillId="0" borderId="27" xfId="0" applyFont="1" applyBorder="1" applyAlignment="1">
      <alignment horizontal="center" vertical="center"/>
    </xf>
    <xf numFmtId="3" fontId="206" fillId="0" borderId="27" xfId="0" applyNumberFormat="1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3" fontId="305" fillId="0" borderId="27" xfId="0" applyNumberFormat="1" applyFont="1" applyBorder="1" applyAlignment="1">
      <alignment horizontal="center" vertical="center"/>
    </xf>
    <xf numFmtId="0" fontId="306" fillId="0" borderId="20" xfId="0" applyFont="1" applyBorder="1" applyAlignment="1">
      <alignment horizontal="center" vertical="center"/>
    </xf>
    <xf numFmtId="0" fontId="306" fillId="0" borderId="6" xfId="0" applyFont="1" applyBorder="1" applyAlignment="1">
      <alignment horizontal="center" vertical="center"/>
    </xf>
    <xf numFmtId="3" fontId="206" fillId="0" borderId="20" xfId="0" applyNumberFormat="1" applyFont="1" applyBorder="1" applyAlignment="1">
      <alignment horizontal="center" vertical="center"/>
    </xf>
    <xf numFmtId="3" fontId="206" fillId="0" borderId="6" xfId="0" applyNumberFormat="1" applyFont="1" applyBorder="1" applyAlignment="1">
      <alignment horizontal="center" vertical="center"/>
    </xf>
    <xf numFmtId="3" fontId="206" fillId="60" borderId="27" xfId="0" applyNumberFormat="1" applyFont="1" applyFill="1" applyBorder="1" applyAlignment="1">
      <alignment horizontal="center" vertical="center"/>
    </xf>
    <xf numFmtId="0" fontId="0" fillId="60" borderId="20" xfId="0" applyFont="1" applyFill="1" applyBorder="1" applyAlignment="1">
      <alignment horizontal="center" vertical="center"/>
    </xf>
    <xf numFmtId="0" fontId="0" fillId="60" borderId="6" xfId="0" applyFont="1" applyFill="1" applyBorder="1" applyAlignment="1">
      <alignment horizontal="center" vertical="center"/>
    </xf>
    <xf numFmtId="0" fontId="310" fillId="0" borderId="27" xfId="0" applyFont="1" applyFill="1" applyBorder="1" applyAlignment="1">
      <alignment horizontal="center" vertical="center"/>
    </xf>
    <xf numFmtId="0" fontId="311" fillId="0" borderId="20" xfId="0" applyFont="1" applyBorder="1" applyAlignment="1">
      <alignment horizontal="center" vertical="center"/>
    </xf>
    <xf numFmtId="0" fontId="311" fillId="0" borderId="6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53" xfId="0" applyBorder="1" applyAlignment="1">
      <alignment horizontal="center"/>
    </xf>
    <xf numFmtId="0" fontId="0" fillId="0" borderId="53" xfId="0" applyBorder="1" applyAlignment="1"/>
    <xf numFmtId="0" fontId="284" fillId="0" borderId="4" xfId="3048" applyBorder="1" applyAlignment="1">
      <alignment horizontal="center"/>
    </xf>
  </cellXfs>
  <cellStyles count="13777">
    <cellStyle name="20% - akcent 1" xfId="1" builtinId="30" customBuiltin="1"/>
    <cellStyle name="20% - akcent 1 10" xfId="2"/>
    <cellStyle name="20% - akcent 1 10 2" xfId="3"/>
    <cellStyle name="20% - akcent 1 10 2 2" xfId="3855"/>
    <cellStyle name="20% - akcent 1 10 2 2 2" xfId="10490"/>
    <cellStyle name="20% - akcent 1 10 2 3" xfId="7200"/>
    <cellStyle name="20% - akcent 1 10 3" xfId="3854"/>
    <cellStyle name="20% - akcent 1 10 3 2" xfId="10489"/>
    <cellStyle name="20% - akcent 1 10 4" xfId="7199"/>
    <cellStyle name="20% - akcent 1 100" xfId="4"/>
    <cellStyle name="20% - akcent 1 100 2" xfId="3856"/>
    <cellStyle name="20% - akcent 1 100 2 2" xfId="10491"/>
    <cellStyle name="20% - akcent 1 100 3" xfId="7201"/>
    <cellStyle name="20% - akcent 1 101" xfId="5"/>
    <cellStyle name="20% - akcent 1 101 2" xfId="3857"/>
    <cellStyle name="20% - akcent 1 101 2 2" xfId="10492"/>
    <cellStyle name="20% - akcent 1 101 3" xfId="7202"/>
    <cellStyle name="20% - akcent 1 102" xfId="6"/>
    <cellStyle name="20% - akcent 1 102 2" xfId="3858"/>
    <cellStyle name="20% - akcent 1 102 2 2" xfId="10493"/>
    <cellStyle name="20% - akcent 1 102 3" xfId="7203"/>
    <cellStyle name="20% - akcent 1 103" xfId="7"/>
    <cellStyle name="20% - akcent 1 103 2" xfId="3859"/>
    <cellStyle name="20% - akcent 1 103 2 2" xfId="10494"/>
    <cellStyle name="20% - akcent 1 103 3" xfId="7204"/>
    <cellStyle name="20% - akcent 1 104" xfId="8"/>
    <cellStyle name="20% - akcent 1 104 2" xfId="3860"/>
    <cellStyle name="20% - akcent 1 104 2 2" xfId="10495"/>
    <cellStyle name="20% - akcent 1 104 3" xfId="7205"/>
    <cellStyle name="20% - akcent 1 105" xfId="9"/>
    <cellStyle name="20% - akcent 1 105 2" xfId="3861"/>
    <cellStyle name="20% - akcent 1 105 2 2" xfId="10496"/>
    <cellStyle name="20% - akcent 1 105 3" xfId="7206"/>
    <cellStyle name="20% - akcent 1 106" xfId="10"/>
    <cellStyle name="20% - akcent 1 106 2" xfId="3862"/>
    <cellStyle name="20% - akcent 1 106 2 2" xfId="10497"/>
    <cellStyle name="20% - akcent 1 106 3" xfId="7207"/>
    <cellStyle name="20% - akcent 1 107" xfId="11"/>
    <cellStyle name="20% - akcent 1 107 2" xfId="3863"/>
    <cellStyle name="20% - akcent 1 107 2 2" xfId="10498"/>
    <cellStyle name="20% - akcent 1 107 3" xfId="7208"/>
    <cellStyle name="20% - akcent 1 108" xfId="12"/>
    <cellStyle name="20% - akcent 1 108 2" xfId="3864"/>
    <cellStyle name="20% - akcent 1 108 2 2" xfId="10499"/>
    <cellStyle name="20% - akcent 1 108 3" xfId="7209"/>
    <cellStyle name="20% - akcent 1 109" xfId="13"/>
    <cellStyle name="20% - akcent 1 109 2" xfId="3865"/>
    <cellStyle name="20% - akcent 1 109 2 2" xfId="10500"/>
    <cellStyle name="20% - akcent 1 109 3" xfId="7210"/>
    <cellStyle name="20% - akcent 1 11" xfId="14"/>
    <cellStyle name="20% - akcent 1 11 2" xfId="15"/>
    <cellStyle name="20% - akcent 1 11 2 2" xfId="3867"/>
    <cellStyle name="20% - akcent 1 11 2 2 2" xfId="10502"/>
    <cellStyle name="20% - akcent 1 11 2 3" xfId="7212"/>
    <cellStyle name="20% - akcent 1 11 3" xfId="3866"/>
    <cellStyle name="20% - akcent 1 11 3 2" xfId="10501"/>
    <cellStyle name="20% - akcent 1 11 4" xfId="7211"/>
    <cellStyle name="20% - akcent 1 110" xfId="16"/>
    <cellStyle name="20% - akcent 1 110 2" xfId="3868"/>
    <cellStyle name="20% - akcent 1 110 2 2" xfId="10503"/>
    <cellStyle name="20% - akcent 1 110 3" xfId="7213"/>
    <cellStyle name="20% - akcent 1 111" xfId="17"/>
    <cellStyle name="20% - akcent 1 111 2" xfId="3869"/>
    <cellStyle name="20% - akcent 1 111 2 2" xfId="10504"/>
    <cellStyle name="20% - akcent 1 111 3" xfId="7214"/>
    <cellStyle name="20% - akcent 1 112" xfId="18"/>
    <cellStyle name="20% - akcent 1 112 2" xfId="3870"/>
    <cellStyle name="20% - akcent 1 112 2 2" xfId="10505"/>
    <cellStyle name="20% - akcent 1 112 3" xfId="7215"/>
    <cellStyle name="20% - akcent 1 113" xfId="19"/>
    <cellStyle name="20% - akcent 1 113 2" xfId="3871"/>
    <cellStyle name="20% - akcent 1 113 2 2" xfId="10506"/>
    <cellStyle name="20% - akcent 1 113 3" xfId="7216"/>
    <cellStyle name="20% - akcent 1 114" xfId="20"/>
    <cellStyle name="20% - akcent 1 114 2" xfId="3872"/>
    <cellStyle name="20% - akcent 1 114 2 2" xfId="10507"/>
    <cellStyle name="20% - akcent 1 114 3" xfId="7217"/>
    <cellStyle name="20% - akcent 1 115" xfId="21"/>
    <cellStyle name="20% - akcent 1 115 2" xfId="3873"/>
    <cellStyle name="20% - akcent 1 115 2 2" xfId="10508"/>
    <cellStyle name="20% - akcent 1 115 3" xfId="7218"/>
    <cellStyle name="20% - akcent 1 116" xfId="22"/>
    <cellStyle name="20% - akcent 1 116 2" xfId="3874"/>
    <cellStyle name="20% - akcent 1 116 2 2" xfId="10509"/>
    <cellStyle name="20% - akcent 1 116 3" xfId="7219"/>
    <cellStyle name="20% - akcent 1 117" xfId="23"/>
    <cellStyle name="20% - akcent 1 117 2" xfId="3875"/>
    <cellStyle name="20% - akcent 1 117 2 2" xfId="10510"/>
    <cellStyle name="20% - akcent 1 117 3" xfId="7220"/>
    <cellStyle name="20% - akcent 1 118" xfId="24"/>
    <cellStyle name="20% - akcent 1 118 2" xfId="3876"/>
    <cellStyle name="20% - akcent 1 118 2 2" xfId="10511"/>
    <cellStyle name="20% - akcent 1 118 3" xfId="7221"/>
    <cellStyle name="20% - akcent 1 119" xfId="25"/>
    <cellStyle name="20% - akcent 1 119 2" xfId="3877"/>
    <cellStyle name="20% - akcent 1 119 2 2" xfId="10512"/>
    <cellStyle name="20% - akcent 1 119 3" xfId="7222"/>
    <cellStyle name="20% - akcent 1 12" xfId="26"/>
    <cellStyle name="20% - akcent 1 12 2" xfId="27"/>
    <cellStyle name="20% - akcent 1 12 2 2" xfId="3879"/>
    <cellStyle name="20% - akcent 1 12 2 2 2" xfId="10514"/>
    <cellStyle name="20% - akcent 1 12 2 3" xfId="7224"/>
    <cellStyle name="20% - akcent 1 12 3" xfId="3878"/>
    <cellStyle name="20% - akcent 1 12 3 2" xfId="10513"/>
    <cellStyle name="20% - akcent 1 12 4" xfId="7223"/>
    <cellStyle name="20% - akcent 1 120" xfId="28"/>
    <cellStyle name="20% - akcent 1 120 2" xfId="3880"/>
    <cellStyle name="20% - akcent 1 120 2 2" xfId="10515"/>
    <cellStyle name="20% - akcent 1 120 3" xfId="7225"/>
    <cellStyle name="20% - akcent 1 121" xfId="29"/>
    <cellStyle name="20% - akcent 1 121 2" xfId="3881"/>
    <cellStyle name="20% - akcent 1 121 2 2" xfId="10516"/>
    <cellStyle name="20% - akcent 1 121 3" xfId="7226"/>
    <cellStyle name="20% - akcent 1 122" xfId="30"/>
    <cellStyle name="20% - akcent 1 122 2" xfId="3882"/>
    <cellStyle name="20% - akcent 1 122 2 2" xfId="10517"/>
    <cellStyle name="20% - akcent 1 122 3" xfId="7227"/>
    <cellStyle name="20% - akcent 1 123" xfId="31"/>
    <cellStyle name="20% - akcent 1 123 2" xfId="3883"/>
    <cellStyle name="20% - akcent 1 123 2 2" xfId="10518"/>
    <cellStyle name="20% - akcent 1 123 3" xfId="7228"/>
    <cellStyle name="20% - akcent 1 124" xfId="32"/>
    <cellStyle name="20% - akcent 1 124 2" xfId="3884"/>
    <cellStyle name="20% - akcent 1 124 2 2" xfId="10519"/>
    <cellStyle name="20% - akcent 1 124 3" xfId="7229"/>
    <cellStyle name="20% - akcent 1 125" xfId="33"/>
    <cellStyle name="20% - akcent 1 125 2" xfId="3885"/>
    <cellStyle name="20% - akcent 1 125 2 2" xfId="10520"/>
    <cellStyle name="20% - akcent 1 125 3" xfId="7230"/>
    <cellStyle name="20% - akcent 1 126" xfId="34"/>
    <cellStyle name="20% - akcent 1 126 2" xfId="3886"/>
    <cellStyle name="20% - akcent 1 126 2 2" xfId="10521"/>
    <cellStyle name="20% - akcent 1 126 3" xfId="7231"/>
    <cellStyle name="20% - akcent 1 127" xfId="35"/>
    <cellStyle name="20% - akcent 1 127 2" xfId="3887"/>
    <cellStyle name="20% - akcent 1 127 2 2" xfId="10522"/>
    <cellStyle name="20% - akcent 1 127 3" xfId="7232"/>
    <cellStyle name="20% - akcent 1 128" xfId="36"/>
    <cellStyle name="20% - akcent 1 128 2" xfId="3888"/>
    <cellStyle name="20% - akcent 1 128 2 2" xfId="10523"/>
    <cellStyle name="20% - akcent 1 128 3" xfId="7233"/>
    <cellStyle name="20% - akcent 1 129" xfId="37"/>
    <cellStyle name="20% - akcent 1 129 2" xfId="3889"/>
    <cellStyle name="20% - akcent 1 129 2 2" xfId="10524"/>
    <cellStyle name="20% - akcent 1 129 3" xfId="7234"/>
    <cellStyle name="20% - akcent 1 13" xfId="38"/>
    <cellStyle name="20% - akcent 1 13 2" xfId="39"/>
    <cellStyle name="20% - akcent 1 13 2 2" xfId="3891"/>
    <cellStyle name="20% - akcent 1 13 2 2 2" xfId="10526"/>
    <cellStyle name="20% - akcent 1 13 2 3" xfId="7236"/>
    <cellStyle name="20% - akcent 1 13 3" xfId="3890"/>
    <cellStyle name="20% - akcent 1 13 3 2" xfId="10525"/>
    <cellStyle name="20% - akcent 1 13 4" xfId="7235"/>
    <cellStyle name="20% - akcent 1 130" xfId="40"/>
    <cellStyle name="20% - akcent 1 130 2" xfId="3892"/>
    <cellStyle name="20% - akcent 1 130 2 2" xfId="10527"/>
    <cellStyle name="20% - akcent 1 130 3" xfId="7237"/>
    <cellStyle name="20% - akcent 1 131" xfId="41"/>
    <cellStyle name="20% - akcent 1 131 2" xfId="3893"/>
    <cellStyle name="20% - akcent 1 131 2 2" xfId="10528"/>
    <cellStyle name="20% - akcent 1 131 3" xfId="7238"/>
    <cellStyle name="20% - akcent 1 132" xfId="42"/>
    <cellStyle name="20% - akcent 1 132 2" xfId="3894"/>
    <cellStyle name="20% - akcent 1 132 2 2" xfId="10529"/>
    <cellStyle name="20% - akcent 1 132 3" xfId="7239"/>
    <cellStyle name="20% - akcent 1 133" xfId="43"/>
    <cellStyle name="20% - akcent 1 133 2" xfId="3895"/>
    <cellStyle name="20% - akcent 1 133 2 2" xfId="10530"/>
    <cellStyle name="20% - akcent 1 133 3" xfId="7240"/>
    <cellStyle name="20% - akcent 1 134" xfId="44"/>
    <cellStyle name="20% - akcent 1 134 2" xfId="3896"/>
    <cellStyle name="20% - akcent 1 134 2 2" xfId="10531"/>
    <cellStyle name="20% - akcent 1 134 3" xfId="7241"/>
    <cellStyle name="20% - akcent 1 135" xfId="45"/>
    <cellStyle name="20% - akcent 1 135 2" xfId="3897"/>
    <cellStyle name="20% - akcent 1 135 2 2" xfId="10532"/>
    <cellStyle name="20% - akcent 1 135 3" xfId="7242"/>
    <cellStyle name="20% - akcent 1 136" xfId="46"/>
    <cellStyle name="20% - akcent 1 136 2" xfId="3898"/>
    <cellStyle name="20% - akcent 1 136 2 2" xfId="10533"/>
    <cellStyle name="20% - akcent 1 136 3" xfId="7243"/>
    <cellStyle name="20% - akcent 1 137" xfId="47"/>
    <cellStyle name="20% - akcent 1 137 2" xfId="3899"/>
    <cellStyle name="20% - akcent 1 137 2 2" xfId="10534"/>
    <cellStyle name="20% - akcent 1 137 3" xfId="7244"/>
    <cellStyle name="20% - akcent 1 138" xfId="48"/>
    <cellStyle name="20% - akcent 1 138 2" xfId="3900"/>
    <cellStyle name="20% - akcent 1 138 2 2" xfId="10535"/>
    <cellStyle name="20% - akcent 1 138 3" xfId="7245"/>
    <cellStyle name="20% - akcent 1 139" xfId="49"/>
    <cellStyle name="20% - akcent 1 139 2" xfId="3901"/>
    <cellStyle name="20% - akcent 1 139 2 2" xfId="10536"/>
    <cellStyle name="20% - akcent 1 139 3" xfId="7246"/>
    <cellStyle name="20% - akcent 1 14" xfId="50"/>
    <cellStyle name="20% - akcent 1 14 2" xfId="51"/>
    <cellStyle name="20% - akcent 1 14 2 2" xfId="3903"/>
    <cellStyle name="20% - akcent 1 14 2 2 2" xfId="10538"/>
    <cellStyle name="20% - akcent 1 14 2 3" xfId="7248"/>
    <cellStyle name="20% - akcent 1 14 3" xfId="3902"/>
    <cellStyle name="20% - akcent 1 14 3 2" xfId="10537"/>
    <cellStyle name="20% - akcent 1 14 4" xfId="7247"/>
    <cellStyle name="20% - akcent 1 140" xfId="52"/>
    <cellStyle name="20% - akcent 1 140 2" xfId="3904"/>
    <cellStyle name="20% - akcent 1 140 2 2" xfId="10539"/>
    <cellStyle name="20% - akcent 1 140 3" xfId="7249"/>
    <cellStyle name="20% - akcent 1 141" xfId="53"/>
    <cellStyle name="20% - akcent 1 141 2" xfId="3905"/>
    <cellStyle name="20% - akcent 1 141 2 2" xfId="10540"/>
    <cellStyle name="20% - akcent 1 141 3" xfId="7250"/>
    <cellStyle name="20% - akcent 1 142" xfId="54"/>
    <cellStyle name="20% - akcent 1 142 2" xfId="3906"/>
    <cellStyle name="20% - akcent 1 142 2 2" xfId="10541"/>
    <cellStyle name="20% - akcent 1 142 3" xfId="7251"/>
    <cellStyle name="20% - akcent 1 143" xfId="55"/>
    <cellStyle name="20% - akcent 1 143 2" xfId="3907"/>
    <cellStyle name="20% - akcent 1 143 2 2" xfId="10542"/>
    <cellStyle name="20% - akcent 1 143 3" xfId="7252"/>
    <cellStyle name="20% - akcent 1 144" xfId="56"/>
    <cellStyle name="20% - akcent 1 144 2" xfId="3908"/>
    <cellStyle name="20% - akcent 1 144 2 2" xfId="10543"/>
    <cellStyle name="20% - akcent 1 144 3" xfId="7253"/>
    <cellStyle name="20% - akcent 1 145" xfId="57"/>
    <cellStyle name="20% - akcent 1 145 2" xfId="3909"/>
    <cellStyle name="20% - akcent 1 145 2 2" xfId="10544"/>
    <cellStyle name="20% - akcent 1 145 3" xfId="7254"/>
    <cellStyle name="20% - akcent 1 146" xfId="58"/>
    <cellStyle name="20% - akcent 1 146 2" xfId="3910"/>
    <cellStyle name="20% - akcent 1 146 2 2" xfId="10545"/>
    <cellStyle name="20% - akcent 1 146 3" xfId="7255"/>
    <cellStyle name="20% - akcent 1 147" xfId="59"/>
    <cellStyle name="20% - akcent 1 147 2" xfId="3911"/>
    <cellStyle name="20% - akcent 1 147 2 2" xfId="10546"/>
    <cellStyle name="20% - akcent 1 147 3" xfId="7256"/>
    <cellStyle name="20% - akcent 1 148" xfId="60"/>
    <cellStyle name="20% - akcent 1 148 2" xfId="3912"/>
    <cellStyle name="20% - akcent 1 148 2 2" xfId="10547"/>
    <cellStyle name="20% - akcent 1 148 3" xfId="7257"/>
    <cellStyle name="20% - akcent 1 149" xfId="61"/>
    <cellStyle name="20% - akcent 1 149 2" xfId="3913"/>
    <cellStyle name="20% - akcent 1 149 2 2" xfId="10548"/>
    <cellStyle name="20% - akcent 1 149 3" xfId="7258"/>
    <cellStyle name="20% - akcent 1 15" xfId="62"/>
    <cellStyle name="20% - akcent 1 15 2" xfId="63"/>
    <cellStyle name="20% - akcent 1 15 2 2" xfId="3915"/>
    <cellStyle name="20% - akcent 1 15 2 2 2" xfId="10550"/>
    <cellStyle name="20% - akcent 1 15 2 3" xfId="7260"/>
    <cellStyle name="20% - akcent 1 15 3" xfId="3914"/>
    <cellStyle name="20% - akcent 1 15 3 2" xfId="10549"/>
    <cellStyle name="20% - akcent 1 15 4" xfId="7259"/>
    <cellStyle name="20% - akcent 1 150" xfId="64"/>
    <cellStyle name="20% - akcent 1 150 2" xfId="3916"/>
    <cellStyle name="20% - akcent 1 150 2 2" xfId="10551"/>
    <cellStyle name="20% - akcent 1 150 3" xfId="7261"/>
    <cellStyle name="20% - akcent 1 151" xfId="65"/>
    <cellStyle name="20% - akcent 1 151 2" xfId="3917"/>
    <cellStyle name="20% - akcent 1 151 2 2" xfId="10552"/>
    <cellStyle name="20% - akcent 1 151 3" xfId="7262"/>
    <cellStyle name="20% - akcent 1 152" xfId="66"/>
    <cellStyle name="20% - akcent 1 152 2" xfId="3918"/>
    <cellStyle name="20% - akcent 1 152 2 2" xfId="10553"/>
    <cellStyle name="20% - akcent 1 152 3" xfId="7263"/>
    <cellStyle name="20% - akcent 1 153" xfId="67"/>
    <cellStyle name="20% - akcent 1 153 2" xfId="3919"/>
    <cellStyle name="20% - akcent 1 153 2 2" xfId="10554"/>
    <cellStyle name="20% - akcent 1 153 3" xfId="7264"/>
    <cellStyle name="20% - akcent 1 154" xfId="68"/>
    <cellStyle name="20% - akcent 1 154 2" xfId="3920"/>
    <cellStyle name="20% - akcent 1 154 2 2" xfId="10555"/>
    <cellStyle name="20% - akcent 1 154 3" xfId="7265"/>
    <cellStyle name="20% - akcent 1 155" xfId="69"/>
    <cellStyle name="20% - akcent 1 155 2" xfId="3921"/>
    <cellStyle name="20% - akcent 1 155 2 2" xfId="10556"/>
    <cellStyle name="20% - akcent 1 155 3" xfId="7266"/>
    <cellStyle name="20% - akcent 1 156" xfId="70"/>
    <cellStyle name="20% - akcent 1 156 2" xfId="3922"/>
    <cellStyle name="20% - akcent 1 156 2 2" xfId="10557"/>
    <cellStyle name="20% - akcent 1 156 3" xfId="7267"/>
    <cellStyle name="20% - akcent 1 157" xfId="71"/>
    <cellStyle name="20% - akcent 1 157 2" xfId="3923"/>
    <cellStyle name="20% - akcent 1 157 2 2" xfId="10558"/>
    <cellStyle name="20% - akcent 1 157 3" xfId="7268"/>
    <cellStyle name="20% - akcent 1 158" xfId="72"/>
    <cellStyle name="20% - akcent 1 158 2" xfId="3924"/>
    <cellStyle name="20% - akcent 1 158 2 2" xfId="10559"/>
    <cellStyle name="20% - akcent 1 158 3" xfId="7269"/>
    <cellStyle name="20% - akcent 1 159" xfId="73"/>
    <cellStyle name="20% - akcent 1 159 2" xfId="3925"/>
    <cellStyle name="20% - akcent 1 159 2 2" xfId="10560"/>
    <cellStyle name="20% - akcent 1 159 3" xfId="7270"/>
    <cellStyle name="20% - akcent 1 16" xfId="74"/>
    <cellStyle name="20% - akcent 1 16 2" xfId="75"/>
    <cellStyle name="20% - akcent 1 16 2 2" xfId="3927"/>
    <cellStyle name="20% - akcent 1 16 2 2 2" xfId="10562"/>
    <cellStyle name="20% - akcent 1 16 2 3" xfId="7272"/>
    <cellStyle name="20% - akcent 1 16 3" xfId="3926"/>
    <cellStyle name="20% - akcent 1 16 3 2" xfId="10561"/>
    <cellStyle name="20% - akcent 1 16 4" xfId="7271"/>
    <cellStyle name="20% - akcent 1 160" xfId="76"/>
    <cellStyle name="20% - akcent 1 160 2" xfId="3928"/>
    <cellStyle name="20% - akcent 1 160 2 2" xfId="10563"/>
    <cellStyle name="20% - akcent 1 160 3" xfId="7273"/>
    <cellStyle name="20% - akcent 1 161" xfId="77"/>
    <cellStyle name="20% - akcent 1 161 2" xfId="3929"/>
    <cellStyle name="20% - akcent 1 161 2 2" xfId="10564"/>
    <cellStyle name="20% - akcent 1 161 3" xfId="7274"/>
    <cellStyle name="20% - akcent 1 162" xfId="78"/>
    <cellStyle name="20% - akcent 1 162 2" xfId="3930"/>
    <cellStyle name="20% - akcent 1 162 2 2" xfId="10565"/>
    <cellStyle name="20% - akcent 1 162 3" xfId="7275"/>
    <cellStyle name="20% - akcent 1 163" xfId="79"/>
    <cellStyle name="20% - akcent 1 163 2" xfId="3931"/>
    <cellStyle name="20% - akcent 1 163 2 2" xfId="10566"/>
    <cellStyle name="20% - akcent 1 163 3" xfId="7276"/>
    <cellStyle name="20% - akcent 1 164" xfId="80"/>
    <cellStyle name="20% - akcent 1 164 2" xfId="3932"/>
    <cellStyle name="20% - akcent 1 164 2 2" xfId="10567"/>
    <cellStyle name="20% - akcent 1 164 3" xfId="7277"/>
    <cellStyle name="20% - akcent 1 165" xfId="81"/>
    <cellStyle name="20% - akcent 1 165 2" xfId="3933"/>
    <cellStyle name="20% - akcent 1 165 2 2" xfId="10568"/>
    <cellStyle name="20% - akcent 1 165 3" xfId="7278"/>
    <cellStyle name="20% - akcent 1 166" xfId="82"/>
    <cellStyle name="20% - akcent 1 166 2" xfId="3934"/>
    <cellStyle name="20% - akcent 1 166 2 2" xfId="10569"/>
    <cellStyle name="20% - akcent 1 166 3" xfId="7279"/>
    <cellStyle name="20% - akcent 1 167" xfId="83"/>
    <cellStyle name="20% - akcent 1 167 2" xfId="3935"/>
    <cellStyle name="20% - akcent 1 167 2 2" xfId="10570"/>
    <cellStyle name="20% - akcent 1 167 3" xfId="7280"/>
    <cellStyle name="20% - akcent 1 168" xfId="84"/>
    <cellStyle name="20% - akcent 1 168 2" xfId="3936"/>
    <cellStyle name="20% - akcent 1 168 2 2" xfId="10571"/>
    <cellStyle name="20% - akcent 1 168 3" xfId="7281"/>
    <cellStyle name="20% - akcent 1 169" xfId="85"/>
    <cellStyle name="20% - akcent 1 169 2" xfId="3937"/>
    <cellStyle name="20% - akcent 1 169 2 2" xfId="10572"/>
    <cellStyle name="20% - akcent 1 169 3" xfId="7282"/>
    <cellStyle name="20% - akcent 1 17" xfId="86"/>
    <cellStyle name="20% - akcent 1 17 2" xfId="87"/>
    <cellStyle name="20% - akcent 1 17 2 2" xfId="3939"/>
    <cellStyle name="20% - akcent 1 17 2 2 2" xfId="10574"/>
    <cellStyle name="20% - akcent 1 17 2 3" xfId="7284"/>
    <cellStyle name="20% - akcent 1 17 3" xfId="3938"/>
    <cellStyle name="20% - akcent 1 17 3 2" xfId="10573"/>
    <cellStyle name="20% - akcent 1 17 4" xfId="7283"/>
    <cellStyle name="20% - akcent 1 170" xfId="88"/>
    <cellStyle name="20% - akcent 1 170 2" xfId="3940"/>
    <cellStyle name="20% - akcent 1 170 2 2" xfId="10575"/>
    <cellStyle name="20% - akcent 1 170 3" xfId="7285"/>
    <cellStyle name="20% - akcent 1 171" xfId="89"/>
    <cellStyle name="20% - akcent 1 171 2" xfId="3941"/>
    <cellStyle name="20% - akcent 1 171 2 2" xfId="10576"/>
    <cellStyle name="20% - akcent 1 171 3" xfId="7286"/>
    <cellStyle name="20% - akcent 1 172" xfId="90"/>
    <cellStyle name="20% - akcent 1 172 2" xfId="3942"/>
    <cellStyle name="20% - akcent 1 172 2 2" xfId="10577"/>
    <cellStyle name="20% - akcent 1 172 3" xfId="7287"/>
    <cellStyle name="20% - akcent 1 173" xfId="91"/>
    <cellStyle name="20% - akcent 1 173 2" xfId="3943"/>
    <cellStyle name="20% - akcent 1 173 2 2" xfId="10578"/>
    <cellStyle name="20% - akcent 1 173 3" xfId="7288"/>
    <cellStyle name="20% - akcent 1 174" xfId="92"/>
    <cellStyle name="20% - akcent 1 174 2" xfId="3944"/>
    <cellStyle name="20% - akcent 1 174 2 2" xfId="10579"/>
    <cellStyle name="20% - akcent 1 174 3" xfId="7289"/>
    <cellStyle name="20% - akcent 1 175" xfId="93"/>
    <cellStyle name="20% - akcent 1 175 2" xfId="3945"/>
    <cellStyle name="20% - akcent 1 175 2 2" xfId="10580"/>
    <cellStyle name="20% - akcent 1 175 3" xfId="7290"/>
    <cellStyle name="20% - akcent 1 176" xfId="94"/>
    <cellStyle name="20% - akcent 1 176 2" xfId="3946"/>
    <cellStyle name="20% - akcent 1 176 2 2" xfId="10581"/>
    <cellStyle name="20% - akcent 1 176 3" xfId="7291"/>
    <cellStyle name="20% - akcent 1 177" xfId="95"/>
    <cellStyle name="20% - akcent 1 177 2" xfId="3947"/>
    <cellStyle name="20% - akcent 1 177 2 2" xfId="10582"/>
    <cellStyle name="20% - akcent 1 177 3" xfId="7292"/>
    <cellStyle name="20% - akcent 1 178" xfId="96"/>
    <cellStyle name="20% - akcent 1 178 2" xfId="3948"/>
    <cellStyle name="20% - akcent 1 178 2 2" xfId="10583"/>
    <cellStyle name="20% - akcent 1 178 3" xfId="7293"/>
    <cellStyle name="20% - akcent 1 179" xfId="97"/>
    <cellStyle name="20% - akcent 1 179 2" xfId="3949"/>
    <cellStyle name="20% - akcent 1 179 2 2" xfId="10584"/>
    <cellStyle name="20% - akcent 1 179 3" xfId="7294"/>
    <cellStyle name="20% - akcent 1 18" xfId="98"/>
    <cellStyle name="20% - akcent 1 18 2" xfId="99"/>
    <cellStyle name="20% - akcent 1 18 2 2" xfId="3951"/>
    <cellStyle name="20% - akcent 1 18 2 2 2" xfId="10586"/>
    <cellStyle name="20% - akcent 1 18 2 3" xfId="7296"/>
    <cellStyle name="20% - akcent 1 18 3" xfId="3950"/>
    <cellStyle name="20% - akcent 1 18 3 2" xfId="10585"/>
    <cellStyle name="20% - akcent 1 18 4" xfId="7295"/>
    <cellStyle name="20% - akcent 1 180" xfId="100"/>
    <cellStyle name="20% - akcent 1 180 2" xfId="3952"/>
    <cellStyle name="20% - akcent 1 180 2 2" xfId="10587"/>
    <cellStyle name="20% - akcent 1 180 3" xfId="7297"/>
    <cellStyle name="20% - akcent 1 181" xfId="101"/>
    <cellStyle name="20% - akcent 1 181 2" xfId="3953"/>
    <cellStyle name="20% - akcent 1 181 2 2" xfId="10588"/>
    <cellStyle name="20% - akcent 1 181 3" xfId="7298"/>
    <cellStyle name="20% - akcent 1 182" xfId="102"/>
    <cellStyle name="20% - akcent 1 182 2" xfId="3954"/>
    <cellStyle name="20% - akcent 1 182 2 2" xfId="10589"/>
    <cellStyle name="20% - akcent 1 182 3" xfId="7299"/>
    <cellStyle name="20% - akcent 1 183" xfId="103"/>
    <cellStyle name="20% - akcent 1 183 2" xfId="3955"/>
    <cellStyle name="20% - akcent 1 183 2 2" xfId="10590"/>
    <cellStyle name="20% - akcent 1 183 3" xfId="7300"/>
    <cellStyle name="20% - akcent 1 184" xfId="104"/>
    <cellStyle name="20% - akcent 1 184 2" xfId="3956"/>
    <cellStyle name="20% - akcent 1 184 2 2" xfId="10591"/>
    <cellStyle name="20% - akcent 1 184 3" xfId="7301"/>
    <cellStyle name="20% - akcent 1 185" xfId="105"/>
    <cellStyle name="20% - akcent 1 185 2" xfId="3957"/>
    <cellStyle name="20% - akcent 1 185 2 2" xfId="10592"/>
    <cellStyle name="20% - akcent 1 185 3" xfId="7302"/>
    <cellStyle name="20% - akcent 1 186" xfId="106"/>
    <cellStyle name="20% - akcent 1 186 2" xfId="3958"/>
    <cellStyle name="20% - akcent 1 186 2 2" xfId="10593"/>
    <cellStyle name="20% - akcent 1 186 3" xfId="7303"/>
    <cellStyle name="20% - akcent 1 187" xfId="107"/>
    <cellStyle name="20% - akcent 1 187 2" xfId="3959"/>
    <cellStyle name="20% - akcent 1 187 2 2" xfId="10594"/>
    <cellStyle name="20% - akcent 1 187 3" xfId="7304"/>
    <cellStyle name="20% - akcent 1 188" xfId="108"/>
    <cellStyle name="20% - akcent 1 188 2" xfId="3960"/>
    <cellStyle name="20% - akcent 1 188 2 2" xfId="10595"/>
    <cellStyle name="20% - akcent 1 188 3" xfId="7305"/>
    <cellStyle name="20% - akcent 1 189" xfId="109"/>
    <cellStyle name="20% - akcent 1 189 2" xfId="3961"/>
    <cellStyle name="20% - akcent 1 189 2 2" xfId="10596"/>
    <cellStyle name="20% - akcent 1 189 3" xfId="7306"/>
    <cellStyle name="20% - akcent 1 19" xfId="110"/>
    <cellStyle name="20% - akcent 1 19 2" xfId="111"/>
    <cellStyle name="20% - akcent 1 19 2 2" xfId="3963"/>
    <cellStyle name="20% - akcent 1 19 2 2 2" xfId="10598"/>
    <cellStyle name="20% - akcent 1 19 2 3" xfId="7308"/>
    <cellStyle name="20% - akcent 1 19 3" xfId="3962"/>
    <cellStyle name="20% - akcent 1 19 3 2" xfId="10597"/>
    <cellStyle name="20% - akcent 1 19 4" xfId="7307"/>
    <cellStyle name="20% - akcent 1 190" xfId="112"/>
    <cellStyle name="20% - akcent 1 190 2" xfId="3964"/>
    <cellStyle name="20% - akcent 1 190 2 2" xfId="10599"/>
    <cellStyle name="20% - akcent 1 190 3" xfId="7309"/>
    <cellStyle name="20% - akcent 1 191" xfId="113"/>
    <cellStyle name="20% - akcent 1 191 2" xfId="3965"/>
    <cellStyle name="20% - akcent 1 191 2 2" xfId="10600"/>
    <cellStyle name="20% - akcent 1 191 3" xfId="7310"/>
    <cellStyle name="20% - akcent 1 192" xfId="114"/>
    <cellStyle name="20% - akcent 1 192 2" xfId="3966"/>
    <cellStyle name="20% - akcent 1 192 2 2" xfId="10601"/>
    <cellStyle name="20% - akcent 1 192 3" xfId="7311"/>
    <cellStyle name="20% - akcent 1 193" xfId="115"/>
    <cellStyle name="20% - akcent 1 193 2" xfId="3967"/>
    <cellStyle name="20% - akcent 1 193 2 2" xfId="10602"/>
    <cellStyle name="20% - akcent 1 193 3" xfId="7312"/>
    <cellStyle name="20% - akcent 1 194" xfId="116"/>
    <cellStyle name="20% - akcent 1 194 2" xfId="3968"/>
    <cellStyle name="20% - akcent 1 194 2 2" xfId="10603"/>
    <cellStyle name="20% - akcent 1 194 3" xfId="7313"/>
    <cellStyle name="20% - akcent 1 195" xfId="3837"/>
    <cellStyle name="20% - akcent 1 195 2" xfId="10472"/>
    <cellStyle name="20% - akcent 1 196" xfId="7117"/>
    <cellStyle name="20% - akcent 1 197" xfId="7186"/>
    <cellStyle name="20% - akcent 1 2" xfId="117"/>
    <cellStyle name="20% - akcent 1 2 2" xfId="118"/>
    <cellStyle name="20% - akcent 1 2 2 2" xfId="3970"/>
    <cellStyle name="20% - akcent 1 2 2 2 2" xfId="10605"/>
    <cellStyle name="20% - akcent 1 2 2 3" xfId="7315"/>
    <cellStyle name="20% - akcent 1 2 3" xfId="3969"/>
    <cellStyle name="20% - akcent 1 2 3 2" xfId="10604"/>
    <cellStyle name="20% - akcent 1 2 4" xfId="7314"/>
    <cellStyle name="20% - akcent 1 20" xfId="119"/>
    <cellStyle name="20% - akcent 1 20 2" xfId="120"/>
    <cellStyle name="20% - akcent 1 20 2 2" xfId="3972"/>
    <cellStyle name="20% - akcent 1 20 2 2 2" xfId="10607"/>
    <cellStyle name="20% - akcent 1 20 2 3" xfId="7317"/>
    <cellStyle name="20% - akcent 1 20 3" xfId="3971"/>
    <cellStyle name="20% - akcent 1 20 3 2" xfId="10606"/>
    <cellStyle name="20% - akcent 1 20 4" xfId="7316"/>
    <cellStyle name="20% - akcent 1 21" xfId="121"/>
    <cellStyle name="20% - akcent 1 21 2" xfId="122"/>
    <cellStyle name="20% - akcent 1 21 2 2" xfId="3974"/>
    <cellStyle name="20% - akcent 1 21 2 2 2" xfId="10609"/>
    <cellStyle name="20% - akcent 1 21 2 3" xfId="7319"/>
    <cellStyle name="20% - akcent 1 21 3" xfId="3973"/>
    <cellStyle name="20% - akcent 1 21 3 2" xfId="10608"/>
    <cellStyle name="20% - akcent 1 21 4" xfId="7318"/>
    <cellStyle name="20% - akcent 1 22" xfId="123"/>
    <cellStyle name="20% - akcent 1 22 2" xfId="124"/>
    <cellStyle name="20% - akcent 1 22 2 2" xfId="3976"/>
    <cellStyle name="20% - akcent 1 22 2 2 2" xfId="10611"/>
    <cellStyle name="20% - akcent 1 22 2 3" xfId="7321"/>
    <cellStyle name="20% - akcent 1 22 3" xfId="3975"/>
    <cellStyle name="20% - akcent 1 22 3 2" xfId="10610"/>
    <cellStyle name="20% - akcent 1 22 4" xfId="7320"/>
    <cellStyle name="20% - akcent 1 23" xfId="125"/>
    <cellStyle name="20% - akcent 1 23 2" xfId="126"/>
    <cellStyle name="20% - akcent 1 23 2 2" xfId="3978"/>
    <cellStyle name="20% - akcent 1 23 2 2 2" xfId="10613"/>
    <cellStyle name="20% - akcent 1 23 2 3" xfId="7323"/>
    <cellStyle name="20% - akcent 1 23 3" xfId="3977"/>
    <cellStyle name="20% - akcent 1 23 3 2" xfId="10612"/>
    <cellStyle name="20% - akcent 1 23 4" xfId="7322"/>
    <cellStyle name="20% - akcent 1 24" xfId="127"/>
    <cellStyle name="20% - akcent 1 24 2" xfId="128"/>
    <cellStyle name="20% - akcent 1 24 2 2" xfId="3980"/>
    <cellStyle name="20% - akcent 1 24 2 2 2" xfId="10615"/>
    <cellStyle name="20% - akcent 1 24 2 3" xfId="7325"/>
    <cellStyle name="20% - akcent 1 24 3" xfId="3979"/>
    <cellStyle name="20% - akcent 1 24 3 2" xfId="10614"/>
    <cellStyle name="20% - akcent 1 24 4" xfId="7324"/>
    <cellStyle name="20% - akcent 1 25" xfId="129"/>
    <cellStyle name="20% - akcent 1 25 2" xfId="130"/>
    <cellStyle name="20% - akcent 1 25 2 2" xfId="3982"/>
    <cellStyle name="20% - akcent 1 25 2 2 2" xfId="10617"/>
    <cellStyle name="20% - akcent 1 25 2 3" xfId="7327"/>
    <cellStyle name="20% - akcent 1 25 3" xfId="3981"/>
    <cellStyle name="20% - akcent 1 25 3 2" xfId="10616"/>
    <cellStyle name="20% - akcent 1 25 4" xfId="7326"/>
    <cellStyle name="20% - akcent 1 26" xfId="131"/>
    <cellStyle name="20% - akcent 1 26 2" xfId="132"/>
    <cellStyle name="20% - akcent 1 26 2 2" xfId="3984"/>
    <cellStyle name="20% - akcent 1 26 2 2 2" xfId="10619"/>
    <cellStyle name="20% - akcent 1 26 2 3" xfId="7329"/>
    <cellStyle name="20% - akcent 1 26 3" xfId="3983"/>
    <cellStyle name="20% - akcent 1 26 3 2" xfId="10618"/>
    <cellStyle name="20% - akcent 1 26 4" xfId="7328"/>
    <cellStyle name="20% - akcent 1 27" xfId="133"/>
    <cellStyle name="20% - akcent 1 27 2" xfId="134"/>
    <cellStyle name="20% - akcent 1 27 2 2" xfId="3986"/>
    <cellStyle name="20% - akcent 1 27 2 2 2" xfId="10621"/>
    <cellStyle name="20% - akcent 1 27 2 3" xfId="7331"/>
    <cellStyle name="20% - akcent 1 27 3" xfId="3985"/>
    <cellStyle name="20% - akcent 1 27 3 2" xfId="10620"/>
    <cellStyle name="20% - akcent 1 27 4" xfId="7330"/>
    <cellStyle name="20% - akcent 1 28" xfId="135"/>
    <cellStyle name="20% - akcent 1 28 2" xfId="136"/>
    <cellStyle name="20% - akcent 1 28 2 2" xfId="3988"/>
    <cellStyle name="20% - akcent 1 28 2 2 2" xfId="10623"/>
    <cellStyle name="20% - akcent 1 28 2 3" xfId="7333"/>
    <cellStyle name="20% - akcent 1 28 3" xfId="3987"/>
    <cellStyle name="20% - akcent 1 28 3 2" xfId="10622"/>
    <cellStyle name="20% - akcent 1 28 4" xfId="7332"/>
    <cellStyle name="20% - akcent 1 29" xfId="137"/>
    <cellStyle name="20% - akcent 1 29 2" xfId="138"/>
    <cellStyle name="20% - akcent 1 29 2 2" xfId="3990"/>
    <cellStyle name="20% - akcent 1 29 2 2 2" xfId="10625"/>
    <cellStyle name="20% - akcent 1 29 2 3" xfId="7335"/>
    <cellStyle name="20% - akcent 1 29 3" xfId="3989"/>
    <cellStyle name="20% - akcent 1 29 3 2" xfId="10624"/>
    <cellStyle name="20% - akcent 1 29 4" xfId="7334"/>
    <cellStyle name="20% - akcent 1 3" xfId="139"/>
    <cellStyle name="20% - akcent 1 3 2" xfId="140"/>
    <cellStyle name="20% - akcent 1 3 2 2" xfId="3992"/>
    <cellStyle name="20% - akcent 1 3 2 2 2" xfId="10627"/>
    <cellStyle name="20% - akcent 1 3 2 3" xfId="7337"/>
    <cellStyle name="20% - akcent 1 3 3" xfId="3991"/>
    <cellStyle name="20% - akcent 1 3 3 2" xfId="10626"/>
    <cellStyle name="20% - akcent 1 3 4" xfId="7336"/>
    <cellStyle name="20% - akcent 1 30" xfId="141"/>
    <cellStyle name="20% - akcent 1 30 2" xfId="142"/>
    <cellStyle name="20% - akcent 1 30 2 2" xfId="3994"/>
    <cellStyle name="20% - akcent 1 30 2 2 2" xfId="10629"/>
    <cellStyle name="20% - akcent 1 30 2 3" xfId="7339"/>
    <cellStyle name="20% - akcent 1 30 3" xfId="3993"/>
    <cellStyle name="20% - akcent 1 30 3 2" xfId="10628"/>
    <cellStyle name="20% - akcent 1 30 4" xfId="7338"/>
    <cellStyle name="20% - akcent 1 31" xfId="143"/>
    <cellStyle name="20% - akcent 1 31 2" xfId="144"/>
    <cellStyle name="20% - akcent 1 31 2 2" xfId="3996"/>
    <cellStyle name="20% - akcent 1 31 2 2 2" xfId="10631"/>
    <cellStyle name="20% - akcent 1 31 2 3" xfId="7341"/>
    <cellStyle name="20% - akcent 1 31 3" xfId="3995"/>
    <cellStyle name="20% - akcent 1 31 3 2" xfId="10630"/>
    <cellStyle name="20% - akcent 1 31 4" xfId="7340"/>
    <cellStyle name="20% - akcent 1 32" xfId="145"/>
    <cellStyle name="20% - akcent 1 32 2" xfId="146"/>
    <cellStyle name="20% - akcent 1 32 2 2" xfId="3998"/>
    <cellStyle name="20% - akcent 1 32 2 2 2" xfId="10633"/>
    <cellStyle name="20% - akcent 1 32 2 3" xfId="7343"/>
    <cellStyle name="20% - akcent 1 32 3" xfId="3997"/>
    <cellStyle name="20% - akcent 1 32 3 2" xfId="10632"/>
    <cellStyle name="20% - akcent 1 32 4" xfId="7342"/>
    <cellStyle name="20% - akcent 1 33" xfId="147"/>
    <cellStyle name="20% - akcent 1 33 2" xfId="148"/>
    <cellStyle name="20% - akcent 1 33 2 2" xfId="4000"/>
    <cellStyle name="20% - akcent 1 33 2 2 2" xfId="10635"/>
    <cellStyle name="20% - akcent 1 33 2 3" xfId="7345"/>
    <cellStyle name="20% - akcent 1 33 3" xfId="3999"/>
    <cellStyle name="20% - akcent 1 33 3 2" xfId="10634"/>
    <cellStyle name="20% - akcent 1 33 4" xfId="7344"/>
    <cellStyle name="20% - akcent 1 34" xfId="149"/>
    <cellStyle name="20% - akcent 1 34 2" xfId="150"/>
    <cellStyle name="20% - akcent 1 34 2 2" xfId="4002"/>
    <cellStyle name="20% - akcent 1 34 2 2 2" xfId="10637"/>
    <cellStyle name="20% - akcent 1 34 2 3" xfId="7347"/>
    <cellStyle name="20% - akcent 1 34 3" xfId="4001"/>
    <cellStyle name="20% - akcent 1 34 3 2" xfId="10636"/>
    <cellStyle name="20% - akcent 1 34 4" xfId="7346"/>
    <cellStyle name="20% - akcent 1 35" xfId="151"/>
    <cellStyle name="20% - akcent 1 35 2" xfId="152"/>
    <cellStyle name="20% - akcent 1 35 2 2" xfId="4004"/>
    <cellStyle name="20% - akcent 1 35 2 2 2" xfId="10639"/>
    <cellStyle name="20% - akcent 1 35 2 3" xfId="7349"/>
    <cellStyle name="20% - akcent 1 35 3" xfId="4003"/>
    <cellStyle name="20% - akcent 1 35 3 2" xfId="10638"/>
    <cellStyle name="20% - akcent 1 35 4" xfId="7348"/>
    <cellStyle name="20% - akcent 1 36" xfId="153"/>
    <cellStyle name="20% - akcent 1 36 2" xfId="154"/>
    <cellStyle name="20% - akcent 1 36 2 2" xfId="4006"/>
    <cellStyle name="20% - akcent 1 36 2 2 2" xfId="10641"/>
    <cellStyle name="20% - akcent 1 36 2 3" xfId="7351"/>
    <cellStyle name="20% - akcent 1 36 3" xfId="4005"/>
    <cellStyle name="20% - akcent 1 36 3 2" xfId="10640"/>
    <cellStyle name="20% - akcent 1 36 4" xfId="7350"/>
    <cellStyle name="20% - akcent 1 37" xfId="155"/>
    <cellStyle name="20% - akcent 1 37 2" xfId="156"/>
    <cellStyle name="20% - akcent 1 37 2 2" xfId="4008"/>
    <cellStyle name="20% - akcent 1 37 2 2 2" xfId="10643"/>
    <cellStyle name="20% - akcent 1 37 2 3" xfId="7353"/>
    <cellStyle name="20% - akcent 1 37 3" xfId="4007"/>
    <cellStyle name="20% - akcent 1 37 3 2" xfId="10642"/>
    <cellStyle name="20% - akcent 1 37 4" xfId="7352"/>
    <cellStyle name="20% - akcent 1 38" xfId="157"/>
    <cellStyle name="20% - akcent 1 38 2" xfId="158"/>
    <cellStyle name="20% - akcent 1 38 2 2" xfId="4010"/>
    <cellStyle name="20% - akcent 1 38 2 2 2" xfId="10645"/>
    <cellStyle name="20% - akcent 1 38 2 3" xfId="7355"/>
    <cellStyle name="20% - akcent 1 38 3" xfId="4009"/>
    <cellStyle name="20% - akcent 1 38 3 2" xfId="10644"/>
    <cellStyle name="20% - akcent 1 38 4" xfId="7354"/>
    <cellStyle name="20% - akcent 1 39" xfId="159"/>
    <cellStyle name="20% - akcent 1 39 2" xfId="160"/>
    <cellStyle name="20% - akcent 1 39 2 2" xfId="4012"/>
    <cellStyle name="20% - akcent 1 39 2 2 2" xfId="10647"/>
    <cellStyle name="20% - akcent 1 39 2 3" xfId="7357"/>
    <cellStyle name="20% - akcent 1 39 3" xfId="4011"/>
    <cellStyle name="20% - akcent 1 39 3 2" xfId="10646"/>
    <cellStyle name="20% - akcent 1 39 4" xfId="7356"/>
    <cellStyle name="20% - akcent 1 4" xfId="161"/>
    <cellStyle name="20% - akcent 1 4 2" xfId="162"/>
    <cellStyle name="20% - akcent 1 4 2 2" xfId="4014"/>
    <cellStyle name="20% - akcent 1 4 2 2 2" xfId="10649"/>
    <cellStyle name="20% - akcent 1 4 2 3" xfId="7359"/>
    <cellStyle name="20% - akcent 1 4 3" xfId="4013"/>
    <cellStyle name="20% - akcent 1 4 3 2" xfId="10648"/>
    <cellStyle name="20% - akcent 1 4 4" xfId="7358"/>
    <cellStyle name="20% - akcent 1 40" xfId="163"/>
    <cellStyle name="20% - akcent 1 40 2" xfId="164"/>
    <cellStyle name="20% - akcent 1 40 2 2" xfId="4016"/>
    <cellStyle name="20% - akcent 1 40 2 2 2" xfId="10651"/>
    <cellStyle name="20% - akcent 1 40 2 3" xfId="7361"/>
    <cellStyle name="20% - akcent 1 40 3" xfId="4015"/>
    <cellStyle name="20% - akcent 1 40 3 2" xfId="10650"/>
    <cellStyle name="20% - akcent 1 40 4" xfId="7360"/>
    <cellStyle name="20% - akcent 1 41" xfId="165"/>
    <cellStyle name="20% - akcent 1 41 2" xfId="166"/>
    <cellStyle name="20% - akcent 1 41 2 2" xfId="4018"/>
    <cellStyle name="20% - akcent 1 41 2 2 2" xfId="10653"/>
    <cellStyle name="20% - akcent 1 41 2 3" xfId="7363"/>
    <cellStyle name="20% - akcent 1 41 3" xfId="4017"/>
    <cellStyle name="20% - akcent 1 41 3 2" xfId="10652"/>
    <cellStyle name="20% - akcent 1 41 4" xfId="7362"/>
    <cellStyle name="20% - akcent 1 42" xfId="167"/>
    <cellStyle name="20% - akcent 1 42 2" xfId="168"/>
    <cellStyle name="20% - akcent 1 42 2 2" xfId="4020"/>
    <cellStyle name="20% - akcent 1 42 2 2 2" xfId="10655"/>
    <cellStyle name="20% - akcent 1 42 2 3" xfId="7365"/>
    <cellStyle name="20% - akcent 1 42 3" xfId="4019"/>
    <cellStyle name="20% - akcent 1 42 3 2" xfId="10654"/>
    <cellStyle name="20% - akcent 1 42 4" xfId="7364"/>
    <cellStyle name="20% - akcent 1 43" xfId="169"/>
    <cellStyle name="20% - akcent 1 43 2" xfId="170"/>
    <cellStyle name="20% - akcent 1 43 2 2" xfId="4022"/>
    <cellStyle name="20% - akcent 1 43 2 2 2" xfId="10657"/>
    <cellStyle name="20% - akcent 1 43 2 3" xfId="7367"/>
    <cellStyle name="20% - akcent 1 43 3" xfId="4021"/>
    <cellStyle name="20% - akcent 1 43 3 2" xfId="10656"/>
    <cellStyle name="20% - akcent 1 43 4" xfId="7366"/>
    <cellStyle name="20% - akcent 1 44" xfId="171"/>
    <cellStyle name="20% - akcent 1 44 2" xfId="172"/>
    <cellStyle name="20% - akcent 1 44 2 2" xfId="4024"/>
    <cellStyle name="20% - akcent 1 44 2 2 2" xfId="10659"/>
    <cellStyle name="20% - akcent 1 44 2 3" xfId="7369"/>
    <cellStyle name="20% - akcent 1 44 3" xfId="4023"/>
    <cellStyle name="20% - akcent 1 44 3 2" xfId="10658"/>
    <cellStyle name="20% - akcent 1 44 4" xfId="7368"/>
    <cellStyle name="20% - akcent 1 45" xfId="173"/>
    <cellStyle name="20% - akcent 1 45 2" xfId="174"/>
    <cellStyle name="20% - akcent 1 45 2 2" xfId="4026"/>
    <cellStyle name="20% - akcent 1 45 2 2 2" xfId="10661"/>
    <cellStyle name="20% - akcent 1 45 2 3" xfId="7371"/>
    <cellStyle name="20% - akcent 1 45 3" xfId="4025"/>
    <cellStyle name="20% - akcent 1 45 3 2" xfId="10660"/>
    <cellStyle name="20% - akcent 1 45 4" xfId="7370"/>
    <cellStyle name="20% - akcent 1 46" xfId="175"/>
    <cellStyle name="20% - akcent 1 46 2" xfId="176"/>
    <cellStyle name="20% - akcent 1 46 2 2" xfId="4028"/>
    <cellStyle name="20% - akcent 1 46 2 2 2" xfId="10663"/>
    <cellStyle name="20% - akcent 1 46 2 3" xfId="7373"/>
    <cellStyle name="20% - akcent 1 46 3" xfId="4027"/>
    <cellStyle name="20% - akcent 1 46 3 2" xfId="10662"/>
    <cellStyle name="20% - akcent 1 46 4" xfId="7372"/>
    <cellStyle name="20% - akcent 1 47" xfId="177"/>
    <cellStyle name="20% - akcent 1 47 2" xfId="178"/>
    <cellStyle name="20% - akcent 1 47 2 2" xfId="4030"/>
    <cellStyle name="20% - akcent 1 47 2 2 2" xfId="10665"/>
    <cellStyle name="20% - akcent 1 47 2 3" xfId="7375"/>
    <cellStyle name="20% - akcent 1 47 3" xfId="4029"/>
    <cellStyle name="20% - akcent 1 47 3 2" xfId="10664"/>
    <cellStyle name="20% - akcent 1 47 4" xfId="7374"/>
    <cellStyle name="20% - akcent 1 48" xfId="179"/>
    <cellStyle name="20% - akcent 1 48 2" xfId="180"/>
    <cellStyle name="20% - akcent 1 48 2 2" xfId="4032"/>
    <cellStyle name="20% - akcent 1 48 2 2 2" xfId="10667"/>
    <cellStyle name="20% - akcent 1 48 2 3" xfId="7377"/>
    <cellStyle name="20% - akcent 1 48 3" xfId="4031"/>
    <cellStyle name="20% - akcent 1 48 3 2" xfId="10666"/>
    <cellStyle name="20% - akcent 1 48 4" xfId="7376"/>
    <cellStyle name="20% - akcent 1 49" xfId="181"/>
    <cellStyle name="20% - akcent 1 49 2" xfId="182"/>
    <cellStyle name="20% - akcent 1 49 2 2" xfId="4034"/>
    <cellStyle name="20% - akcent 1 49 2 2 2" xfId="10669"/>
    <cellStyle name="20% - akcent 1 49 2 3" xfId="7379"/>
    <cellStyle name="20% - akcent 1 49 3" xfId="4033"/>
    <cellStyle name="20% - akcent 1 49 3 2" xfId="10668"/>
    <cellStyle name="20% - akcent 1 49 4" xfId="7378"/>
    <cellStyle name="20% - akcent 1 5" xfId="183"/>
    <cellStyle name="20% - akcent 1 5 2" xfId="184"/>
    <cellStyle name="20% - akcent 1 5 2 2" xfId="4036"/>
    <cellStyle name="20% - akcent 1 5 2 2 2" xfId="10671"/>
    <cellStyle name="20% - akcent 1 5 2 3" xfId="7381"/>
    <cellStyle name="20% - akcent 1 5 3" xfId="4035"/>
    <cellStyle name="20% - akcent 1 5 3 2" xfId="10670"/>
    <cellStyle name="20% - akcent 1 5 4" xfId="7380"/>
    <cellStyle name="20% - akcent 1 50" xfId="185"/>
    <cellStyle name="20% - akcent 1 50 2" xfId="186"/>
    <cellStyle name="20% - akcent 1 50 2 2" xfId="4038"/>
    <cellStyle name="20% - akcent 1 50 2 2 2" xfId="10673"/>
    <cellStyle name="20% - akcent 1 50 2 3" xfId="7383"/>
    <cellStyle name="20% - akcent 1 50 3" xfId="4037"/>
    <cellStyle name="20% - akcent 1 50 3 2" xfId="10672"/>
    <cellStyle name="20% - akcent 1 50 4" xfId="7382"/>
    <cellStyle name="20% - akcent 1 51" xfId="187"/>
    <cellStyle name="20% - akcent 1 51 2" xfId="188"/>
    <cellStyle name="20% - akcent 1 51 2 2" xfId="4040"/>
    <cellStyle name="20% - akcent 1 51 2 2 2" xfId="10675"/>
    <cellStyle name="20% - akcent 1 51 2 3" xfId="7385"/>
    <cellStyle name="20% - akcent 1 51 3" xfId="4039"/>
    <cellStyle name="20% - akcent 1 51 3 2" xfId="10674"/>
    <cellStyle name="20% - akcent 1 51 4" xfId="7384"/>
    <cellStyle name="20% - akcent 1 52" xfId="189"/>
    <cellStyle name="20% - akcent 1 52 2" xfId="190"/>
    <cellStyle name="20% - akcent 1 52 2 2" xfId="4042"/>
    <cellStyle name="20% - akcent 1 52 2 2 2" xfId="10677"/>
    <cellStyle name="20% - akcent 1 52 2 3" xfId="7387"/>
    <cellStyle name="20% - akcent 1 52 3" xfId="4041"/>
    <cellStyle name="20% - akcent 1 52 3 2" xfId="10676"/>
    <cellStyle name="20% - akcent 1 52 4" xfId="7386"/>
    <cellStyle name="20% - akcent 1 53" xfId="191"/>
    <cellStyle name="20% - akcent 1 53 2" xfId="192"/>
    <cellStyle name="20% - akcent 1 53 2 2" xfId="4044"/>
    <cellStyle name="20% - akcent 1 53 2 2 2" xfId="10679"/>
    <cellStyle name="20% - akcent 1 53 2 3" xfId="7389"/>
    <cellStyle name="20% - akcent 1 53 3" xfId="4043"/>
    <cellStyle name="20% - akcent 1 53 3 2" xfId="10678"/>
    <cellStyle name="20% - akcent 1 53 4" xfId="7388"/>
    <cellStyle name="20% - akcent 1 54" xfId="193"/>
    <cellStyle name="20% - akcent 1 54 2" xfId="194"/>
    <cellStyle name="20% - akcent 1 54 2 2" xfId="4046"/>
    <cellStyle name="20% - akcent 1 54 2 2 2" xfId="10681"/>
    <cellStyle name="20% - akcent 1 54 2 3" xfId="7391"/>
    <cellStyle name="20% - akcent 1 54 3" xfId="4045"/>
    <cellStyle name="20% - akcent 1 54 3 2" xfId="10680"/>
    <cellStyle name="20% - akcent 1 54 4" xfId="7390"/>
    <cellStyle name="20% - akcent 1 55" xfId="195"/>
    <cellStyle name="20% - akcent 1 55 2" xfId="196"/>
    <cellStyle name="20% - akcent 1 55 2 2" xfId="4048"/>
    <cellStyle name="20% - akcent 1 55 2 2 2" xfId="10683"/>
    <cellStyle name="20% - akcent 1 55 2 3" xfId="7393"/>
    <cellStyle name="20% - akcent 1 55 3" xfId="4047"/>
    <cellStyle name="20% - akcent 1 55 3 2" xfId="10682"/>
    <cellStyle name="20% - akcent 1 55 4" xfId="7392"/>
    <cellStyle name="20% - akcent 1 56" xfId="197"/>
    <cellStyle name="20% - akcent 1 56 2" xfId="198"/>
    <cellStyle name="20% - akcent 1 56 2 2" xfId="4050"/>
    <cellStyle name="20% - akcent 1 56 2 2 2" xfId="10685"/>
    <cellStyle name="20% - akcent 1 56 2 3" xfId="7395"/>
    <cellStyle name="20% - akcent 1 56 3" xfId="4049"/>
    <cellStyle name="20% - akcent 1 56 3 2" xfId="10684"/>
    <cellStyle name="20% - akcent 1 56 4" xfId="7394"/>
    <cellStyle name="20% - akcent 1 57" xfId="199"/>
    <cellStyle name="20% - akcent 1 57 2" xfId="200"/>
    <cellStyle name="20% - akcent 1 57 2 2" xfId="4052"/>
    <cellStyle name="20% - akcent 1 57 2 2 2" xfId="10687"/>
    <cellStyle name="20% - akcent 1 57 2 3" xfId="7397"/>
    <cellStyle name="20% - akcent 1 57 3" xfId="4051"/>
    <cellStyle name="20% - akcent 1 57 3 2" xfId="10686"/>
    <cellStyle name="20% - akcent 1 57 4" xfId="7396"/>
    <cellStyle name="20% - akcent 1 58" xfId="201"/>
    <cellStyle name="20% - akcent 1 58 2" xfId="202"/>
    <cellStyle name="20% - akcent 1 58 2 2" xfId="4054"/>
    <cellStyle name="20% - akcent 1 58 2 2 2" xfId="10689"/>
    <cellStyle name="20% - akcent 1 58 2 3" xfId="7399"/>
    <cellStyle name="20% - akcent 1 58 3" xfId="4053"/>
    <cellStyle name="20% - akcent 1 58 3 2" xfId="10688"/>
    <cellStyle name="20% - akcent 1 58 4" xfId="7398"/>
    <cellStyle name="20% - akcent 1 59" xfId="203"/>
    <cellStyle name="20% - akcent 1 59 2" xfId="204"/>
    <cellStyle name="20% - akcent 1 59 2 2" xfId="4056"/>
    <cellStyle name="20% - akcent 1 59 2 2 2" xfId="10691"/>
    <cellStyle name="20% - akcent 1 59 2 3" xfId="7401"/>
    <cellStyle name="20% - akcent 1 59 3" xfId="4055"/>
    <cellStyle name="20% - akcent 1 59 3 2" xfId="10690"/>
    <cellStyle name="20% - akcent 1 59 4" xfId="7400"/>
    <cellStyle name="20% - akcent 1 6" xfId="205"/>
    <cellStyle name="20% - akcent 1 6 2" xfId="206"/>
    <cellStyle name="20% - akcent 1 6 2 2" xfId="4058"/>
    <cellStyle name="20% - akcent 1 6 2 2 2" xfId="10693"/>
    <cellStyle name="20% - akcent 1 6 2 3" xfId="7403"/>
    <cellStyle name="20% - akcent 1 6 3" xfId="4057"/>
    <cellStyle name="20% - akcent 1 6 3 2" xfId="10692"/>
    <cellStyle name="20% - akcent 1 6 4" xfId="7402"/>
    <cellStyle name="20% - akcent 1 60" xfId="207"/>
    <cellStyle name="20% - akcent 1 60 2" xfId="4059"/>
    <cellStyle name="20% - akcent 1 60 2 2" xfId="10694"/>
    <cellStyle name="20% - akcent 1 60 3" xfId="7404"/>
    <cellStyle name="20% - akcent 1 61" xfId="208"/>
    <cellStyle name="20% - akcent 1 61 2" xfId="4060"/>
    <cellStyle name="20% - akcent 1 61 2 2" xfId="10695"/>
    <cellStyle name="20% - akcent 1 61 3" xfId="7405"/>
    <cellStyle name="20% - akcent 1 62" xfId="209"/>
    <cellStyle name="20% - akcent 1 62 2" xfId="4061"/>
    <cellStyle name="20% - akcent 1 62 2 2" xfId="10696"/>
    <cellStyle name="20% - akcent 1 62 3" xfId="7406"/>
    <cellStyle name="20% - akcent 1 63" xfId="210"/>
    <cellStyle name="20% - akcent 1 63 2" xfId="4062"/>
    <cellStyle name="20% - akcent 1 63 2 2" xfId="10697"/>
    <cellStyle name="20% - akcent 1 63 3" xfId="7407"/>
    <cellStyle name="20% - akcent 1 64" xfId="211"/>
    <cellStyle name="20% - akcent 1 64 2" xfId="4063"/>
    <cellStyle name="20% - akcent 1 64 2 2" xfId="10698"/>
    <cellStyle name="20% - akcent 1 64 3" xfId="7408"/>
    <cellStyle name="20% - akcent 1 65" xfId="212"/>
    <cellStyle name="20% - akcent 1 65 2" xfId="4064"/>
    <cellStyle name="20% - akcent 1 65 2 2" xfId="10699"/>
    <cellStyle name="20% - akcent 1 65 3" xfId="7409"/>
    <cellStyle name="20% - akcent 1 66" xfId="213"/>
    <cellStyle name="20% - akcent 1 66 2" xfId="4065"/>
    <cellStyle name="20% - akcent 1 66 2 2" xfId="10700"/>
    <cellStyle name="20% - akcent 1 66 3" xfId="7410"/>
    <cellStyle name="20% - akcent 1 67" xfId="214"/>
    <cellStyle name="20% - akcent 1 67 2" xfId="4066"/>
    <cellStyle name="20% - akcent 1 67 2 2" xfId="10701"/>
    <cellStyle name="20% - akcent 1 67 3" xfId="7411"/>
    <cellStyle name="20% - akcent 1 68" xfId="215"/>
    <cellStyle name="20% - akcent 1 68 2" xfId="4067"/>
    <cellStyle name="20% - akcent 1 68 2 2" xfId="10702"/>
    <cellStyle name="20% - akcent 1 68 3" xfId="7412"/>
    <cellStyle name="20% - akcent 1 69" xfId="216"/>
    <cellStyle name="20% - akcent 1 69 2" xfId="4068"/>
    <cellStyle name="20% - akcent 1 69 2 2" xfId="10703"/>
    <cellStyle name="20% - akcent 1 69 3" xfId="7413"/>
    <cellStyle name="20% - akcent 1 7" xfId="217"/>
    <cellStyle name="20% - akcent 1 7 2" xfId="218"/>
    <cellStyle name="20% - akcent 1 7 2 2" xfId="4070"/>
    <cellStyle name="20% - akcent 1 7 2 2 2" xfId="10705"/>
    <cellStyle name="20% - akcent 1 7 2 3" xfId="7415"/>
    <cellStyle name="20% - akcent 1 7 3" xfId="4069"/>
    <cellStyle name="20% - akcent 1 7 3 2" xfId="10704"/>
    <cellStyle name="20% - akcent 1 7 4" xfId="7414"/>
    <cellStyle name="20% - akcent 1 70" xfId="219"/>
    <cellStyle name="20% - akcent 1 70 2" xfId="4071"/>
    <cellStyle name="20% - akcent 1 70 2 2" xfId="10706"/>
    <cellStyle name="20% - akcent 1 70 3" xfId="7416"/>
    <cellStyle name="20% - akcent 1 71" xfId="220"/>
    <cellStyle name="20% - akcent 1 71 2" xfId="4072"/>
    <cellStyle name="20% - akcent 1 71 2 2" xfId="10707"/>
    <cellStyle name="20% - akcent 1 71 3" xfId="7417"/>
    <cellStyle name="20% - akcent 1 72" xfId="221"/>
    <cellStyle name="20% - akcent 1 72 2" xfId="4073"/>
    <cellStyle name="20% - akcent 1 72 2 2" xfId="10708"/>
    <cellStyle name="20% - akcent 1 72 3" xfId="7418"/>
    <cellStyle name="20% - akcent 1 73" xfId="222"/>
    <cellStyle name="20% - akcent 1 73 2" xfId="4074"/>
    <cellStyle name="20% - akcent 1 73 2 2" xfId="10709"/>
    <cellStyle name="20% - akcent 1 73 3" xfId="7419"/>
    <cellStyle name="20% - akcent 1 74" xfId="223"/>
    <cellStyle name="20% - akcent 1 74 2" xfId="4075"/>
    <cellStyle name="20% - akcent 1 74 2 2" xfId="10710"/>
    <cellStyle name="20% - akcent 1 74 3" xfId="7420"/>
    <cellStyle name="20% - akcent 1 75" xfId="224"/>
    <cellStyle name="20% - akcent 1 75 2" xfId="4076"/>
    <cellStyle name="20% - akcent 1 75 2 2" xfId="10711"/>
    <cellStyle name="20% - akcent 1 75 3" xfId="7421"/>
    <cellStyle name="20% - akcent 1 76" xfId="225"/>
    <cellStyle name="20% - akcent 1 76 2" xfId="4077"/>
    <cellStyle name="20% - akcent 1 76 2 2" xfId="10712"/>
    <cellStyle name="20% - akcent 1 76 3" xfId="7422"/>
    <cellStyle name="20% - akcent 1 77" xfId="226"/>
    <cellStyle name="20% - akcent 1 77 2" xfId="4078"/>
    <cellStyle name="20% - akcent 1 77 2 2" xfId="10713"/>
    <cellStyle name="20% - akcent 1 77 3" xfId="7423"/>
    <cellStyle name="20% - akcent 1 78" xfId="227"/>
    <cellStyle name="20% - akcent 1 78 2" xfId="4079"/>
    <cellStyle name="20% - akcent 1 78 2 2" xfId="10714"/>
    <cellStyle name="20% - akcent 1 78 3" xfId="7424"/>
    <cellStyle name="20% - akcent 1 79" xfId="228"/>
    <cellStyle name="20% - akcent 1 79 2" xfId="4080"/>
    <cellStyle name="20% - akcent 1 79 2 2" xfId="10715"/>
    <cellStyle name="20% - akcent 1 79 3" xfId="7425"/>
    <cellStyle name="20% - akcent 1 8" xfId="229"/>
    <cellStyle name="20% - akcent 1 8 2" xfId="230"/>
    <cellStyle name="20% - akcent 1 8 2 2" xfId="4082"/>
    <cellStyle name="20% - akcent 1 8 2 2 2" xfId="10717"/>
    <cellStyle name="20% - akcent 1 8 2 3" xfId="7427"/>
    <cellStyle name="20% - akcent 1 8 3" xfId="4081"/>
    <cellStyle name="20% - akcent 1 8 3 2" xfId="10716"/>
    <cellStyle name="20% - akcent 1 8 4" xfId="7426"/>
    <cellStyle name="20% - akcent 1 80" xfId="231"/>
    <cellStyle name="20% - akcent 1 80 2" xfId="4083"/>
    <cellStyle name="20% - akcent 1 80 2 2" xfId="10718"/>
    <cellStyle name="20% - akcent 1 80 3" xfId="7428"/>
    <cellStyle name="20% - akcent 1 81" xfId="232"/>
    <cellStyle name="20% - akcent 1 81 2" xfId="4084"/>
    <cellStyle name="20% - akcent 1 81 2 2" xfId="10719"/>
    <cellStyle name="20% - akcent 1 81 3" xfId="7429"/>
    <cellStyle name="20% - akcent 1 82" xfId="233"/>
    <cellStyle name="20% - akcent 1 82 2" xfId="4085"/>
    <cellStyle name="20% - akcent 1 82 2 2" xfId="10720"/>
    <cellStyle name="20% - akcent 1 82 3" xfId="7430"/>
    <cellStyle name="20% - akcent 1 83" xfId="234"/>
    <cellStyle name="20% - akcent 1 83 2" xfId="4086"/>
    <cellStyle name="20% - akcent 1 83 2 2" xfId="10721"/>
    <cellStyle name="20% - akcent 1 83 3" xfId="7431"/>
    <cellStyle name="20% - akcent 1 84" xfId="235"/>
    <cellStyle name="20% - akcent 1 84 2" xfId="4087"/>
    <cellStyle name="20% - akcent 1 84 2 2" xfId="10722"/>
    <cellStyle name="20% - akcent 1 84 3" xfId="7432"/>
    <cellStyle name="20% - akcent 1 85" xfId="236"/>
    <cellStyle name="20% - akcent 1 85 2" xfId="4088"/>
    <cellStyle name="20% - akcent 1 85 2 2" xfId="10723"/>
    <cellStyle name="20% - akcent 1 85 3" xfId="7433"/>
    <cellStyle name="20% - akcent 1 86" xfId="237"/>
    <cellStyle name="20% - akcent 1 86 2" xfId="4089"/>
    <cellStyle name="20% - akcent 1 86 2 2" xfId="10724"/>
    <cellStyle name="20% - akcent 1 86 3" xfId="7434"/>
    <cellStyle name="20% - akcent 1 87" xfId="238"/>
    <cellStyle name="20% - akcent 1 87 2" xfId="4090"/>
    <cellStyle name="20% - akcent 1 87 2 2" xfId="10725"/>
    <cellStyle name="20% - akcent 1 87 3" xfId="7435"/>
    <cellStyle name="20% - akcent 1 88" xfId="239"/>
    <cellStyle name="20% - akcent 1 88 2" xfId="4091"/>
    <cellStyle name="20% - akcent 1 88 2 2" xfId="10726"/>
    <cellStyle name="20% - akcent 1 88 3" xfId="7436"/>
    <cellStyle name="20% - akcent 1 89" xfId="240"/>
    <cellStyle name="20% - akcent 1 89 2" xfId="4092"/>
    <cellStyle name="20% - akcent 1 89 2 2" xfId="10727"/>
    <cellStyle name="20% - akcent 1 89 3" xfId="7437"/>
    <cellStyle name="20% - akcent 1 9" xfId="241"/>
    <cellStyle name="20% - akcent 1 9 2" xfId="242"/>
    <cellStyle name="20% - akcent 1 9 2 2" xfId="4094"/>
    <cellStyle name="20% - akcent 1 9 2 2 2" xfId="10729"/>
    <cellStyle name="20% - akcent 1 9 2 3" xfId="7439"/>
    <cellStyle name="20% - akcent 1 9 3" xfId="4093"/>
    <cellStyle name="20% - akcent 1 9 3 2" xfId="10728"/>
    <cellStyle name="20% - akcent 1 9 4" xfId="7438"/>
    <cellStyle name="20% - akcent 1 90" xfId="243"/>
    <cellStyle name="20% - akcent 1 90 2" xfId="4095"/>
    <cellStyle name="20% - akcent 1 90 2 2" xfId="10730"/>
    <cellStyle name="20% - akcent 1 90 3" xfId="7440"/>
    <cellStyle name="20% - akcent 1 91" xfId="244"/>
    <cellStyle name="20% - akcent 1 91 2" xfId="4096"/>
    <cellStyle name="20% - akcent 1 91 2 2" xfId="10731"/>
    <cellStyle name="20% - akcent 1 91 3" xfId="7441"/>
    <cellStyle name="20% - akcent 1 92" xfId="245"/>
    <cellStyle name="20% - akcent 1 92 2" xfId="4097"/>
    <cellStyle name="20% - akcent 1 92 2 2" xfId="10732"/>
    <cellStyle name="20% - akcent 1 92 3" xfId="7442"/>
    <cellStyle name="20% - akcent 1 93" xfId="246"/>
    <cellStyle name="20% - akcent 1 93 2" xfId="4098"/>
    <cellStyle name="20% - akcent 1 93 2 2" xfId="10733"/>
    <cellStyle name="20% - akcent 1 93 3" xfId="7443"/>
    <cellStyle name="20% - akcent 1 94" xfId="247"/>
    <cellStyle name="20% - akcent 1 94 2" xfId="4099"/>
    <cellStyle name="20% - akcent 1 94 2 2" xfId="10734"/>
    <cellStyle name="20% - akcent 1 94 3" xfId="7444"/>
    <cellStyle name="20% - akcent 1 95" xfId="248"/>
    <cellStyle name="20% - akcent 1 95 2" xfId="4100"/>
    <cellStyle name="20% - akcent 1 95 2 2" xfId="10735"/>
    <cellStyle name="20% - akcent 1 95 3" xfId="7445"/>
    <cellStyle name="20% - akcent 1 96" xfId="249"/>
    <cellStyle name="20% - akcent 1 96 2" xfId="4101"/>
    <cellStyle name="20% - akcent 1 96 2 2" xfId="10736"/>
    <cellStyle name="20% - akcent 1 96 3" xfId="7446"/>
    <cellStyle name="20% - akcent 1 97" xfId="250"/>
    <cellStyle name="20% - akcent 1 97 2" xfId="4102"/>
    <cellStyle name="20% - akcent 1 97 2 2" xfId="10737"/>
    <cellStyle name="20% - akcent 1 97 3" xfId="7447"/>
    <cellStyle name="20% - akcent 1 98" xfId="251"/>
    <cellStyle name="20% - akcent 1 98 2" xfId="4103"/>
    <cellStyle name="20% - akcent 1 98 2 2" xfId="10738"/>
    <cellStyle name="20% - akcent 1 98 3" xfId="7448"/>
    <cellStyle name="20% - akcent 1 99" xfId="252"/>
    <cellStyle name="20% - akcent 1 99 2" xfId="4104"/>
    <cellStyle name="20% - akcent 1 99 2 2" xfId="10739"/>
    <cellStyle name="20% - akcent 1 99 3" xfId="7449"/>
    <cellStyle name="20% - akcent 2" xfId="253" builtinId="34" customBuiltin="1"/>
    <cellStyle name="20% - akcent 2 10" xfId="254"/>
    <cellStyle name="20% - akcent 2 10 2" xfId="255"/>
    <cellStyle name="20% - akcent 2 10 2 2" xfId="4106"/>
    <cellStyle name="20% - akcent 2 10 2 2 2" xfId="10741"/>
    <cellStyle name="20% - akcent 2 10 2 3" xfId="7451"/>
    <cellStyle name="20% - akcent 2 10 3" xfId="4105"/>
    <cellStyle name="20% - akcent 2 10 3 2" xfId="10740"/>
    <cellStyle name="20% - akcent 2 10 4" xfId="7450"/>
    <cellStyle name="20% - akcent 2 100" xfId="256"/>
    <cellStyle name="20% - akcent 2 100 2" xfId="4107"/>
    <cellStyle name="20% - akcent 2 100 2 2" xfId="10742"/>
    <cellStyle name="20% - akcent 2 100 3" xfId="7452"/>
    <cellStyle name="20% - akcent 2 101" xfId="257"/>
    <cellStyle name="20% - akcent 2 101 2" xfId="4108"/>
    <cellStyle name="20% - akcent 2 101 2 2" xfId="10743"/>
    <cellStyle name="20% - akcent 2 101 3" xfId="7453"/>
    <cellStyle name="20% - akcent 2 102" xfId="258"/>
    <cellStyle name="20% - akcent 2 102 2" xfId="4109"/>
    <cellStyle name="20% - akcent 2 102 2 2" xfId="10744"/>
    <cellStyle name="20% - akcent 2 102 3" xfId="7454"/>
    <cellStyle name="20% - akcent 2 103" xfId="259"/>
    <cellStyle name="20% - akcent 2 103 2" xfId="4110"/>
    <cellStyle name="20% - akcent 2 103 2 2" xfId="10745"/>
    <cellStyle name="20% - akcent 2 103 3" xfId="7455"/>
    <cellStyle name="20% - akcent 2 104" xfId="260"/>
    <cellStyle name="20% - akcent 2 104 2" xfId="4111"/>
    <cellStyle name="20% - akcent 2 104 2 2" xfId="10746"/>
    <cellStyle name="20% - akcent 2 104 3" xfId="7456"/>
    <cellStyle name="20% - akcent 2 105" xfId="261"/>
    <cellStyle name="20% - akcent 2 105 2" xfId="4112"/>
    <cellStyle name="20% - akcent 2 105 2 2" xfId="10747"/>
    <cellStyle name="20% - akcent 2 105 3" xfId="7457"/>
    <cellStyle name="20% - akcent 2 106" xfId="262"/>
    <cellStyle name="20% - akcent 2 106 2" xfId="4113"/>
    <cellStyle name="20% - akcent 2 106 2 2" xfId="10748"/>
    <cellStyle name="20% - akcent 2 106 3" xfId="7458"/>
    <cellStyle name="20% - akcent 2 107" xfId="263"/>
    <cellStyle name="20% - akcent 2 107 2" xfId="4114"/>
    <cellStyle name="20% - akcent 2 107 2 2" xfId="10749"/>
    <cellStyle name="20% - akcent 2 107 3" xfId="7459"/>
    <cellStyle name="20% - akcent 2 108" xfId="264"/>
    <cellStyle name="20% - akcent 2 108 2" xfId="4115"/>
    <cellStyle name="20% - akcent 2 108 2 2" xfId="10750"/>
    <cellStyle name="20% - akcent 2 108 3" xfId="7460"/>
    <cellStyle name="20% - akcent 2 109" xfId="265"/>
    <cellStyle name="20% - akcent 2 109 2" xfId="4116"/>
    <cellStyle name="20% - akcent 2 109 2 2" xfId="10751"/>
    <cellStyle name="20% - akcent 2 109 3" xfId="7461"/>
    <cellStyle name="20% - akcent 2 11" xfId="266"/>
    <cellStyle name="20% - akcent 2 11 2" xfId="267"/>
    <cellStyle name="20% - akcent 2 11 2 2" xfId="4118"/>
    <cellStyle name="20% - akcent 2 11 2 2 2" xfId="10753"/>
    <cellStyle name="20% - akcent 2 11 2 3" xfId="7463"/>
    <cellStyle name="20% - akcent 2 11 3" xfId="4117"/>
    <cellStyle name="20% - akcent 2 11 3 2" xfId="10752"/>
    <cellStyle name="20% - akcent 2 11 4" xfId="7462"/>
    <cellStyle name="20% - akcent 2 110" xfId="268"/>
    <cellStyle name="20% - akcent 2 110 2" xfId="4119"/>
    <cellStyle name="20% - akcent 2 110 2 2" xfId="10754"/>
    <cellStyle name="20% - akcent 2 110 3" xfId="7464"/>
    <cellStyle name="20% - akcent 2 111" xfId="269"/>
    <cellStyle name="20% - akcent 2 111 2" xfId="4120"/>
    <cellStyle name="20% - akcent 2 111 2 2" xfId="10755"/>
    <cellStyle name="20% - akcent 2 111 3" xfId="7465"/>
    <cellStyle name="20% - akcent 2 112" xfId="270"/>
    <cellStyle name="20% - akcent 2 112 2" xfId="4121"/>
    <cellStyle name="20% - akcent 2 112 2 2" xfId="10756"/>
    <cellStyle name="20% - akcent 2 112 3" xfId="7466"/>
    <cellStyle name="20% - akcent 2 113" xfId="271"/>
    <cellStyle name="20% - akcent 2 113 2" xfId="4122"/>
    <cellStyle name="20% - akcent 2 113 2 2" xfId="10757"/>
    <cellStyle name="20% - akcent 2 113 3" xfId="7467"/>
    <cellStyle name="20% - akcent 2 114" xfId="272"/>
    <cellStyle name="20% - akcent 2 114 2" xfId="4123"/>
    <cellStyle name="20% - akcent 2 114 2 2" xfId="10758"/>
    <cellStyle name="20% - akcent 2 114 3" xfId="7468"/>
    <cellStyle name="20% - akcent 2 115" xfId="273"/>
    <cellStyle name="20% - akcent 2 115 2" xfId="4124"/>
    <cellStyle name="20% - akcent 2 115 2 2" xfId="10759"/>
    <cellStyle name="20% - akcent 2 115 3" xfId="7469"/>
    <cellStyle name="20% - akcent 2 116" xfId="274"/>
    <cellStyle name="20% - akcent 2 116 2" xfId="4125"/>
    <cellStyle name="20% - akcent 2 116 2 2" xfId="10760"/>
    <cellStyle name="20% - akcent 2 116 3" xfId="7470"/>
    <cellStyle name="20% - akcent 2 117" xfId="275"/>
    <cellStyle name="20% - akcent 2 117 2" xfId="4126"/>
    <cellStyle name="20% - akcent 2 117 2 2" xfId="10761"/>
    <cellStyle name="20% - akcent 2 117 3" xfId="7471"/>
    <cellStyle name="20% - akcent 2 118" xfId="276"/>
    <cellStyle name="20% - akcent 2 118 2" xfId="4127"/>
    <cellStyle name="20% - akcent 2 118 2 2" xfId="10762"/>
    <cellStyle name="20% - akcent 2 118 3" xfId="7472"/>
    <cellStyle name="20% - akcent 2 119" xfId="277"/>
    <cellStyle name="20% - akcent 2 119 2" xfId="4128"/>
    <cellStyle name="20% - akcent 2 119 2 2" xfId="10763"/>
    <cellStyle name="20% - akcent 2 119 3" xfId="7473"/>
    <cellStyle name="20% - akcent 2 12" xfId="278"/>
    <cellStyle name="20% - akcent 2 12 2" xfId="279"/>
    <cellStyle name="20% - akcent 2 12 2 2" xfId="4130"/>
    <cellStyle name="20% - akcent 2 12 2 2 2" xfId="10765"/>
    <cellStyle name="20% - akcent 2 12 2 3" xfId="7475"/>
    <cellStyle name="20% - akcent 2 12 3" xfId="4129"/>
    <cellStyle name="20% - akcent 2 12 3 2" xfId="10764"/>
    <cellStyle name="20% - akcent 2 12 4" xfId="7474"/>
    <cellStyle name="20% - akcent 2 120" xfId="280"/>
    <cellStyle name="20% - akcent 2 120 2" xfId="4131"/>
    <cellStyle name="20% - akcent 2 120 2 2" xfId="10766"/>
    <cellStyle name="20% - akcent 2 120 3" xfId="7476"/>
    <cellStyle name="20% - akcent 2 121" xfId="281"/>
    <cellStyle name="20% - akcent 2 121 2" xfId="4132"/>
    <cellStyle name="20% - akcent 2 121 2 2" xfId="10767"/>
    <cellStyle name="20% - akcent 2 121 3" xfId="7477"/>
    <cellStyle name="20% - akcent 2 122" xfId="282"/>
    <cellStyle name="20% - akcent 2 122 2" xfId="4133"/>
    <cellStyle name="20% - akcent 2 122 2 2" xfId="10768"/>
    <cellStyle name="20% - akcent 2 122 3" xfId="7478"/>
    <cellStyle name="20% - akcent 2 123" xfId="283"/>
    <cellStyle name="20% - akcent 2 123 2" xfId="4134"/>
    <cellStyle name="20% - akcent 2 123 2 2" xfId="10769"/>
    <cellStyle name="20% - akcent 2 123 3" xfId="7479"/>
    <cellStyle name="20% - akcent 2 124" xfId="284"/>
    <cellStyle name="20% - akcent 2 124 2" xfId="4135"/>
    <cellStyle name="20% - akcent 2 124 2 2" xfId="10770"/>
    <cellStyle name="20% - akcent 2 124 3" xfId="7480"/>
    <cellStyle name="20% - akcent 2 125" xfId="285"/>
    <cellStyle name="20% - akcent 2 125 2" xfId="4136"/>
    <cellStyle name="20% - akcent 2 125 2 2" xfId="10771"/>
    <cellStyle name="20% - akcent 2 125 3" xfId="7481"/>
    <cellStyle name="20% - akcent 2 126" xfId="286"/>
    <cellStyle name="20% - akcent 2 126 2" xfId="4137"/>
    <cellStyle name="20% - akcent 2 126 2 2" xfId="10772"/>
    <cellStyle name="20% - akcent 2 126 3" xfId="7482"/>
    <cellStyle name="20% - akcent 2 127" xfId="287"/>
    <cellStyle name="20% - akcent 2 127 2" xfId="4138"/>
    <cellStyle name="20% - akcent 2 127 2 2" xfId="10773"/>
    <cellStyle name="20% - akcent 2 127 3" xfId="7483"/>
    <cellStyle name="20% - akcent 2 128" xfId="288"/>
    <cellStyle name="20% - akcent 2 128 2" xfId="4139"/>
    <cellStyle name="20% - akcent 2 128 2 2" xfId="10774"/>
    <cellStyle name="20% - akcent 2 128 3" xfId="7484"/>
    <cellStyle name="20% - akcent 2 129" xfId="289"/>
    <cellStyle name="20% - akcent 2 129 2" xfId="4140"/>
    <cellStyle name="20% - akcent 2 129 2 2" xfId="10775"/>
    <cellStyle name="20% - akcent 2 129 3" xfId="7485"/>
    <cellStyle name="20% - akcent 2 13" xfId="290"/>
    <cellStyle name="20% - akcent 2 13 2" xfId="291"/>
    <cellStyle name="20% - akcent 2 13 2 2" xfId="4142"/>
    <cellStyle name="20% - akcent 2 13 2 2 2" xfId="10777"/>
    <cellStyle name="20% - akcent 2 13 2 3" xfId="7487"/>
    <cellStyle name="20% - akcent 2 13 3" xfId="4141"/>
    <cellStyle name="20% - akcent 2 13 3 2" xfId="10776"/>
    <cellStyle name="20% - akcent 2 13 4" xfId="7486"/>
    <cellStyle name="20% - akcent 2 130" xfId="292"/>
    <cellStyle name="20% - akcent 2 130 2" xfId="4143"/>
    <cellStyle name="20% - akcent 2 130 2 2" xfId="10778"/>
    <cellStyle name="20% - akcent 2 130 3" xfId="7488"/>
    <cellStyle name="20% - akcent 2 131" xfId="293"/>
    <cellStyle name="20% - akcent 2 131 2" xfId="4144"/>
    <cellStyle name="20% - akcent 2 131 2 2" xfId="10779"/>
    <cellStyle name="20% - akcent 2 131 3" xfId="7489"/>
    <cellStyle name="20% - akcent 2 132" xfId="294"/>
    <cellStyle name="20% - akcent 2 132 2" xfId="4145"/>
    <cellStyle name="20% - akcent 2 132 2 2" xfId="10780"/>
    <cellStyle name="20% - akcent 2 132 3" xfId="7490"/>
    <cellStyle name="20% - akcent 2 133" xfId="295"/>
    <cellStyle name="20% - akcent 2 133 2" xfId="4146"/>
    <cellStyle name="20% - akcent 2 133 2 2" xfId="10781"/>
    <cellStyle name="20% - akcent 2 133 3" xfId="7491"/>
    <cellStyle name="20% - akcent 2 134" xfId="296"/>
    <cellStyle name="20% - akcent 2 134 2" xfId="4147"/>
    <cellStyle name="20% - akcent 2 134 2 2" xfId="10782"/>
    <cellStyle name="20% - akcent 2 134 3" xfId="7492"/>
    <cellStyle name="20% - akcent 2 135" xfId="297"/>
    <cellStyle name="20% - akcent 2 135 2" xfId="4148"/>
    <cellStyle name="20% - akcent 2 135 2 2" xfId="10783"/>
    <cellStyle name="20% - akcent 2 135 3" xfId="7493"/>
    <cellStyle name="20% - akcent 2 136" xfId="298"/>
    <cellStyle name="20% - akcent 2 136 2" xfId="4149"/>
    <cellStyle name="20% - akcent 2 136 2 2" xfId="10784"/>
    <cellStyle name="20% - akcent 2 136 3" xfId="7494"/>
    <cellStyle name="20% - akcent 2 137" xfId="299"/>
    <cellStyle name="20% - akcent 2 137 2" xfId="4150"/>
    <cellStyle name="20% - akcent 2 137 2 2" xfId="10785"/>
    <cellStyle name="20% - akcent 2 137 3" xfId="7495"/>
    <cellStyle name="20% - akcent 2 138" xfId="300"/>
    <cellStyle name="20% - akcent 2 138 2" xfId="4151"/>
    <cellStyle name="20% - akcent 2 138 2 2" xfId="10786"/>
    <cellStyle name="20% - akcent 2 138 3" xfId="7496"/>
    <cellStyle name="20% - akcent 2 139" xfId="301"/>
    <cellStyle name="20% - akcent 2 139 2" xfId="4152"/>
    <cellStyle name="20% - akcent 2 139 2 2" xfId="10787"/>
    <cellStyle name="20% - akcent 2 139 3" xfId="7497"/>
    <cellStyle name="20% - akcent 2 14" xfId="302"/>
    <cellStyle name="20% - akcent 2 14 2" xfId="303"/>
    <cellStyle name="20% - akcent 2 14 2 2" xfId="4154"/>
    <cellStyle name="20% - akcent 2 14 2 2 2" xfId="10789"/>
    <cellStyle name="20% - akcent 2 14 2 3" xfId="7499"/>
    <cellStyle name="20% - akcent 2 14 3" xfId="4153"/>
    <cellStyle name="20% - akcent 2 14 3 2" xfId="10788"/>
    <cellStyle name="20% - akcent 2 14 4" xfId="7498"/>
    <cellStyle name="20% - akcent 2 140" xfId="304"/>
    <cellStyle name="20% - akcent 2 140 2" xfId="4155"/>
    <cellStyle name="20% - akcent 2 140 2 2" xfId="10790"/>
    <cellStyle name="20% - akcent 2 140 3" xfId="7500"/>
    <cellStyle name="20% - akcent 2 141" xfId="305"/>
    <cellStyle name="20% - akcent 2 141 2" xfId="4156"/>
    <cellStyle name="20% - akcent 2 141 2 2" xfId="10791"/>
    <cellStyle name="20% - akcent 2 141 3" xfId="7501"/>
    <cellStyle name="20% - akcent 2 142" xfId="306"/>
    <cellStyle name="20% - akcent 2 142 2" xfId="4157"/>
    <cellStyle name="20% - akcent 2 142 2 2" xfId="10792"/>
    <cellStyle name="20% - akcent 2 142 3" xfId="7502"/>
    <cellStyle name="20% - akcent 2 143" xfId="307"/>
    <cellStyle name="20% - akcent 2 143 2" xfId="4158"/>
    <cellStyle name="20% - akcent 2 143 2 2" xfId="10793"/>
    <cellStyle name="20% - akcent 2 143 3" xfId="7503"/>
    <cellStyle name="20% - akcent 2 144" xfId="308"/>
    <cellStyle name="20% - akcent 2 144 2" xfId="4159"/>
    <cellStyle name="20% - akcent 2 144 2 2" xfId="10794"/>
    <cellStyle name="20% - akcent 2 144 3" xfId="7504"/>
    <cellStyle name="20% - akcent 2 145" xfId="309"/>
    <cellStyle name="20% - akcent 2 145 2" xfId="4160"/>
    <cellStyle name="20% - akcent 2 145 2 2" xfId="10795"/>
    <cellStyle name="20% - akcent 2 145 3" xfId="7505"/>
    <cellStyle name="20% - akcent 2 146" xfId="310"/>
    <cellStyle name="20% - akcent 2 146 2" xfId="4161"/>
    <cellStyle name="20% - akcent 2 146 2 2" xfId="10796"/>
    <cellStyle name="20% - akcent 2 146 3" xfId="7506"/>
    <cellStyle name="20% - akcent 2 147" xfId="311"/>
    <cellStyle name="20% - akcent 2 147 2" xfId="4162"/>
    <cellStyle name="20% - akcent 2 147 2 2" xfId="10797"/>
    <cellStyle name="20% - akcent 2 147 3" xfId="7507"/>
    <cellStyle name="20% - akcent 2 148" xfId="312"/>
    <cellStyle name="20% - akcent 2 148 2" xfId="4163"/>
    <cellStyle name="20% - akcent 2 148 2 2" xfId="10798"/>
    <cellStyle name="20% - akcent 2 148 3" xfId="7508"/>
    <cellStyle name="20% - akcent 2 149" xfId="313"/>
    <cellStyle name="20% - akcent 2 149 2" xfId="4164"/>
    <cellStyle name="20% - akcent 2 149 2 2" xfId="10799"/>
    <cellStyle name="20% - akcent 2 149 3" xfId="7509"/>
    <cellStyle name="20% - akcent 2 15" xfId="314"/>
    <cellStyle name="20% - akcent 2 15 2" xfId="315"/>
    <cellStyle name="20% - akcent 2 15 2 2" xfId="4166"/>
    <cellStyle name="20% - akcent 2 15 2 2 2" xfId="10801"/>
    <cellStyle name="20% - akcent 2 15 2 3" xfId="7511"/>
    <cellStyle name="20% - akcent 2 15 3" xfId="4165"/>
    <cellStyle name="20% - akcent 2 15 3 2" xfId="10800"/>
    <cellStyle name="20% - akcent 2 15 4" xfId="7510"/>
    <cellStyle name="20% - akcent 2 150" xfId="316"/>
    <cellStyle name="20% - akcent 2 150 2" xfId="4167"/>
    <cellStyle name="20% - akcent 2 150 2 2" xfId="10802"/>
    <cellStyle name="20% - akcent 2 150 3" xfId="7512"/>
    <cellStyle name="20% - akcent 2 151" xfId="317"/>
    <cellStyle name="20% - akcent 2 151 2" xfId="4168"/>
    <cellStyle name="20% - akcent 2 151 2 2" xfId="10803"/>
    <cellStyle name="20% - akcent 2 151 3" xfId="7513"/>
    <cellStyle name="20% - akcent 2 152" xfId="318"/>
    <cellStyle name="20% - akcent 2 152 2" xfId="4169"/>
    <cellStyle name="20% - akcent 2 152 2 2" xfId="10804"/>
    <cellStyle name="20% - akcent 2 152 3" xfId="7514"/>
    <cellStyle name="20% - akcent 2 153" xfId="319"/>
    <cellStyle name="20% - akcent 2 153 2" xfId="4170"/>
    <cellStyle name="20% - akcent 2 153 2 2" xfId="10805"/>
    <cellStyle name="20% - akcent 2 153 3" xfId="7515"/>
    <cellStyle name="20% - akcent 2 154" xfId="320"/>
    <cellStyle name="20% - akcent 2 154 2" xfId="4171"/>
    <cellStyle name="20% - akcent 2 154 2 2" xfId="10806"/>
    <cellStyle name="20% - akcent 2 154 3" xfId="7516"/>
    <cellStyle name="20% - akcent 2 155" xfId="321"/>
    <cellStyle name="20% - akcent 2 155 2" xfId="4172"/>
    <cellStyle name="20% - akcent 2 155 2 2" xfId="10807"/>
    <cellStyle name="20% - akcent 2 155 3" xfId="7517"/>
    <cellStyle name="20% - akcent 2 156" xfId="322"/>
    <cellStyle name="20% - akcent 2 156 2" xfId="4173"/>
    <cellStyle name="20% - akcent 2 156 2 2" xfId="10808"/>
    <cellStyle name="20% - akcent 2 156 3" xfId="7518"/>
    <cellStyle name="20% - akcent 2 157" xfId="323"/>
    <cellStyle name="20% - akcent 2 157 2" xfId="4174"/>
    <cellStyle name="20% - akcent 2 157 2 2" xfId="10809"/>
    <cellStyle name="20% - akcent 2 157 3" xfId="7519"/>
    <cellStyle name="20% - akcent 2 158" xfId="324"/>
    <cellStyle name="20% - akcent 2 158 2" xfId="4175"/>
    <cellStyle name="20% - akcent 2 158 2 2" xfId="10810"/>
    <cellStyle name="20% - akcent 2 158 3" xfId="7520"/>
    <cellStyle name="20% - akcent 2 159" xfId="325"/>
    <cellStyle name="20% - akcent 2 159 2" xfId="4176"/>
    <cellStyle name="20% - akcent 2 159 2 2" xfId="10811"/>
    <cellStyle name="20% - akcent 2 159 3" xfId="7521"/>
    <cellStyle name="20% - akcent 2 16" xfId="326"/>
    <cellStyle name="20% - akcent 2 16 2" xfId="327"/>
    <cellStyle name="20% - akcent 2 16 2 2" xfId="4178"/>
    <cellStyle name="20% - akcent 2 16 2 2 2" xfId="10813"/>
    <cellStyle name="20% - akcent 2 16 2 3" xfId="7523"/>
    <cellStyle name="20% - akcent 2 16 3" xfId="4177"/>
    <cellStyle name="20% - akcent 2 16 3 2" xfId="10812"/>
    <cellStyle name="20% - akcent 2 16 4" xfId="7522"/>
    <cellStyle name="20% - akcent 2 160" xfId="328"/>
    <cellStyle name="20% - akcent 2 160 2" xfId="4179"/>
    <cellStyle name="20% - akcent 2 160 2 2" xfId="10814"/>
    <cellStyle name="20% - akcent 2 160 3" xfId="7524"/>
    <cellStyle name="20% - akcent 2 161" xfId="329"/>
    <cellStyle name="20% - akcent 2 161 2" xfId="4180"/>
    <cellStyle name="20% - akcent 2 161 2 2" xfId="10815"/>
    <cellStyle name="20% - akcent 2 161 3" xfId="7525"/>
    <cellStyle name="20% - akcent 2 162" xfId="330"/>
    <cellStyle name="20% - akcent 2 162 2" xfId="4181"/>
    <cellStyle name="20% - akcent 2 162 2 2" xfId="10816"/>
    <cellStyle name="20% - akcent 2 162 3" xfId="7526"/>
    <cellStyle name="20% - akcent 2 163" xfId="331"/>
    <cellStyle name="20% - akcent 2 163 2" xfId="4182"/>
    <cellStyle name="20% - akcent 2 163 2 2" xfId="10817"/>
    <cellStyle name="20% - akcent 2 163 3" xfId="7527"/>
    <cellStyle name="20% - akcent 2 164" xfId="332"/>
    <cellStyle name="20% - akcent 2 164 2" xfId="4183"/>
    <cellStyle name="20% - akcent 2 164 2 2" xfId="10818"/>
    <cellStyle name="20% - akcent 2 164 3" xfId="7528"/>
    <cellStyle name="20% - akcent 2 165" xfId="333"/>
    <cellStyle name="20% - akcent 2 165 2" xfId="4184"/>
    <cellStyle name="20% - akcent 2 165 2 2" xfId="10819"/>
    <cellStyle name="20% - akcent 2 165 3" xfId="7529"/>
    <cellStyle name="20% - akcent 2 166" xfId="334"/>
    <cellStyle name="20% - akcent 2 166 2" xfId="4185"/>
    <cellStyle name="20% - akcent 2 166 2 2" xfId="10820"/>
    <cellStyle name="20% - akcent 2 166 3" xfId="7530"/>
    <cellStyle name="20% - akcent 2 167" xfId="335"/>
    <cellStyle name="20% - akcent 2 167 2" xfId="4186"/>
    <cellStyle name="20% - akcent 2 167 2 2" xfId="10821"/>
    <cellStyle name="20% - akcent 2 167 3" xfId="7531"/>
    <cellStyle name="20% - akcent 2 168" xfId="336"/>
    <cellStyle name="20% - akcent 2 168 2" xfId="4187"/>
    <cellStyle name="20% - akcent 2 168 2 2" xfId="10822"/>
    <cellStyle name="20% - akcent 2 168 3" xfId="7532"/>
    <cellStyle name="20% - akcent 2 169" xfId="337"/>
    <cellStyle name="20% - akcent 2 169 2" xfId="4188"/>
    <cellStyle name="20% - akcent 2 169 2 2" xfId="10823"/>
    <cellStyle name="20% - akcent 2 169 3" xfId="7533"/>
    <cellStyle name="20% - akcent 2 17" xfId="338"/>
    <cellStyle name="20% - akcent 2 17 2" xfId="339"/>
    <cellStyle name="20% - akcent 2 17 2 2" xfId="4190"/>
    <cellStyle name="20% - akcent 2 17 2 2 2" xfId="10825"/>
    <cellStyle name="20% - akcent 2 17 2 3" xfId="7535"/>
    <cellStyle name="20% - akcent 2 17 3" xfId="4189"/>
    <cellStyle name="20% - akcent 2 17 3 2" xfId="10824"/>
    <cellStyle name="20% - akcent 2 17 4" xfId="7534"/>
    <cellStyle name="20% - akcent 2 170" xfId="340"/>
    <cellStyle name="20% - akcent 2 170 2" xfId="4191"/>
    <cellStyle name="20% - akcent 2 170 2 2" xfId="10826"/>
    <cellStyle name="20% - akcent 2 170 3" xfId="7536"/>
    <cellStyle name="20% - akcent 2 171" xfId="341"/>
    <cellStyle name="20% - akcent 2 171 2" xfId="4192"/>
    <cellStyle name="20% - akcent 2 171 2 2" xfId="10827"/>
    <cellStyle name="20% - akcent 2 171 3" xfId="7537"/>
    <cellStyle name="20% - akcent 2 172" xfId="342"/>
    <cellStyle name="20% - akcent 2 172 2" xfId="4193"/>
    <cellStyle name="20% - akcent 2 172 2 2" xfId="10828"/>
    <cellStyle name="20% - akcent 2 172 3" xfId="7538"/>
    <cellStyle name="20% - akcent 2 173" xfId="343"/>
    <cellStyle name="20% - akcent 2 173 2" xfId="4194"/>
    <cellStyle name="20% - akcent 2 173 2 2" xfId="10829"/>
    <cellStyle name="20% - akcent 2 173 3" xfId="7539"/>
    <cellStyle name="20% - akcent 2 174" xfId="344"/>
    <cellStyle name="20% - akcent 2 174 2" xfId="4195"/>
    <cellStyle name="20% - akcent 2 174 2 2" xfId="10830"/>
    <cellStyle name="20% - akcent 2 174 3" xfId="7540"/>
    <cellStyle name="20% - akcent 2 175" xfId="345"/>
    <cellStyle name="20% - akcent 2 175 2" xfId="4196"/>
    <cellStyle name="20% - akcent 2 175 2 2" xfId="10831"/>
    <cellStyle name="20% - akcent 2 175 3" xfId="7541"/>
    <cellStyle name="20% - akcent 2 176" xfId="346"/>
    <cellStyle name="20% - akcent 2 176 2" xfId="4197"/>
    <cellStyle name="20% - akcent 2 176 2 2" xfId="10832"/>
    <cellStyle name="20% - akcent 2 176 3" xfId="7542"/>
    <cellStyle name="20% - akcent 2 177" xfId="347"/>
    <cellStyle name="20% - akcent 2 177 2" xfId="4198"/>
    <cellStyle name="20% - akcent 2 177 2 2" xfId="10833"/>
    <cellStyle name="20% - akcent 2 177 3" xfId="7543"/>
    <cellStyle name="20% - akcent 2 178" xfId="348"/>
    <cellStyle name="20% - akcent 2 178 2" xfId="4199"/>
    <cellStyle name="20% - akcent 2 178 2 2" xfId="10834"/>
    <cellStyle name="20% - akcent 2 178 3" xfId="7544"/>
    <cellStyle name="20% - akcent 2 179" xfId="349"/>
    <cellStyle name="20% - akcent 2 179 2" xfId="4200"/>
    <cellStyle name="20% - akcent 2 179 2 2" xfId="10835"/>
    <cellStyle name="20% - akcent 2 179 3" xfId="7545"/>
    <cellStyle name="20% - akcent 2 18" xfId="350"/>
    <cellStyle name="20% - akcent 2 18 2" xfId="351"/>
    <cellStyle name="20% - akcent 2 18 2 2" xfId="4202"/>
    <cellStyle name="20% - akcent 2 18 2 2 2" xfId="10837"/>
    <cellStyle name="20% - akcent 2 18 2 3" xfId="7547"/>
    <cellStyle name="20% - akcent 2 18 3" xfId="4201"/>
    <cellStyle name="20% - akcent 2 18 3 2" xfId="10836"/>
    <cellStyle name="20% - akcent 2 18 4" xfId="7546"/>
    <cellStyle name="20% - akcent 2 180" xfId="352"/>
    <cellStyle name="20% - akcent 2 180 2" xfId="4203"/>
    <cellStyle name="20% - akcent 2 180 2 2" xfId="10838"/>
    <cellStyle name="20% - akcent 2 180 3" xfId="7548"/>
    <cellStyle name="20% - akcent 2 181" xfId="353"/>
    <cellStyle name="20% - akcent 2 181 2" xfId="4204"/>
    <cellStyle name="20% - akcent 2 181 2 2" xfId="10839"/>
    <cellStyle name="20% - akcent 2 181 3" xfId="7549"/>
    <cellStyle name="20% - akcent 2 182" xfId="354"/>
    <cellStyle name="20% - akcent 2 182 2" xfId="4205"/>
    <cellStyle name="20% - akcent 2 182 2 2" xfId="10840"/>
    <cellStyle name="20% - akcent 2 182 3" xfId="7550"/>
    <cellStyle name="20% - akcent 2 183" xfId="355"/>
    <cellStyle name="20% - akcent 2 183 2" xfId="4206"/>
    <cellStyle name="20% - akcent 2 183 2 2" xfId="10841"/>
    <cellStyle name="20% - akcent 2 183 3" xfId="7551"/>
    <cellStyle name="20% - akcent 2 184" xfId="356"/>
    <cellStyle name="20% - akcent 2 184 2" xfId="4207"/>
    <cellStyle name="20% - akcent 2 184 2 2" xfId="10842"/>
    <cellStyle name="20% - akcent 2 184 3" xfId="7552"/>
    <cellStyle name="20% - akcent 2 185" xfId="357"/>
    <cellStyle name="20% - akcent 2 185 2" xfId="4208"/>
    <cellStyle name="20% - akcent 2 185 2 2" xfId="10843"/>
    <cellStyle name="20% - akcent 2 185 3" xfId="7553"/>
    <cellStyle name="20% - akcent 2 186" xfId="358"/>
    <cellStyle name="20% - akcent 2 186 2" xfId="4209"/>
    <cellStyle name="20% - akcent 2 186 2 2" xfId="10844"/>
    <cellStyle name="20% - akcent 2 186 3" xfId="7554"/>
    <cellStyle name="20% - akcent 2 187" xfId="359"/>
    <cellStyle name="20% - akcent 2 187 2" xfId="4210"/>
    <cellStyle name="20% - akcent 2 187 2 2" xfId="10845"/>
    <cellStyle name="20% - akcent 2 187 3" xfId="7555"/>
    <cellStyle name="20% - akcent 2 188" xfId="360"/>
    <cellStyle name="20% - akcent 2 188 2" xfId="4211"/>
    <cellStyle name="20% - akcent 2 188 2 2" xfId="10846"/>
    <cellStyle name="20% - akcent 2 188 3" xfId="7556"/>
    <cellStyle name="20% - akcent 2 189" xfId="361"/>
    <cellStyle name="20% - akcent 2 189 2" xfId="4212"/>
    <cellStyle name="20% - akcent 2 189 2 2" xfId="10847"/>
    <cellStyle name="20% - akcent 2 189 3" xfId="7557"/>
    <cellStyle name="20% - akcent 2 19" xfId="362"/>
    <cellStyle name="20% - akcent 2 19 2" xfId="363"/>
    <cellStyle name="20% - akcent 2 19 2 2" xfId="4214"/>
    <cellStyle name="20% - akcent 2 19 2 2 2" xfId="10849"/>
    <cellStyle name="20% - akcent 2 19 2 3" xfId="7559"/>
    <cellStyle name="20% - akcent 2 19 3" xfId="4213"/>
    <cellStyle name="20% - akcent 2 19 3 2" xfId="10848"/>
    <cellStyle name="20% - akcent 2 19 4" xfId="7558"/>
    <cellStyle name="20% - akcent 2 190" xfId="364"/>
    <cellStyle name="20% - akcent 2 190 2" xfId="4215"/>
    <cellStyle name="20% - akcent 2 190 2 2" xfId="10850"/>
    <cellStyle name="20% - akcent 2 190 3" xfId="7560"/>
    <cellStyle name="20% - akcent 2 191" xfId="365"/>
    <cellStyle name="20% - akcent 2 191 2" xfId="4216"/>
    <cellStyle name="20% - akcent 2 191 2 2" xfId="10851"/>
    <cellStyle name="20% - akcent 2 191 3" xfId="7561"/>
    <cellStyle name="20% - akcent 2 192" xfId="366"/>
    <cellStyle name="20% - akcent 2 192 2" xfId="4217"/>
    <cellStyle name="20% - akcent 2 192 2 2" xfId="10852"/>
    <cellStyle name="20% - akcent 2 192 3" xfId="7562"/>
    <cellStyle name="20% - akcent 2 193" xfId="367"/>
    <cellStyle name="20% - akcent 2 193 2" xfId="4218"/>
    <cellStyle name="20% - akcent 2 193 2 2" xfId="10853"/>
    <cellStyle name="20% - akcent 2 193 3" xfId="7563"/>
    <cellStyle name="20% - akcent 2 194" xfId="368"/>
    <cellStyle name="20% - akcent 2 194 2" xfId="4219"/>
    <cellStyle name="20% - akcent 2 194 2 2" xfId="10854"/>
    <cellStyle name="20% - akcent 2 194 3" xfId="7564"/>
    <cellStyle name="20% - akcent 2 195" xfId="3839"/>
    <cellStyle name="20% - akcent 2 195 2" xfId="10474"/>
    <cellStyle name="20% - akcent 2 196" xfId="7118"/>
    <cellStyle name="20% - akcent 2 197" xfId="7188"/>
    <cellStyle name="20% - akcent 2 2" xfId="369"/>
    <cellStyle name="20% - akcent 2 2 2" xfId="370"/>
    <cellStyle name="20% - akcent 2 2 2 2" xfId="4221"/>
    <cellStyle name="20% - akcent 2 2 2 2 2" xfId="10856"/>
    <cellStyle name="20% - akcent 2 2 2 3" xfId="7566"/>
    <cellStyle name="20% - akcent 2 2 3" xfId="4220"/>
    <cellStyle name="20% - akcent 2 2 3 2" xfId="10855"/>
    <cellStyle name="20% - akcent 2 2 4" xfId="7565"/>
    <cellStyle name="20% - akcent 2 20" xfId="371"/>
    <cellStyle name="20% - akcent 2 20 2" xfId="372"/>
    <cellStyle name="20% - akcent 2 20 2 2" xfId="4223"/>
    <cellStyle name="20% - akcent 2 20 2 2 2" xfId="10858"/>
    <cellStyle name="20% - akcent 2 20 2 3" xfId="7568"/>
    <cellStyle name="20% - akcent 2 20 3" xfId="4222"/>
    <cellStyle name="20% - akcent 2 20 3 2" xfId="10857"/>
    <cellStyle name="20% - akcent 2 20 4" xfId="7567"/>
    <cellStyle name="20% - akcent 2 21" xfId="373"/>
    <cellStyle name="20% - akcent 2 21 2" xfId="374"/>
    <cellStyle name="20% - akcent 2 21 2 2" xfId="4225"/>
    <cellStyle name="20% - akcent 2 21 2 2 2" xfId="10860"/>
    <cellStyle name="20% - akcent 2 21 2 3" xfId="7570"/>
    <cellStyle name="20% - akcent 2 21 3" xfId="4224"/>
    <cellStyle name="20% - akcent 2 21 3 2" xfId="10859"/>
    <cellStyle name="20% - akcent 2 21 4" xfId="7569"/>
    <cellStyle name="20% - akcent 2 22" xfId="375"/>
    <cellStyle name="20% - akcent 2 22 2" xfId="376"/>
    <cellStyle name="20% - akcent 2 22 2 2" xfId="4227"/>
    <cellStyle name="20% - akcent 2 22 2 2 2" xfId="10862"/>
    <cellStyle name="20% - akcent 2 22 2 3" xfId="7572"/>
    <cellStyle name="20% - akcent 2 22 3" xfId="4226"/>
    <cellStyle name="20% - akcent 2 22 3 2" xfId="10861"/>
    <cellStyle name="20% - akcent 2 22 4" xfId="7571"/>
    <cellStyle name="20% - akcent 2 23" xfId="377"/>
    <cellStyle name="20% - akcent 2 23 2" xfId="378"/>
    <cellStyle name="20% - akcent 2 23 2 2" xfId="4229"/>
    <cellStyle name="20% - akcent 2 23 2 2 2" xfId="10864"/>
    <cellStyle name="20% - akcent 2 23 2 3" xfId="7574"/>
    <cellStyle name="20% - akcent 2 23 3" xfId="4228"/>
    <cellStyle name="20% - akcent 2 23 3 2" xfId="10863"/>
    <cellStyle name="20% - akcent 2 23 4" xfId="7573"/>
    <cellStyle name="20% - akcent 2 24" xfId="379"/>
    <cellStyle name="20% - akcent 2 24 2" xfId="380"/>
    <cellStyle name="20% - akcent 2 24 2 2" xfId="4231"/>
    <cellStyle name="20% - akcent 2 24 2 2 2" xfId="10866"/>
    <cellStyle name="20% - akcent 2 24 2 3" xfId="7576"/>
    <cellStyle name="20% - akcent 2 24 3" xfId="4230"/>
    <cellStyle name="20% - akcent 2 24 3 2" xfId="10865"/>
    <cellStyle name="20% - akcent 2 24 4" xfId="7575"/>
    <cellStyle name="20% - akcent 2 25" xfId="381"/>
    <cellStyle name="20% - akcent 2 25 2" xfId="382"/>
    <cellStyle name="20% - akcent 2 25 2 2" xfId="4233"/>
    <cellStyle name="20% - akcent 2 25 2 2 2" xfId="10868"/>
    <cellStyle name="20% - akcent 2 25 2 3" xfId="7578"/>
    <cellStyle name="20% - akcent 2 25 3" xfId="4232"/>
    <cellStyle name="20% - akcent 2 25 3 2" xfId="10867"/>
    <cellStyle name="20% - akcent 2 25 4" xfId="7577"/>
    <cellStyle name="20% - akcent 2 26" xfId="383"/>
    <cellStyle name="20% - akcent 2 26 2" xfId="384"/>
    <cellStyle name="20% - akcent 2 26 2 2" xfId="4235"/>
    <cellStyle name="20% - akcent 2 26 2 2 2" xfId="10870"/>
    <cellStyle name="20% - akcent 2 26 2 3" xfId="7580"/>
    <cellStyle name="20% - akcent 2 26 3" xfId="4234"/>
    <cellStyle name="20% - akcent 2 26 3 2" xfId="10869"/>
    <cellStyle name="20% - akcent 2 26 4" xfId="7579"/>
    <cellStyle name="20% - akcent 2 27" xfId="385"/>
    <cellStyle name="20% - akcent 2 27 2" xfId="386"/>
    <cellStyle name="20% - akcent 2 27 2 2" xfId="4237"/>
    <cellStyle name="20% - akcent 2 27 2 2 2" xfId="10872"/>
    <cellStyle name="20% - akcent 2 27 2 3" xfId="7582"/>
    <cellStyle name="20% - akcent 2 27 3" xfId="4236"/>
    <cellStyle name="20% - akcent 2 27 3 2" xfId="10871"/>
    <cellStyle name="20% - akcent 2 27 4" xfId="7581"/>
    <cellStyle name="20% - akcent 2 28" xfId="387"/>
    <cellStyle name="20% - akcent 2 28 2" xfId="388"/>
    <cellStyle name="20% - akcent 2 28 2 2" xfId="4239"/>
    <cellStyle name="20% - akcent 2 28 2 2 2" xfId="10874"/>
    <cellStyle name="20% - akcent 2 28 2 3" xfId="7584"/>
    <cellStyle name="20% - akcent 2 28 3" xfId="4238"/>
    <cellStyle name="20% - akcent 2 28 3 2" xfId="10873"/>
    <cellStyle name="20% - akcent 2 28 4" xfId="7583"/>
    <cellStyle name="20% - akcent 2 29" xfId="389"/>
    <cellStyle name="20% - akcent 2 29 2" xfId="390"/>
    <cellStyle name="20% - akcent 2 29 2 2" xfId="4241"/>
    <cellStyle name="20% - akcent 2 29 2 2 2" xfId="10876"/>
    <cellStyle name="20% - akcent 2 29 2 3" xfId="7586"/>
    <cellStyle name="20% - akcent 2 29 3" xfId="4240"/>
    <cellStyle name="20% - akcent 2 29 3 2" xfId="10875"/>
    <cellStyle name="20% - akcent 2 29 4" xfId="7585"/>
    <cellStyle name="20% - akcent 2 3" xfId="391"/>
    <cellStyle name="20% - akcent 2 3 2" xfId="392"/>
    <cellStyle name="20% - akcent 2 3 2 2" xfId="4243"/>
    <cellStyle name="20% - akcent 2 3 2 2 2" xfId="10878"/>
    <cellStyle name="20% - akcent 2 3 2 3" xfId="7588"/>
    <cellStyle name="20% - akcent 2 3 3" xfId="4242"/>
    <cellStyle name="20% - akcent 2 3 3 2" xfId="10877"/>
    <cellStyle name="20% - akcent 2 3 4" xfId="7587"/>
    <cellStyle name="20% - akcent 2 30" xfId="393"/>
    <cellStyle name="20% - akcent 2 30 2" xfId="394"/>
    <cellStyle name="20% - akcent 2 30 2 2" xfId="4245"/>
    <cellStyle name="20% - akcent 2 30 2 2 2" xfId="10880"/>
    <cellStyle name="20% - akcent 2 30 2 3" xfId="7590"/>
    <cellStyle name="20% - akcent 2 30 3" xfId="4244"/>
    <cellStyle name="20% - akcent 2 30 3 2" xfId="10879"/>
    <cellStyle name="20% - akcent 2 30 4" xfId="7589"/>
    <cellStyle name="20% - akcent 2 31" xfId="395"/>
    <cellStyle name="20% - akcent 2 31 2" xfId="396"/>
    <cellStyle name="20% - akcent 2 31 2 2" xfId="4247"/>
    <cellStyle name="20% - akcent 2 31 2 2 2" xfId="10882"/>
    <cellStyle name="20% - akcent 2 31 2 3" xfId="7592"/>
    <cellStyle name="20% - akcent 2 31 3" xfId="4246"/>
    <cellStyle name="20% - akcent 2 31 3 2" xfId="10881"/>
    <cellStyle name="20% - akcent 2 31 4" xfId="7591"/>
    <cellStyle name="20% - akcent 2 32" xfId="397"/>
    <cellStyle name="20% - akcent 2 32 2" xfId="398"/>
    <cellStyle name="20% - akcent 2 32 2 2" xfId="4249"/>
    <cellStyle name="20% - akcent 2 32 2 2 2" xfId="10884"/>
    <cellStyle name="20% - akcent 2 32 2 3" xfId="7594"/>
    <cellStyle name="20% - akcent 2 32 3" xfId="4248"/>
    <cellStyle name="20% - akcent 2 32 3 2" xfId="10883"/>
    <cellStyle name="20% - akcent 2 32 4" xfId="7593"/>
    <cellStyle name="20% - akcent 2 33" xfId="399"/>
    <cellStyle name="20% - akcent 2 33 2" xfId="400"/>
    <cellStyle name="20% - akcent 2 33 2 2" xfId="4251"/>
    <cellStyle name="20% - akcent 2 33 2 2 2" xfId="10886"/>
    <cellStyle name="20% - akcent 2 33 2 3" xfId="7596"/>
    <cellStyle name="20% - akcent 2 33 3" xfId="4250"/>
    <cellStyle name="20% - akcent 2 33 3 2" xfId="10885"/>
    <cellStyle name="20% - akcent 2 33 4" xfId="7595"/>
    <cellStyle name="20% - akcent 2 34" xfId="401"/>
    <cellStyle name="20% - akcent 2 34 2" xfId="402"/>
    <cellStyle name="20% - akcent 2 34 2 2" xfId="4253"/>
    <cellStyle name="20% - akcent 2 34 2 2 2" xfId="10888"/>
    <cellStyle name="20% - akcent 2 34 2 3" xfId="7598"/>
    <cellStyle name="20% - akcent 2 34 3" xfId="4252"/>
    <cellStyle name="20% - akcent 2 34 3 2" xfId="10887"/>
    <cellStyle name="20% - akcent 2 34 4" xfId="7597"/>
    <cellStyle name="20% - akcent 2 35" xfId="403"/>
    <cellStyle name="20% - akcent 2 35 2" xfId="404"/>
    <cellStyle name="20% - akcent 2 35 2 2" xfId="4255"/>
    <cellStyle name="20% - akcent 2 35 2 2 2" xfId="10890"/>
    <cellStyle name="20% - akcent 2 35 2 3" xfId="7600"/>
    <cellStyle name="20% - akcent 2 35 3" xfId="4254"/>
    <cellStyle name="20% - akcent 2 35 3 2" xfId="10889"/>
    <cellStyle name="20% - akcent 2 35 4" xfId="7599"/>
    <cellStyle name="20% - akcent 2 36" xfId="405"/>
    <cellStyle name="20% - akcent 2 36 2" xfId="406"/>
    <cellStyle name="20% - akcent 2 36 2 2" xfId="4257"/>
    <cellStyle name="20% - akcent 2 36 2 2 2" xfId="10892"/>
    <cellStyle name="20% - akcent 2 36 2 3" xfId="7602"/>
    <cellStyle name="20% - akcent 2 36 3" xfId="4256"/>
    <cellStyle name="20% - akcent 2 36 3 2" xfId="10891"/>
    <cellStyle name="20% - akcent 2 36 4" xfId="7601"/>
    <cellStyle name="20% - akcent 2 37" xfId="407"/>
    <cellStyle name="20% - akcent 2 37 2" xfId="408"/>
    <cellStyle name="20% - akcent 2 37 2 2" xfId="4259"/>
    <cellStyle name="20% - akcent 2 37 2 2 2" xfId="10894"/>
    <cellStyle name="20% - akcent 2 37 2 3" xfId="7604"/>
    <cellStyle name="20% - akcent 2 37 3" xfId="4258"/>
    <cellStyle name="20% - akcent 2 37 3 2" xfId="10893"/>
    <cellStyle name="20% - akcent 2 37 4" xfId="7603"/>
    <cellStyle name="20% - akcent 2 38" xfId="409"/>
    <cellStyle name="20% - akcent 2 38 2" xfId="410"/>
    <cellStyle name="20% - akcent 2 38 2 2" xfId="4261"/>
    <cellStyle name="20% - akcent 2 38 2 2 2" xfId="10896"/>
    <cellStyle name="20% - akcent 2 38 2 3" xfId="7606"/>
    <cellStyle name="20% - akcent 2 38 3" xfId="4260"/>
    <cellStyle name="20% - akcent 2 38 3 2" xfId="10895"/>
    <cellStyle name="20% - akcent 2 38 4" xfId="7605"/>
    <cellStyle name="20% - akcent 2 39" xfId="411"/>
    <cellStyle name="20% - akcent 2 39 2" xfId="412"/>
    <cellStyle name="20% - akcent 2 39 2 2" xfId="4263"/>
    <cellStyle name="20% - akcent 2 39 2 2 2" xfId="10898"/>
    <cellStyle name="20% - akcent 2 39 2 3" xfId="7608"/>
    <cellStyle name="20% - akcent 2 39 3" xfId="4262"/>
    <cellStyle name="20% - akcent 2 39 3 2" xfId="10897"/>
    <cellStyle name="20% - akcent 2 39 4" xfId="7607"/>
    <cellStyle name="20% - akcent 2 4" xfId="413"/>
    <cellStyle name="20% - akcent 2 4 2" xfId="414"/>
    <cellStyle name="20% - akcent 2 4 2 2" xfId="4265"/>
    <cellStyle name="20% - akcent 2 4 2 2 2" xfId="10900"/>
    <cellStyle name="20% - akcent 2 4 2 3" xfId="7610"/>
    <cellStyle name="20% - akcent 2 4 3" xfId="4264"/>
    <cellStyle name="20% - akcent 2 4 3 2" xfId="10899"/>
    <cellStyle name="20% - akcent 2 4 4" xfId="7609"/>
    <cellStyle name="20% - akcent 2 40" xfId="415"/>
    <cellStyle name="20% - akcent 2 40 2" xfId="416"/>
    <cellStyle name="20% - akcent 2 40 2 2" xfId="4267"/>
    <cellStyle name="20% - akcent 2 40 2 2 2" xfId="10902"/>
    <cellStyle name="20% - akcent 2 40 2 3" xfId="7612"/>
    <cellStyle name="20% - akcent 2 40 3" xfId="4266"/>
    <cellStyle name="20% - akcent 2 40 3 2" xfId="10901"/>
    <cellStyle name="20% - akcent 2 40 4" xfId="7611"/>
    <cellStyle name="20% - akcent 2 41" xfId="417"/>
    <cellStyle name="20% - akcent 2 41 2" xfId="418"/>
    <cellStyle name="20% - akcent 2 41 2 2" xfId="4269"/>
    <cellStyle name="20% - akcent 2 41 2 2 2" xfId="10904"/>
    <cellStyle name="20% - akcent 2 41 2 3" xfId="7614"/>
    <cellStyle name="20% - akcent 2 41 3" xfId="4268"/>
    <cellStyle name="20% - akcent 2 41 3 2" xfId="10903"/>
    <cellStyle name="20% - akcent 2 41 4" xfId="7613"/>
    <cellStyle name="20% - akcent 2 42" xfId="419"/>
    <cellStyle name="20% - akcent 2 42 2" xfId="420"/>
    <cellStyle name="20% - akcent 2 42 2 2" xfId="4271"/>
    <cellStyle name="20% - akcent 2 42 2 2 2" xfId="10906"/>
    <cellStyle name="20% - akcent 2 42 2 3" xfId="7616"/>
    <cellStyle name="20% - akcent 2 42 3" xfId="4270"/>
    <cellStyle name="20% - akcent 2 42 3 2" xfId="10905"/>
    <cellStyle name="20% - akcent 2 42 4" xfId="7615"/>
    <cellStyle name="20% - akcent 2 43" xfId="421"/>
    <cellStyle name="20% - akcent 2 43 2" xfId="422"/>
    <cellStyle name="20% - akcent 2 43 2 2" xfId="4273"/>
    <cellStyle name="20% - akcent 2 43 2 2 2" xfId="10908"/>
    <cellStyle name="20% - akcent 2 43 2 3" xfId="7618"/>
    <cellStyle name="20% - akcent 2 43 3" xfId="4272"/>
    <cellStyle name="20% - akcent 2 43 3 2" xfId="10907"/>
    <cellStyle name="20% - akcent 2 43 4" xfId="7617"/>
    <cellStyle name="20% - akcent 2 44" xfId="423"/>
    <cellStyle name="20% - akcent 2 44 2" xfId="424"/>
    <cellStyle name="20% - akcent 2 44 2 2" xfId="4275"/>
    <cellStyle name="20% - akcent 2 44 2 2 2" xfId="10910"/>
    <cellStyle name="20% - akcent 2 44 2 3" xfId="7620"/>
    <cellStyle name="20% - akcent 2 44 3" xfId="4274"/>
    <cellStyle name="20% - akcent 2 44 3 2" xfId="10909"/>
    <cellStyle name="20% - akcent 2 44 4" xfId="7619"/>
    <cellStyle name="20% - akcent 2 45" xfId="425"/>
    <cellStyle name="20% - akcent 2 45 2" xfId="426"/>
    <cellStyle name="20% - akcent 2 45 2 2" xfId="4277"/>
    <cellStyle name="20% - akcent 2 45 2 2 2" xfId="10912"/>
    <cellStyle name="20% - akcent 2 45 2 3" xfId="7622"/>
    <cellStyle name="20% - akcent 2 45 3" xfId="4276"/>
    <cellStyle name="20% - akcent 2 45 3 2" xfId="10911"/>
    <cellStyle name="20% - akcent 2 45 4" xfId="7621"/>
    <cellStyle name="20% - akcent 2 46" xfId="427"/>
    <cellStyle name="20% - akcent 2 46 2" xfId="428"/>
    <cellStyle name="20% - akcent 2 46 2 2" xfId="4279"/>
    <cellStyle name="20% - akcent 2 46 2 2 2" xfId="10914"/>
    <cellStyle name="20% - akcent 2 46 2 3" xfId="7624"/>
    <cellStyle name="20% - akcent 2 46 3" xfId="4278"/>
    <cellStyle name="20% - akcent 2 46 3 2" xfId="10913"/>
    <cellStyle name="20% - akcent 2 46 4" xfId="7623"/>
    <cellStyle name="20% - akcent 2 47" xfId="429"/>
    <cellStyle name="20% - akcent 2 47 2" xfId="430"/>
    <cellStyle name="20% - akcent 2 47 2 2" xfId="4281"/>
    <cellStyle name="20% - akcent 2 47 2 2 2" xfId="10916"/>
    <cellStyle name="20% - akcent 2 47 2 3" xfId="7626"/>
    <cellStyle name="20% - akcent 2 47 3" xfId="4280"/>
    <cellStyle name="20% - akcent 2 47 3 2" xfId="10915"/>
    <cellStyle name="20% - akcent 2 47 4" xfId="7625"/>
    <cellStyle name="20% - akcent 2 48" xfId="431"/>
    <cellStyle name="20% - akcent 2 48 2" xfId="432"/>
    <cellStyle name="20% - akcent 2 48 2 2" xfId="4283"/>
    <cellStyle name="20% - akcent 2 48 2 2 2" xfId="10918"/>
    <cellStyle name="20% - akcent 2 48 2 3" xfId="7628"/>
    <cellStyle name="20% - akcent 2 48 3" xfId="4282"/>
    <cellStyle name="20% - akcent 2 48 3 2" xfId="10917"/>
    <cellStyle name="20% - akcent 2 48 4" xfId="7627"/>
    <cellStyle name="20% - akcent 2 49" xfId="433"/>
    <cellStyle name="20% - akcent 2 49 2" xfId="434"/>
    <cellStyle name="20% - akcent 2 49 2 2" xfId="4285"/>
    <cellStyle name="20% - akcent 2 49 2 2 2" xfId="10920"/>
    <cellStyle name="20% - akcent 2 49 2 3" xfId="7630"/>
    <cellStyle name="20% - akcent 2 49 3" xfId="4284"/>
    <cellStyle name="20% - akcent 2 49 3 2" xfId="10919"/>
    <cellStyle name="20% - akcent 2 49 4" xfId="7629"/>
    <cellStyle name="20% - akcent 2 5" xfId="435"/>
    <cellStyle name="20% - akcent 2 5 2" xfId="436"/>
    <cellStyle name="20% - akcent 2 5 2 2" xfId="4287"/>
    <cellStyle name="20% - akcent 2 5 2 2 2" xfId="10922"/>
    <cellStyle name="20% - akcent 2 5 2 3" xfId="7632"/>
    <cellStyle name="20% - akcent 2 5 3" xfId="4286"/>
    <cellStyle name="20% - akcent 2 5 3 2" xfId="10921"/>
    <cellStyle name="20% - akcent 2 5 4" xfId="7631"/>
    <cellStyle name="20% - akcent 2 50" xfId="437"/>
    <cellStyle name="20% - akcent 2 50 2" xfId="438"/>
    <cellStyle name="20% - akcent 2 50 2 2" xfId="4289"/>
    <cellStyle name="20% - akcent 2 50 2 2 2" xfId="10924"/>
    <cellStyle name="20% - akcent 2 50 2 3" xfId="7634"/>
    <cellStyle name="20% - akcent 2 50 3" xfId="4288"/>
    <cellStyle name="20% - akcent 2 50 3 2" xfId="10923"/>
    <cellStyle name="20% - akcent 2 50 4" xfId="7633"/>
    <cellStyle name="20% - akcent 2 51" xfId="439"/>
    <cellStyle name="20% - akcent 2 51 2" xfId="440"/>
    <cellStyle name="20% - akcent 2 51 2 2" xfId="4291"/>
    <cellStyle name="20% - akcent 2 51 2 2 2" xfId="10926"/>
    <cellStyle name="20% - akcent 2 51 2 3" xfId="7636"/>
    <cellStyle name="20% - akcent 2 51 3" xfId="4290"/>
    <cellStyle name="20% - akcent 2 51 3 2" xfId="10925"/>
    <cellStyle name="20% - akcent 2 51 4" xfId="7635"/>
    <cellStyle name="20% - akcent 2 52" xfId="441"/>
    <cellStyle name="20% - akcent 2 52 2" xfId="442"/>
    <cellStyle name="20% - akcent 2 52 2 2" xfId="4293"/>
    <cellStyle name="20% - akcent 2 52 2 2 2" xfId="10928"/>
    <cellStyle name="20% - akcent 2 52 2 3" xfId="7638"/>
    <cellStyle name="20% - akcent 2 52 3" xfId="4292"/>
    <cellStyle name="20% - akcent 2 52 3 2" xfId="10927"/>
    <cellStyle name="20% - akcent 2 52 4" xfId="7637"/>
    <cellStyle name="20% - akcent 2 53" xfId="443"/>
    <cellStyle name="20% - akcent 2 53 2" xfId="444"/>
    <cellStyle name="20% - akcent 2 53 2 2" xfId="4295"/>
    <cellStyle name="20% - akcent 2 53 2 2 2" xfId="10930"/>
    <cellStyle name="20% - akcent 2 53 2 3" xfId="7640"/>
    <cellStyle name="20% - akcent 2 53 3" xfId="4294"/>
    <cellStyle name="20% - akcent 2 53 3 2" xfId="10929"/>
    <cellStyle name="20% - akcent 2 53 4" xfId="7639"/>
    <cellStyle name="20% - akcent 2 54" xfId="445"/>
    <cellStyle name="20% - akcent 2 54 2" xfId="446"/>
    <cellStyle name="20% - akcent 2 54 2 2" xfId="4297"/>
    <cellStyle name="20% - akcent 2 54 2 2 2" xfId="10932"/>
    <cellStyle name="20% - akcent 2 54 2 3" xfId="7642"/>
    <cellStyle name="20% - akcent 2 54 3" xfId="4296"/>
    <cellStyle name="20% - akcent 2 54 3 2" xfId="10931"/>
    <cellStyle name="20% - akcent 2 54 4" xfId="7641"/>
    <cellStyle name="20% - akcent 2 55" xfId="447"/>
    <cellStyle name="20% - akcent 2 55 2" xfId="448"/>
    <cellStyle name="20% - akcent 2 55 2 2" xfId="4299"/>
    <cellStyle name="20% - akcent 2 55 2 2 2" xfId="10934"/>
    <cellStyle name="20% - akcent 2 55 2 3" xfId="7644"/>
    <cellStyle name="20% - akcent 2 55 3" xfId="4298"/>
    <cellStyle name="20% - akcent 2 55 3 2" xfId="10933"/>
    <cellStyle name="20% - akcent 2 55 4" xfId="7643"/>
    <cellStyle name="20% - akcent 2 56" xfId="449"/>
    <cellStyle name="20% - akcent 2 56 2" xfId="450"/>
    <cellStyle name="20% - akcent 2 56 2 2" xfId="4301"/>
    <cellStyle name="20% - akcent 2 56 2 2 2" xfId="10936"/>
    <cellStyle name="20% - akcent 2 56 2 3" xfId="7646"/>
    <cellStyle name="20% - akcent 2 56 3" xfId="4300"/>
    <cellStyle name="20% - akcent 2 56 3 2" xfId="10935"/>
    <cellStyle name="20% - akcent 2 56 4" xfId="7645"/>
    <cellStyle name="20% - akcent 2 57" xfId="451"/>
    <cellStyle name="20% - akcent 2 57 2" xfId="452"/>
    <cellStyle name="20% - akcent 2 57 2 2" xfId="4303"/>
    <cellStyle name="20% - akcent 2 57 2 2 2" xfId="10938"/>
    <cellStyle name="20% - akcent 2 57 2 3" xfId="7648"/>
    <cellStyle name="20% - akcent 2 57 3" xfId="4302"/>
    <cellStyle name="20% - akcent 2 57 3 2" xfId="10937"/>
    <cellStyle name="20% - akcent 2 57 4" xfId="7647"/>
    <cellStyle name="20% - akcent 2 58" xfId="453"/>
    <cellStyle name="20% - akcent 2 58 2" xfId="454"/>
    <cellStyle name="20% - akcent 2 58 2 2" xfId="4305"/>
    <cellStyle name="20% - akcent 2 58 2 2 2" xfId="10940"/>
    <cellStyle name="20% - akcent 2 58 2 3" xfId="7650"/>
    <cellStyle name="20% - akcent 2 58 3" xfId="4304"/>
    <cellStyle name="20% - akcent 2 58 3 2" xfId="10939"/>
    <cellStyle name="20% - akcent 2 58 4" xfId="7649"/>
    <cellStyle name="20% - akcent 2 59" xfId="455"/>
    <cellStyle name="20% - akcent 2 59 2" xfId="456"/>
    <cellStyle name="20% - akcent 2 59 2 2" xfId="4307"/>
    <cellStyle name="20% - akcent 2 59 2 2 2" xfId="10942"/>
    <cellStyle name="20% - akcent 2 59 2 3" xfId="7652"/>
    <cellStyle name="20% - akcent 2 59 3" xfId="4306"/>
    <cellStyle name="20% - akcent 2 59 3 2" xfId="10941"/>
    <cellStyle name="20% - akcent 2 59 4" xfId="7651"/>
    <cellStyle name="20% - akcent 2 6" xfId="457"/>
    <cellStyle name="20% - akcent 2 6 2" xfId="458"/>
    <cellStyle name="20% - akcent 2 6 2 2" xfId="4309"/>
    <cellStyle name="20% - akcent 2 6 2 2 2" xfId="10944"/>
    <cellStyle name="20% - akcent 2 6 2 3" xfId="7654"/>
    <cellStyle name="20% - akcent 2 6 3" xfId="4308"/>
    <cellStyle name="20% - akcent 2 6 3 2" xfId="10943"/>
    <cellStyle name="20% - akcent 2 6 4" xfId="7653"/>
    <cellStyle name="20% - akcent 2 60" xfId="459"/>
    <cellStyle name="20% - akcent 2 60 2" xfId="4310"/>
    <cellStyle name="20% - akcent 2 60 2 2" xfId="10945"/>
    <cellStyle name="20% - akcent 2 60 3" xfId="7655"/>
    <cellStyle name="20% - akcent 2 61" xfId="460"/>
    <cellStyle name="20% - akcent 2 61 2" xfId="4311"/>
    <cellStyle name="20% - akcent 2 61 2 2" xfId="10946"/>
    <cellStyle name="20% - akcent 2 61 3" xfId="7656"/>
    <cellStyle name="20% - akcent 2 62" xfId="461"/>
    <cellStyle name="20% - akcent 2 62 2" xfId="4312"/>
    <cellStyle name="20% - akcent 2 62 2 2" xfId="10947"/>
    <cellStyle name="20% - akcent 2 62 3" xfId="7657"/>
    <cellStyle name="20% - akcent 2 63" xfId="462"/>
    <cellStyle name="20% - akcent 2 63 2" xfId="4313"/>
    <cellStyle name="20% - akcent 2 63 2 2" xfId="10948"/>
    <cellStyle name="20% - akcent 2 63 3" xfId="7658"/>
    <cellStyle name="20% - akcent 2 64" xfId="463"/>
    <cellStyle name="20% - akcent 2 64 2" xfId="4314"/>
    <cellStyle name="20% - akcent 2 64 2 2" xfId="10949"/>
    <cellStyle name="20% - akcent 2 64 3" xfId="7659"/>
    <cellStyle name="20% - akcent 2 65" xfId="464"/>
    <cellStyle name="20% - akcent 2 65 2" xfId="4315"/>
    <cellStyle name="20% - akcent 2 65 2 2" xfId="10950"/>
    <cellStyle name="20% - akcent 2 65 3" xfId="7660"/>
    <cellStyle name="20% - akcent 2 66" xfId="465"/>
    <cellStyle name="20% - akcent 2 66 2" xfId="4316"/>
    <cellStyle name="20% - akcent 2 66 2 2" xfId="10951"/>
    <cellStyle name="20% - akcent 2 66 3" xfId="7661"/>
    <cellStyle name="20% - akcent 2 67" xfId="466"/>
    <cellStyle name="20% - akcent 2 67 2" xfId="4317"/>
    <cellStyle name="20% - akcent 2 67 2 2" xfId="10952"/>
    <cellStyle name="20% - akcent 2 67 3" xfId="7662"/>
    <cellStyle name="20% - akcent 2 68" xfId="467"/>
    <cellStyle name="20% - akcent 2 68 2" xfId="4318"/>
    <cellStyle name="20% - akcent 2 68 2 2" xfId="10953"/>
    <cellStyle name="20% - akcent 2 68 3" xfId="7663"/>
    <cellStyle name="20% - akcent 2 69" xfId="468"/>
    <cellStyle name="20% - akcent 2 69 2" xfId="4319"/>
    <cellStyle name="20% - akcent 2 69 2 2" xfId="10954"/>
    <cellStyle name="20% - akcent 2 69 3" xfId="7664"/>
    <cellStyle name="20% - akcent 2 7" xfId="469"/>
    <cellStyle name="20% - akcent 2 7 2" xfId="470"/>
    <cellStyle name="20% - akcent 2 7 2 2" xfId="4321"/>
    <cellStyle name="20% - akcent 2 7 2 2 2" xfId="10956"/>
    <cellStyle name="20% - akcent 2 7 2 3" xfId="7666"/>
    <cellStyle name="20% - akcent 2 7 3" xfId="4320"/>
    <cellStyle name="20% - akcent 2 7 3 2" xfId="10955"/>
    <cellStyle name="20% - akcent 2 7 4" xfId="7665"/>
    <cellStyle name="20% - akcent 2 70" xfId="471"/>
    <cellStyle name="20% - akcent 2 70 2" xfId="4322"/>
    <cellStyle name="20% - akcent 2 70 2 2" xfId="10957"/>
    <cellStyle name="20% - akcent 2 70 3" xfId="7667"/>
    <cellStyle name="20% - akcent 2 71" xfId="472"/>
    <cellStyle name="20% - akcent 2 71 2" xfId="4323"/>
    <cellStyle name="20% - akcent 2 71 2 2" xfId="10958"/>
    <cellStyle name="20% - akcent 2 71 3" xfId="7668"/>
    <cellStyle name="20% - akcent 2 72" xfId="473"/>
    <cellStyle name="20% - akcent 2 72 2" xfId="4324"/>
    <cellStyle name="20% - akcent 2 72 2 2" xfId="10959"/>
    <cellStyle name="20% - akcent 2 72 3" xfId="7669"/>
    <cellStyle name="20% - akcent 2 73" xfId="474"/>
    <cellStyle name="20% - akcent 2 73 2" xfId="4325"/>
    <cellStyle name="20% - akcent 2 73 2 2" xfId="10960"/>
    <cellStyle name="20% - akcent 2 73 3" xfId="7670"/>
    <cellStyle name="20% - akcent 2 74" xfId="475"/>
    <cellStyle name="20% - akcent 2 74 2" xfId="4326"/>
    <cellStyle name="20% - akcent 2 74 2 2" xfId="10961"/>
    <cellStyle name="20% - akcent 2 74 3" xfId="7671"/>
    <cellStyle name="20% - akcent 2 75" xfId="476"/>
    <cellStyle name="20% - akcent 2 75 2" xfId="4327"/>
    <cellStyle name="20% - akcent 2 75 2 2" xfId="10962"/>
    <cellStyle name="20% - akcent 2 75 3" xfId="7672"/>
    <cellStyle name="20% - akcent 2 76" xfId="477"/>
    <cellStyle name="20% - akcent 2 76 2" xfId="4328"/>
    <cellStyle name="20% - akcent 2 76 2 2" xfId="10963"/>
    <cellStyle name="20% - akcent 2 76 3" xfId="7673"/>
    <cellStyle name="20% - akcent 2 77" xfId="478"/>
    <cellStyle name="20% - akcent 2 77 2" xfId="4329"/>
    <cellStyle name="20% - akcent 2 77 2 2" xfId="10964"/>
    <cellStyle name="20% - akcent 2 77 3" xfId="7674"/>
    <cellStyle name="20% - akcent 2 78" xfId="479"/>
    <cellStyle name="20% - akcent 2 78 2" xfId="4330"/>
    <cellStyle name="20% - akcent 2 78 2 2" xfId="10965"/>
    <cellStyle name="20% - akcent 2 78 3" xfId="7675"/>
    <cellStyle name="20% - akcent 2 79" xfId="480"/>
    <cellStyle name="20% - akcent 2 79 2" xfId="4331"/>
    <cellStyle name="20% - akcent 2 79 2 2" xfId="10966"/>
    <cellStyle name="20% - akcent 2 79 3" xfId="7676"/>
    <cellStyle name="20% - akcent 2 8" xfId="481"/>
    <cellStyle name="20% - akcent 2 8 2" xfId="482"/>
    <cellStyle name="20% - akcent 2 8 2 2" xfId="4333"/>
    <cellStyle name="20% - akcent 2 8 2 2 2" xfId="10968"/>
    <cellStyle name="20% - akcent 2 8 2 3" xfId="7678"/>
    <cellStyle name="20% - akcent 2 8 3" xfId="4332"/>
    <cellStyle name="20% - akcent 2 8 3 2" xfId="10967"/>
    <cellStyle name="20% - akcent 2 8 4" xfId="7677"/>
    <cellStyle name="20% - akcent 2 80" xfId="483"/>
    <cellStyle name="20% - akcent 2 80 2" xfId="4334"/>
    <cellStyle name="20% - akcent 2 80 2 2" xfId="10969"/>
    <cellStyle name="20% - akcent 2 80 3" xfId="7679"/>
    <cellStyle name="20% - akcent 2 81" xfId="484"/>
    <cellStyle name="20% - akcent 2 81 2" xfId="4335"/>
    <cellStyle name="20% - akcent 2 81 2 2" xfId="10970"/>
    <cellStyle name="20% - akcent 2 81 3" xfId="7680"/>
    <cellStyle name="20% - akcent 2 82" xfId="485"/>
    <cellStyle name="20% - akcent 2 82 2" xfId="4336"/>
    <cellStyle name="20% - akcent 2 82 2 2" xfId="10971"/>
    <cellStyle name="20% - akcent 2 82 3" xfId="7681"/>
    <cellStyle name="20% - akcent 2 83" xfId="486"/>
    <cellStyle name="20% - akcent 2 83 2" xfId="4337"/>
    <cellStyle name="20% - akcent 2 83 2 2" xfId="10972"/>
    <cellStyle name="20% - akcent 2 83 3" xfId="7682"/>
    <cellStyle name="20% - akcent 2 84" xfId="487"/>
    <cellStyle name="20% - akcent 2 84 2" xfId="4338"/>
    <cellStyle name="20% - akcent 2 84 2 2" xfId="10973"/>
    <cellStyle name="20% - akcent 2 84 3" xfId="7683"/>
    <cellStyle name="20% - akcent 2 85" xfId="488"/>
    <cellStyle name="20% - akcent 2 85 2" xfId="4339"/>
    <cellStyle name="20% - akcent 2 85 2 2" xfId="10974"/>
    <cellStyle name="20% - akcent 2 85 3" xfId="7684"/>
    <cellStyle name="20% - akcent 2 86" xfId="489"/>
    <cellStyle name="20% - akcent 2 86 2" xfId="4340"/>
    <cellStyle name="20% - akcent 2 86 2 2" xfId="10975"/>
    <cellStyle name="20% - akcent 2 86 3" xfId="7685"/>
    <cellStyle name="20% - akcent 2 87" xfId="490"/>
    <cellStyle name="20% - akcent 2 87 2" xfId="4341"/>
    <cellStyle name="20% - akcent 2 87 2 2" xfId="10976"/>
    <cellStyle name="20% - akcent 2 87 3" xfId="7686"/>
    <cellStyle name="20% - akcent 2 88" xfId="491"/>
    <cellStyle name="20% - akcent 2 88 2" xfId="4342"/>
    <cellStyle name="20% - akcent 2 88 2 2" xfId="10977"/>
    <cellStyle name="20% - akcent 2 88 3" xfId="7687"/>
    <cellStyle name="20% - akcent 2 89" xfId="492"/>
    <cellStyle name="20% - akcent 2 89 2" xfId="4343"/>
    <cellStyle name="20% - akcent 2 89 2 2" xfId="10978"/>
    <cellStyle name="20% - akcent 2 89 3" xfId="7688"/>
    <cellStyle name="20% - akcent 2 9" xfId="493"/>
    <cellStyle name="20% - akcent 2 9 2" xfId="494"/>
    <cellStyle name="20% - akcent 2 9 2 2" xfId="4345"/>
    <cellStyle name="20% - akcent 2 9 2 2 2" xfId="10980"/>
    <cellStyle name="20% - akcent 2 9 2 3" xfId="7690"/>
    <cellStyle name="20% - akcent 2 9 3" xfId="4344"/>
    <cellStyle name="20% - akcent 2 9 3 2" xfId="10979"/>
    <cellStyle name="20% - akcent 2 9 4" xfId="7689"/>
    <cellStyle name="20% - akcent 2 90" xfId="495"/>
    <cellStyle name="20% - akcent 2 90 2" xfId="4346"/>
    <cellStyle name="20% - akcent 2 90 2 2" xfId="10981"/>
    <cellStyle name="20% - akcent 2 90 3" xfId="7691"/>
    <cellStyle name="20% - akcent 2 91" xfId="496"/>
    <cellStyle name="20% - akcent 2 91 2" xfId="4347"/>
    <cellStyle name="20% - akcent 2 91 2 2" xfId="10982"/>
    <cellStyle name="20% - akcent 2 91 3" xfId="7692"/>
    <cellStyle name="20% - akcent 2 92" xfId="497"/>
    <cellStyle name="20% - akcent 2 92 2" xfId="4348"/>
    <cellStyle name="20% - akcent 2 92 2 2" xfId="10983"/>
    <cellStyle name="20% - akcent 2 92 3" xfId="7693"/>
    <cellStyle name="20% - akcent 2 93" xfId="498"/>
    <cellStyle name="20% - akcent 2 93 2" xfId="4349"/>
    <cellStyle name="20% - akcent 2 93 2 2" xfId="10984"/>
    <cellStyle name="20% - akcent 2 93 3" xfId="7694"/>
    <cellStyle name="20% - akcent 2 94" xfId="499"/>
    <cellStyle name="20% - akcent 2 94 2" xfId="4350"/>
    <cellStyle name="20% - akcent 2 94 2 2" xfId="10985"/>
    <cellStyle name="20% - akcent 2 94 3" xfId="7695"/>
    <cellStyle name="20% - akcent 2 95" xfId="500"/>
    <cellStyle name="20% - akcent 2 95 2" xfId="4351"/>
    <cellStyle name="20% - akcent 2 95 2 2" xfId="10986"/>
    <cellStyle name="20% - akcent 2 95 3" xfId="7696"/>
    <cellStyle name="20% - akcent 2 96" xfId="501"/>
    <cellStyle name="20% - akcent 2 96 2" xfId="4352"/>
    <cellStyle name="20% - akcent 2 96 2 2" xfId="10987"/>
    <cellStyle name="20% - akcent 2 96 3" xfId="7697"/>
    <cellStyle name="20% - akcent 2 97" xfId="502"/>
    <cellStyle name="20% - akcent 2 97 2" xfId="4353"/>
    <cellStyle name="20% - akcent 2 97 2 2" xfId="10988"/>
    <cellStyle name="20% - akcent 2 97 3" xfId="7698"/>
    <cellStyle name="20% - akcent 2 98" xfId="503"/>
    <cellStyle name="20% - akcent 2 98 2" xfId="4354"/>
    <cellStyle name="20% - akcent 2 98 2 2" xfId="10989"/>
    <cellStyle name="20% - akcent 2 98 3" xfId="7699"/>
    <cellStyle name="20% - akcent 2 99" xfId="504"/>
    <cellStyle name="20% - akcent 2 99 2" xfId="4355"/>
    <cellStyle name="20% - akcent 2 99 2 2" xfId="10990"/>
    <cellStyle name="20% - akcent 2 99 3" xfId="7700"/>
    <cellStyle name="20% - akcent 3" xfId="505" builtinId="38" customBuiltin="1"/>
    <cellStyle name="20% - akcent 3 10" xfId="506"/>
    <cellStyle name="20% - akcent 3 10 2" xfId="507"/>
    <cellStyle name="20% - akcent 3 10 2 2" xfId="4357"/>
    <cellStyle name="20% - akcent 3 10 2 2 2" xfId="10992"/>
    <cellStyle name="20% - akcent 3 10 2 3" xfId="7702"/>
    <cellStyle name="20% - akcent 3 10 3" xfId="4356"/>
    <cellStyle name="20% - akcent 3 10 3 2" xfId="10991"/>
    <cellStyle name="20% - akcent 3 10 4" xfId="7701"/>
    <cellStyle name="20% - akcent 3 100" xfId="508"/>
    <cellStyle name="20% - akcent 3 100 2" xfId="4358"/>
    <cellStyle name="20% - akcent 3 100 2 2" xfId="10993"/>
    <cellStyle name="20% - akcent 3 100 3" xfId="7703"/>
    <cellStyle name="20% - akcent 3 101" xfId="509"/>
    <cellStyle name="20% - akcent 3 101 2" xfId="4359"/>
    <cellStyle name="20% - akcent 3 101 2 2" xfId="10994"/>
    <cellStyle name="20% - akcent 3 101 3" xfId="7704"/>
    <cellStyle name="20% - akcent 3 102" xfId="510"/>
    <cellStyle name="20% - akcent 3 102 2" xfId="4360"/>
    <cellStyle name="20% - akcent 3 102 2 2" xfId="10995"/>
    <cellStyle name="20% - akcent 3 102 3" xfId="7705"/>
    <cellStyle name="20% - akcent 3 103" xfId="511"/>
    <cellStyle name="20% - akcent 3 103 2" xfId="4361"/>
    <cellStyle name="20% - akcent 3 103 2 2" xfId="10996"/>
    <cellStyle name="20% - akcent 3 103 3" xfId="7706"/>
    <cellStyle name="20% - akcent 3 104" xfId="512"/>
    <cellStyle name="20% - akcent 3 104 2" xfId="4362"/>
    <cellStyle name="20% - akcent 3 104 2 2" xfId="10997"/>
    <cellStyle name="20% - akcent 3 104 3" xfId="7707"/>
    <cellStyle name="20% - akcent 3 105" xfId="513"/>
    <cellStyle name="20% - akcent 3 105 2" xfId="4363"/>
    <cellStyle name="20% - akcent 3 105 2 2" xfId="10998"/>
    <cellStyle name="20% - akcent 3 105 3" xfId="7708"/>
    <cellStyle name="20% - akcent 3 106" xfId="514"/>
    <cellStyle name="20% - akcent 3 106 2" xfId="4364"/>
    <cellStyle name="20% - akcent 3 106 2 2" xfId="10999"/>
    <cellStyle name="20% - akcent 3 106 3" xfId="7709"/>
    <cellStyle name="20% - akcent 3 107" xfId="515"/>
    <cellStyle name="20% - akcent 3 107 2" xfId="4365"/>
    <cellStyle name="20% - akcent 3 107 2 2" xfId="11000"/>
    <cellStyle name="20% - akcent 3 107 3" xfId="7710"/>
    <cellStyle name="20% - akcent 3 108" xfId="516"/>
    <cellStyle name="20% - akcent 3 108 2" xfId="4366"/>
    <cellStyle name="20% - akcent 3 108 2 2" xfId="11001"/>
    <cellStyle name="20% - akcent 3 108 3" xfId="7711"/>
    <cellStyle name="20% - akcent 3 109" xfId="517"/>
    <cellStyle name="20% - akcent 3 109 2" xfId="4367"/>
    <cellStyle name="20% - akcent 3 109 2 2" xfId="11002"/>
    <cellStyle name="20% - akcent 3 109 3" xfId="7712"/>
    <cellStyle name="20% - akcent 3 11" xfId="518"/>
    <cellStyle name="20% - akcent 3 11 2" xfId="519"/>
    <cellStyle name="20% - akcent 3 11 2 2" xfId="4369"/>
    <cellStyle name="20% - akcent 3 11 2 2 2" xfId="11004"/>
    <cellStyle name="20% - akcent 3 11 2 3" xfId="7714"/>
    <cellStyle name="20% - akcent 3 11 3" xfId="4368"/>
    <cellStyle name="20% - akcent 3 11 3 2" xfId="11003"/>
    <cellStyle name="20% - akcent 3 11 4" xfId="7713"/>
    <cellStyle name="20% - akcent 3 110" xfId="520"/>
    <cellStyle name="20% - akcent 3 110 2" xfId="4370"/>
    <cellStyle name="20% - akcent 3 110 2 2" xfId="11005"/>
    <cellStyle name="20% - akcent 3 110 3" xfId="7715"/>
    <cellStyle name="20% - akcent 3 111" xfId="521"/>
    <cellStyle name="20% - akcent 3 111 2" xfId="4371"/>
    <cellStyle name="20% - akcent 3 111 2 2" xfId="11006"/>
    <cellStyle name="20% - akcent 3 111 3" xfId="7716"/>
    <cellStyle name="20% - akcent 3 112" xfId="522"/>
    <cellStyle name="20% - akcent 3 112 2" xfId="4372"/>
    <cellStyle name="20% - akcent 3 112 2 2" xfId="11007"/>
    <cellStyle name="20% - akcent 3 112 3" xfId="7717"/>
    <cellStyle name="20% - akcent 3 113" xfId="523"/>
    <cellStyle name="20% - akcent 3 113 2" xfId="4373"/>
    <cellStyle name="20% - akcent 3 113 2 2" xfId="11008"/>
    <cellStyle name="20% - akcent 3 113 3" xfId="7718"/>
    <cellStyle name="20% - akcent 3 114" xfId="524"/>
    <cellStyle name="20% - akcent 3 114 2" xfId="4374"/>
    <cellStyle name="20% - akcent 3 114 2 2" xfId="11009"/>
    <cellStyle name="20% - akcent 3 114 3" xfId="7719"/>
    <cellStyle name="20% - akcent 3 115" xfId="525"/>
    <cellStyle name="20% - akcent 3 115 2" xfId="4375"/>
    <cellStyle name="20% - akcent 3 115 2 2" xfId="11010"/>
    <cellStyle name="20% - akcent 3 115 3" xfId="7720"/>
    <cellStyle name="20% - akcent 3 116" xfId="526"/>
    <cellStyle name="20% - akcent 3 116 2" xfId="4376"/>
    <cellStyle name="20% - akcent 3 116 2 2" xfId="11011"/>
    <cellStyle name="20% - akcent 3 116 3" xfId="7721"/>
    <cellStyle name="20% - akcent 3 117" xfId="527"/>
    <cellStyle name="20% - akcent 3 117 2" xfId="4377"/>
    <cellStyle name="20% - akcent 3 117 2 2" xfId="11012"/>
    <cellStyle name="20% - akcent 3 117 3" xfId="7722"/>
    <cellStyle name="20% - akcent 3 118" xfId="528"/>
    <cellStyle name="20% - akcent 3 118 2" xfId="4378"/>
    <cellStyle name="20% - akcent 3 118 2 2" xfId="11013"/>
    <cellStyle name="20% - akcent 3 118 3" xfId="7723"/>
    <cellStyle name="20% - akcent 3 119" xfId="529"/>
    <cellStyle name="20% - akcent 3 119 2" xfId="4379"/>
    <cellStyle name="20% - akcent 3 119 2 2" xfId="11014"/>
    <cellStyle name="20% - akcent 3 119 3" xfId="7724"/>
    <cellStyle name="20% - akcent 3 12" xfId="530"/>
    <cellStyle name="20% - akcent 3 12 2" xfId="531"/>
    <cellStyle name="20% - akcent 3 12 2 2" xfId="4381"/>
    <cellStyle name="20% - akcent 3 12 2 2 2" xfId="11016"/>
    <cellStyle name="20% - akcent 3 12 2 3" xfId="7726"/>
    <cellStyle name="20% - akcent 3 12 3" xfId="4380"/>
    <cellStyle name="20% - akcent 3 12 3 2" xfId="11015"/>
    <cellStyle name="20% - akcent 3 12 4" xfId="7725"/>
    <cellStyle name="20% - akcent 3 120" xfId="532"/>
    <cellStyle name="20% - akcent 3 120 2" xfId="4382"/>
    <cellStyle name="20% - akcent 3 120 2 2" xfId="11017"/>
    <cellStyle name="20% - akcent 3 120 3" xfId="7727"/>
    <cellStyle name="20% - akcent 3 121" xfId="533"/>
    <cellStyle name="20% - akcent 3 121 2" xfId="4383"/>
    <cellStyle name="20% - akcent 3 121 2 2" xfId="11018"/>
    <cellStyle name="20% - akcent 3 121 3" xfId="7728"/>
    <cellStyle name="20% - akcent 3 122" xfId="534"/>
    <cellStyle name="20% - akcent 3 122 2" xfId="4384"/>
    <cellStyle name="20% - akcent 3 122 2 2" xfId="11019"/>
    <cellStyle name="20% - akcent 3 122 3" xfId="7729"/>
    <cellStyle name="20% - akcent 3 123" xfId="535"/>
    <cellStyle name="20% - akcent 3 123 2" xfId="4385"/>
    <cellStyle name="20% - akcent 3 123 2 2" xfId="11020"/>
    <cellStyle name="20% - akcent 3 123 3" xfId="7730"/>
    <cellStyle name="20% - akcent 3 124" xfId="536"/>
    <cellStyle name="20% - akcent 3 124 2" xfId="4386"/>
    <cellStyle name="20% - akcent 3 124 2 2" xfId="11021"/>
    <cellStyle name="20% - akcent 3 124 3" xfId="7731"/>
    <cellStyle name="20% - akcent 3 125" xfId="537"/>
    <cellStyle name="20% - akcent 3 125 2" xfId="4387"/>
    <cellStyle name="20% - akcent 3 125 2 2" xfId="11022"/>
    <cellStyle name="20% - akcent 3 125 3" xfId="7732"/>
    <cellStyle name="20% - akcent 3 126" xfId="538"/>
    <cellStyle name="20% - akcent 3 126 2" xfId="4388"/>
    <cellStyle name="20% - akcent 3 126 2 2" xfId="11023"/>
    <cellStyle name="20% - akcent 3 126 3" xfId="7733"/>
    <cellStyle name="20% - akcent 3 127" xfId="539"/>
    <cellStyle name="20% - akcent 3 127 2" xfId="4389"/>
    <cellStyle name="20% - akcent 3 127 2 2" xfId="11024"/>
    <cellStyle name="20% - akcent 3 127 3" xfId="7734"/>
    <cellStyle name="20% - akcent 3 128" xfId="540"/>
    <cellStyle name="20% - akcent 3 128 2" xfId="4390"/>
    <cellStyle name="20% - akcent 3 128 2 2" xfId="11025"/>
    <cellStyle name="20% - akcent 3 128 3" xfId="7735"/>
    <cellStyle name="20% - akcent 3 129" xfId="541"/>
    <cellStyle name="20% - akcent 3 129 2" xfId="4391"/>
    <cellStyle name="20% - akcent 3 129 2 2" xfId="11026"/>
    <cellStyle name="20% - akcent 3 129 3" xfId="7736"/>
    <cellStyle name="20% - akcent 3 13" xfId="542"/>
    <cellStyle name="20% - akcent 3 13 2" xfId="543"/>
    <cellStyle name="20% - akcent 3 13 2 2" xfId="4393"/>
    <cellStyle name="20% - akcent 3 13 2 2 2" xfId="11028"/>
    <cellStyle name="20% - akcent 3 13 2 3" xfId="7738"/>
    <cellStyle name="20% - akcent 3 13 3" xfId="4392"/>
    <cellStyle name="20% - akcent 3 13 3 2" xfId="11027"/>
    <cellStyle name="20% - akcent 3 13 4" xfId="7737"/>
    <cellStyle name="20% - akcent 3 130" xfId="544"/>
    <cellStyle name="20% - akcent 3 130 2" xfId="4394"/>
    <cellStyle name="20% - akcent 3 130 2 2" xfId="11029"/>
    <cellStyle name="20% - akcent 3 130 3" xfId="7739"/>
    <cellStyle name="20% - akcent 3 131" xfId="545"/>
    <cellStyle name="20% - akcent 3 131 2" xfId="4395"/>
    <cellStyle name="20% - akcent 3 131 2 2" xfId="11030"/>
    <cellStyle name="20% - akcent 3 131 3" xfId="7740"/>
    <cellStyle name="20% - akcent 3 132" xfId="546"/>
    <cellStyle name="20% - akcent 3 132 2" xfId="4396"/>
    <cellStyle name="20% - akcent 3 132 2 2" xfId="11031"/>
    <cellStyle name="20% - akcent 3 132 3" xfId="7741"/>
    <cellStyle name="20% - akcent 3 133" xfId="547"/>
    <cellStyle name="20% - akcent 3 133 2" xfId="4397"/>
    <cellStyle name="20% - akcent 3 133 2 2" xfId="11032"/>
    <cellStyle name="20% - akcent 3 133 3" xfId="7742"/>
    <cellStyle name="20% - akcent 3 134" xfId="548"/>
    <cellStyle name="20% - akcent 3 134 2" xfId="4398"/>
    <cellStyle name="20% - akcent 3 134 2 2" xfId="11033"/>
    <cellStyle name="20% - akcent 3 134 3" xfId="7743"/>
    <cellStyle name="20% - akcent 3 135" xfId="549"/>
    <cellStyle name="20% - akcent 3 135 2" xfId="4399"/>
    <cellStyle name="20% - akcent 3 135 2 2" xfId="11034"/>
    <cellStyle name="20% - akcent 3 135 3" xfId="7744"/>
    <cellStyle name="20% - akcent 3 136" xfId="550"/>
    <cellStyle name="20% - akcent 3 136 2" xfId="4400"/>
    <cellStyle name="20% - akcent 3 136 2 2" xfId="11035"/>
    <cellStyle name="20% - akcent 3 136 3" xfId="7745"/>
    <cellStyle name="20% - akcent 3 137" xfId="551"/>
    <cellStyle name="20% - akcent 3 137 2" xfId="4401"/>
    <cellStyle name="20% - akcent 3 137 2 2" xfId="11036"/>
    <cellStyle name="20% - akcent 3 137 3" xfId="7746"/>
    <cellStyle name="20% - akcent 3 138" xfId="552"/>
    <cellStyle name="20% - akcent 3 138 2" xfId="4402"/>
    <cellStyle name="20% - akcent 3 138 2 2" xfId="11037"/>
    <cellStyle name="20% - akcent 3 138 3" xfId="7747"/>
    <cellStyle name="20% - akcent 3 139" xfId="553"/>
    <cellStyle name="20% - akcent 3 139 2" xfId="4403"/>
    <cellStyle name="20% - akcent 3 139 2 2" xfId="11038"/>
    <cellStyle name="20% - akcent 3 139 3" xfId="7748"/>
    <cellStyle name="20% - akcent 3 14" xfId="554"/>
    <cellStyle name="20% - akcent 3 14 2" xfId="555"/>
    <cellStyle name="20% - akcent 3 14 2 2" xfId="4405"/>
    <cellStyle name="20% - akcent 3 14 2 2 2" xfId="11040"/>
    <cellStyle name="20% - akcent 3 14 2 3" xfId="7750"/>
    <cellStyle name="20% - akcent 3 14 3" xfId="4404"/>
    <cellStyle name="20% - akcent 3 14 3 2" xfId="11039"/>
    <cellStyle name="20% - akcent 3 14 4" xfId="7749"/>
    <cellStyle name="20% - akcent 3 140" xfId="556"/>
    <cellStyle name="20% - akcent 3 140 2" xfId="4406"/>
    <cellStyle name="20% - akcent 3 140 2 2" xfId="11041"/>
    <cellStyle name="20% - akcent 3 140 3" xfId="7751"/>
    <cellStyle name="20% - akcent 3 141" xfId="557"/>
    <cellStyle name="20% - akcent 3 141 2" xfId="4407"/>
    <cellStyle name="20% - akcent 3 141 2 2" xfId="11042"/>
    <cellStyle name="20% - akcent 3 141 3" xfId="7752"/>
    <cellStyle name="20% - akcent 3 142" xfId="558"/>
    <cellStyle name="20% - akcent 3 142 2" xfId="4408"/>
    <cellStyle name="20% - akcent 3 142 2 2" xfId="11043"/>
    <cellStyle name="20% - akcent 3 142 3" xfId="7753"/>
    <cellStyle name="20% - akcent 3 143" xfId="559"/>
    <cellStyle name="20% - akcent 3 143 2" xfId="4409"/>
    <cellStyle name="20% - akcent 3 143 2 2" xfId="11044"/>
    <cellStyle name="20% - akcent 3 143 3" xfId="7754"/>
    <cellStyle name="20% - akcent 3 144" xfId="560"/>
    <cellStyle name="20% - akcent 3 144 2" xfId="4410"/>
    <cellStyle name="20% - akcent 3 144 2 2" xfId="11045"/>
    <cellStyle name="20% - akcent 3 144 3" xfId="7755"/>
    <cellStyle name="20% - akcent 3 145" xfId="561"/>
    <cellStyle name="20% - akcent 3 145 2" xfId="4411"/>
    <cellStyle name="20% - akcent 3 145 2 2" xfId="11046"/>
    <cellStyle name="20% - akcent 3 145 3" xfId="7756"/>
    <cellStyle name="20% - akcent 3 146" xfId="562"/>
    <cellStyle name="20% - akcent 3 146 2" xfId="4412"/>
    <cellStyle name="20% - akcent 3 146 2 2" xfId="11047"/>
    <cellStyle name="20% - akcent 3 146 3" xfId="7757"/>
    <cellStyle name="20% - akcent 3 147" xfId="563"/>
    <cellStyle name="20% - akcent 3 147 2" xfId="4413"/>
    <cellStyle name="20% - akcent 3 147 2 2" xfId="11048"/>
    <cellStyle name="20% - akcent 3 147 3" xfId="7758"/>
    <cellStyle name="20% - akcent 3 148" xfId="564"/>
    <cellStyle name="20% - akcent 3 148 2" xfId="4414"/>
    <cellStyle name="20% - akcent 3 148 2 2" xfId="11049"/>
    <cellStyle name="20% - akcent 3 148 3" xfId="7759"/>
    <cellStyle name="20% - akcent 3 149" xfId="565"/>
    <cellStyle name="20% - akcent 3 149 2" xfId="4415"/>
    <cellStyle name="20% - akcent 3 149 2 2" xfId="11050"/>
    <cellStyle name="20% - akcent 3 149 3" xfId="7760"/>
    <cellStyle name="20% - akcent 3 15" xfId="566"/>
    <cellStyle name="20% - akcent 3 15 2" xfId="567"/>
    <cellStyle name="20% - akcent 3 15 2 2" xfId="4417"/>
    <cellStyle name="20% - akcent 3 15 2 2 2" xfId="11052"/>
    <cellStyle name="20% - akcent 3 15 2 3" xfId="7762"/>
    <cellStyle name="20% - akcent 3 15 3" xfId="4416"/>
    <cellStyle name="20% - akcent 3 15 3 2" xfId="11051"/>
    <cellStyle name="20% - akcent 3 15 4" xfId="7761"/>
    <cellStyle name="20% - akcent 3 150" xfId="568"/>
    <cellStyle name="20% - akcent 3 150 2" xfId="4418"/>
    <cellStyle name="20% - akcent 3 150 2 2" xfId="11053"/>
    <cellStyle name="20% - akcent 3 150 3" xfId="7763"/>
    <cellStyle name="20% - akcent 3 151" xfId="569"/>
    <cellStyle name="20% - akcent 3 151 2" xfId="4419"/>
    <cellStyle name="20% - akcent 3 151 2 2" xfId="11054"/>
    <cellStyle name="20% - akcent 3 151 3" xfId="7764"/>
    <cellStyle name="20% - akcent 3 152" xfId="570"/>
    <cellStyle name="20% - akcent 3 152 2" xfId="4420"/>
    <cellStyle name="20% - akcent 3 152 2 2" xfId="11055"/>
    <cellStyle name="20% - akcent 3 152 3" xfId="7765"/>
    <cellStyle name="20% - akcent 3 153" xfId="571"/>
    <cellStyle name="20% - akcent 3 153 2" xfId="4421"/>
    <cellStyle name="20% - akcent 3 153 2 2" xfId="11056"/>
    <cellStyle name="20% - akcent 3 153 3" xfId="7766"/>
    <cellStyle name="20% - akcent 3 154" xfId="572"/>
    <cellStyle name="20% - akcent 3 154 2" xfId="4422"/>
    <cellStyle name="20% - akcent 3 154 2 2" xfId="11057"/>
    <cellStyle name="20% - akcent 3 154 3" xfId="7767"/>
    <cellStyle name="20% - akcent 3 155" xfId="573"/>
    <cellStyle name="20% - akcent 3 155 2" xfId="4423"/>
    <cellStyle name="20% - akcent 3 155 2 2" xfId="11058"/>
    <cellStyle name="20% - akcent 3 155 3" xfId="7768"/>
    <cellStyle name="20% - akcent 3 156" xfId="574"/>
    <cellStyle name="20% - akcent 3 156 2" xfId="4424"/>
    <cellStyle name="20% - akcent 3 156 2 2" xfId="11059"/>
    <cellStyle name="20% - akcent 3 156 3" xfId="7769"/>
    <cellStyle name="20% - akcent 3 157" xfId="575"/>
    <cellStyle name="20% - akcent 3 157 2" xfId="4425"/>
    <cellStyle name="20% - akcent 3 157 2 2" xfId="11060"/>
    <cellStyle name="20% - akcent 3 157 3" xfId="7770"/>
    <cellStyle name="20% - akcent 3 158" xfId="576"/>
    <cellStyle name="20% - akcent 3 158 2" xfId="4426"/>
    <cellStyle name="20% - akcent 3 158 2 2" xfId="11061"/>
    <cellStyle name="20% - akcent 3 158 3" xfId="7771"/>
    <cellStyle name="20% - akcent 3 159" xfId="577"/>
    <cellStyle name="20% - akcent 3 159 2" xfId="4427"/>
    <cellStyle name="20% - akcent 3 159 2 2" xfId="11062"/>
    <cellStyle name="20% - akcent 3 159 3" xfId="7772"/>
    <cellStyle name="20% - akcent 3 16" xfId="578"/>
    <cellStyle name="20% - akcent 3 16 2" xfId="579"/>
    <cellStyle name="20% - akcent 3 16 2 2" xfId="4429"/>
    <cellStyle name="20% - akcent 3 16 2 2 2" xfId="11064"/>
    <cellStyle name="20% - akcent 3 16 2 3" xfId="7774"/>
    <cellStyle name="20% - akcent 3 16 3" xfId="4428"/>
    <cellStyle name="20% - akcent 3 16 3 2" xfId="11063"/>
    <cellStyle name="20% - akcent 3 16 4" xfId="7773"/>
    <cellStyle name="20% - akcent 3 160" xfId="580"/>
    <cellStyle name="20% - akcent 3 160 2" xfId="4430"/>
    <cellStyle name="20% - akcent 3 160 2 2" xfId="11065"/>
    <cellStyle name="20% - akcent 3 160 3" xfId="7775"/>
    <cellStyle name="20% - akcent 3 161" xfId="581"/>
    <cellStyle name="20% - akcent 3 161 2" xfId="4431"/>
    <cellStyle name="20% - akcent 3 161 2 2" xfId="11066"/>
    <cellStyle name="20% - akcent 3 161 3" xfId="7776"/>
    <cellStyle name="20% - akcent 3 162" xfId="582"/>
    <cellStyle name="20% - akcent 3 162 2" xfId="4432"/>
    <cellStyle name="20% - akcent 3 162 2 2" xfId="11067"/>
    <cellStyle name="20% - akcent 3 162 3" xfId="7777"/>
    <cellStyle name="20% - akcent 3 163" xfId="583"/>
    <cellStyle name="20% - akcent 3 163 2" xfId="4433"/>
    <cellStyle name="20% - akcent 3 163 2 2" xfId="11068"/>
    <cellStyle name="20% - akcent 3 163 3" xfId="7778"/>
    <cellStyle name="20% - akcent 3 164" xfId="584"/>
    <cellStyle name="20% - akcent 3 164 2" xfId="4434"/>
    <cellStyle name="20% - akcent 3 164 2 2" xfId="11069"/>
    <cellStyle name="20% - akcent 3 164 3" xfId="7779"/>
    <cellStyle name="20% - akcent 3 165" xfId="585"/>
    <cellStyle name="20% - akcent 3 165 2" xfId="4435"/>
    <cellStyle name="20% - akcent 3 165 2 2" xfId="11070"/>
    <cellStyle name="20% - akcent 3 165 3" xfId="7780"/>
    <cellStyle name="20% - akcent 3 166" xfId="586"/>
    <cellStyle name="20% - akcent 3 166 2" xfId="4436"/>
    <cellStyle name="20% - akcent 3 166 2 2" xfId="11071"/>
    <cellStyle name="20% - akcent 3 166 3" xfId="7781"/>
    <cellStyle name="20% - akcent 3 167" xfId="587"/>
    <cellStyle name="20% - akcent 3 167 2" xfId="4437"/>
    <cellStyle name="20% - akcent 3 167 2 2" xfId="11072"/>
    <cellStyle name="20% - akcent 3 167 3" xfId="7782"/>
    <cellStyle name="20% - akcent 3 168" xfId="588"/>
    <cellStyle name="20% - akcent 3 168 2" xfId="4438"/>
    <cellStyle name="20% - akcent 3 168 2 2" xfId="11073"/>
    <cellStyle name="20% - akcent 3 168 3" xfId="7783"/>
    <cellStyle name="20% - akcent 3 169" xfId="589"/>
    <cellStyle name="20% - akcent 3 169 2" xfId="4439"/>
    <cellStyle name="20% - akcent 3 169 2 2" xfId="11074"/>
    <cellStyle name="20% - akcent 3 169 3" xfId="7784"/>
    <cellStyle name="20% - akcent 3 17" xfId="590"/>
    <cellStyle name="20% - akcent 3 17 2" xfId="591"/>
    <cellStyle name="20% - akcent 3 17 2 2" xfId="4441"/>
    <cellStyle name="20% - akcent 3 17 2 2 2" xfId="11076"/>
    <cellStyle name="20% - akcent 3 17 2 3" xfId="7786"/>
    <cellStyle name="20% - akcent 3 17 3" xfId="4440"/>
    <cellStyle name="20% - akcent 3 17 3 2" xfId="11075"/>
    <cellStyle name="20% - akcent 3 17 4" xfId="7785"/>
    <cellStyle name="20% - akcent 3 170" xfId="592"/>
    <cellStyle name="20% - akcent 3 170 2" xfId="4442"/>
    <cellStyle name="20% - akcent 3 170 2 2" xfId="11077"/>
    <cellStyle name="20% - akcent 3 170 3" xfId="7787"/>
    <cellStyle name="20% - akcent 3 171" xfId="593"/>
    <cellStyle name="20% - akcent 3 171 2" xfId="4443"/>
    <cellStyle name="20% - akcent 3 171 2 2" xfId="11078"/>
    <cellStyle name="20% - akcent 3 171 3" xfId="7788"/>
    <cellStyle name="20% - akcent 3 172" xfId="594"/>
    <cellStyle name="20% - akcent 3 172 2" xfId="4444"/>
    <cellStyle name="20% - akcent 3 172 2 2" xfId="11079"/>
    <cellStyle name="20% - akcent 3 172 3" xfId="7789"/>
    <cellStyle name="20% - akcent 3 173" xfId="595"/>
    <cellStyle name="20% - akcent 3 173 2" xfId="4445"/>
    <cellStyle name="20% - akcent 3 173 2 2" xfId="11080"/>
    <cellStyle name="20% - akcent 3 173 3" xfId="7790"/>
    <cellStyle name="20% - akcent 3 174" xfId="596"/>
    <cellStyle name="20% - akcent 3 174 2" xfId="4446"/>
    <cellStyle name="20% - akcent 3 174 2 2" xfId="11081"/>
    <cellStyle name="20% - akcent 3 174 3" xfId="7791"/>
    <cellStyle name="20% - akcent 3 175" xfId="597"/>
    <cellStyle name="20% - akcent 3 175 2" xfId="4447"/>
    <cellStyle name="20% - akcent 3 175 2 2" xfId="11082"/>
    <cellStyle name="20% - akcent 3 175 3" xfId="7792"/>
    <cellStyle name="20% - akcent 3 176" xfId="598"/>
    <cellStyle name="20% - akcent 3 176 2" xfId="4448"/>
    <cellStyle name="20% - akcent 3 176 2 2" xfId="11083"/>
    <cellStyle name="20% - akcent 3 176 3" xfId="7793"/>
    <cellStyle name="20% - akcent 3 177" xfId="599"/>
    <cellStyle name="20% - akcent 3 177 2" xfId="4449"/>
    <cellStyle name="20% - akcent 3 177 2 2" xfId="11084"/>
    <cellStyle name="20% - akcent 3 177 3" xfId="7794"/>
    <cellStyle name="20% - akcent 3 178" xfId="600"/>
    <cellStyle name="20% - akcent 3 178 2" xfId="4450"/>
    <cellStyle name="20% - akcent 3 178 2 2" xfId="11085"/>
    <cellStyle name="20% - akcent 3 178 3" xfId="7795"/>
    <cellStyle name="20% - akcent 3 179" xfId="601"/>
    <cellStyle name="20% - akcent 3 179 2" xfId="4451"/>
    <cellStyle name="20% - akcent 3 179 2 2" xfId="11086"/>
    <cellStyle name="20% - akcent 3 179 3" xfId="7796"/>
    <cellStyle name="20% - akcent 3 18" xfId="602"/>
    <cellStyle name="20% - akcent 3 18 2" xfId="603"/>
    <cellStyle name="20% - akcent 3 18 2 2" xfId="4453"/>
    <cellStyle name="20% - akcent 3 18 2 2 2" xfId="11088"/>
    <cellStyle name="20% - akcent 3 18 2 3" xfId="7798"/>
    <cellStyle name="20% - akcent 3 18 3" xfId="4452"/>
    <cellStyle name="20% - akcent 3 18 3 2" xfId="11087"/>
    <cellStyle name="20% - akcent 3 18 4" xfId="7797"/>
    <cellStyle name="20% - akcent 3 180" xfId="604"/>
    <cellStyle name="20% - akcent 3 180 2" xfId="4454"/>
    <cellStyle name="20% - akcent 3 180 2 2" xfId="11089"/>
    <cellStyle name="20% - akcent 3 180 3" xfId="7799"/>
    <cellStyle name="20% - akcent 3 181" xfId="605"/>
    <cellStyle name="20% - akcent 3 181 2" xfId="4455"/>
    <cellStyle name="20% - akcent 3 181 2 2" xfId="11090"/>
    <cellStyle name="20% - akcent 3 181 3" xfId="7800"/>
    <cellStyle name="20% - akcent 3 182" xfId="606"/>
    <cellStyle name="20% - akcent 3 182 2" xfId="4456"/>
    <cellStyle name="20% - akcent 3 182 2 2" xfId="11091"/>
    <cellStyle name="20% - akcent 3 182 3" xfId="7801"/>
    <cellStyle name="20% - akcent 3 183" xfId="607"/>
    <cellStyle name="20% - akcent 3 183 2" xfId="4457"/>
    <cellStyle name="20% - akcent 3 183 2 2" xfId="11092"/>
    <cellStyle name="20% - akcent 3 183 3" xfId="7802"/>
    <cellStyle name="20% - akcent 3 184" xfId="608"/>
    <cellStyle name="20% - akcent 3 184 2" xfId="4458"/>
    <cellStyle name="20% - akcent 3 184 2 2" xfId="11093"/>
    <cellStyle name="20% - akcent 3 184 3" xfId="7803"/>
    <cellStyle name="20% - akcent 3 185" xfId="609"/>
    <cellStyle name="20% - akcent 3 185 2" xfId="4459"/>
    <cellStyle name="20% - akcent 3 185 2 2" xfId="11094"/>
    <cellStyle name="20% - akcent 3 185 3" xfId="7804"/>
    <cellStyle name="20% - akcent 3 186" xfId="610"/>
    <cellStyle name="20% - akcent 3 186 2" xfId="4460"/>
    <cellStyle name="20% - akcent 3 186 2 2" xfId="11095"/>
    <cellStyle name="20% - akcent 3 186 3" xfId="7805"/>
    <cellStyle name="20% - akcent 3 187" xfId="611"/>
    <cellStyle name="20% - akcent 3 187 2" xfId="4461"/>
    <cellStyle name="20% - akcent 3 187 2 2" xfId="11096"/>
    <cellStyle name="20% - akcent 3 187 3" xfId="7806"/>
    <cellStyle name="20% - akcent 3 188" xfId="612"/>
    <cellStyle name="20% - akcent 3 188 2" xfId="4462"/>
    <cellStyle name="20% - akcent 3 188 2 2" xfId="11097"/>
    <cellStyle name="20% - akcent 3 188 3" xfId="7807"/>
    <cellStyle name="20% - akcent 3 189" xfId="613"/>
    <cellStyle name="20% - akcent 3 189 2" xfId="4463"/>
    <cellStyle name="20% - akcent 3 189 2 2" xfId="11098"/>
    <cellStyle name="20% - akcent 3 189 3" xfId="7808"/>
    <cellStyle name="20% - akcent 3 19" xfId="614"/>
    <cellStyle name="20% - akcent 3 19 2" xfId="615"/>
    <cellStyle name="20% - akcent 3 19 2 2" xfId="4465"/>
    <cellStyle name="20% - akcent 3 19 2 2 2" xfId="11100"/>
    <cellStyle name="20% - akcent 3 19 2 3" xfId="7810"/>
    <cellStyle name="20% - akcent 3 19 3" xfId="4464"/>
    <cellStyle name="20% - akcent 3 19 3 2" xfId="11099"/>
    <cellStyle name="20% - akcent 3 19 4" xfId="7809"/>
    <cellStyle name="20% - akcent 3 190" xfId="616"/>
    <cellStyle name="20% - akcent 3 190 2" xfId="4466"/>
    <cellStyle name="20% - akcent 3 190 2 2" xfId="11101"/>
    <cellStyle name="20% - akcent 3 190 3" xfId="7811"/>
    <cellStyle name="20% - akcent 3 191" xfId="617"/>
    <cellStyle name="20% - akcent 3 191 2" xfId="4467"/>
    <cellStyle name="20% - akcent 3 191 2 2" xfId="11102"/>
    <cellStyle name="20% - akcent 3 191 3" xfId="7812"/>
    <cellStyle name="20% - akcent 3 192" xfId="618"/>
    <cellStyle name="20% - akcent 3 192 2" xfId="4468"/>
    <cellStyle name="20% - akcent 3 192 2 2" xfId="11103"/>
    <cellStyle name="20% - akcent 3 192 3" xfId="7813"/>
    <cellStyle name="20% - akcent 3 193" xfId="619"/>
    <cellStyle name="20% - akcent 3 193 2" xfId="4469"/>
    <cellStyle name="20% - akcent 3 193 2 2" xfId="11104"/>
    <cellStyle name="20% - akcent 3 193 3" xfId="7814"/>
    <cellStyle name="20% - akcent 3 194" xfId="620"/>
    <cellStyle name="20% - akcent 3 194 2" xfId="4470"/>
    <cellStyle name="20% - akcent 3 194 2 2" xfId="11105"/>
    <cellStyle name="20% - akcent 3 194 3" xfId="7815"/>
    <cellStyle name="20% - akcent 3 195" xfId="3841"/>
    <cellStyle name="20% - akcent 3 195 2" xfId="10476"/>
    <cellStyle name="20% - akcent 3 196" xfId="7119"/>
    <cellStyle name="20% - akcent 3 197" xfId="7190"/>
    <cellStyle name="20% - akcent 3 2" xfId="621"/>
    <cellStyle name="20% - akcent 3 2 2" xfId="622"/>
    <cellStyle name="20% - akcent 3 2 2 2" xfId="4472"/>
    <cellStyle name="20% - akcent 3 2 2 2 2" xfId="11107"/>
    <cellStyle name="20% - akcent 3 2 2 3" xfId="7817"/>
    <cellStyle name="20% - akcent 3 2 3" xfId="4471"/>
    <cellStyle name="20% - akcent 3 2 3 2" xfId="11106"/>
    <cellStyle name="20% - akcent 3 2 4" xfId="7816"/>
    <cellStyle name="20% - akcent 3 20" xfId="623"/>
    <cellStyle name="20% - akcent 3 20 2" xfId="624"/>
    <cellStyle name="20% - akcent 3 20 2 2" xfId="4474"/>
    <cellStyle name="20% - akcent 3 20 2 2 2" xfId="11109"/>
    <cellStyle name="20% - akcent 3 20 2 3" xfId="7819"/>
    <cellStyle name="20% - akcent 3 20 3" xfId="4473"/>
    <cellStyle name="20% - akcent 3 20 3 2" xfId="11108"/>
    <cellStyle name="20% - akcent 3 20 4" xfId="7818"/>
    <cellStyle name="20% - akcent 3 21" xfId="625"/>
    <cellStyle name="20% - akcent 3 21 2" xfId="626"/>
    <cellStyle name="20% - akcent 3 21 2 2" xfId="4476"/>
    <cellStyle name="20% - akcent 3 21 2 2 2" xfId="11111"/>
    <cellStyle name="20% - akcent 3 21 2 3" xfId="7821"/>
    <cellStyle name="20% - akcent 3 21 3" xfId="4475"/>
    <cellStyle name="20% - akcent 3 21 3 2" xfId="11110"/>
    <cellStyle name="20% - akcent 3 21 4" xfId="7820"/>
    <cellStyle name="20% - akcent 3 22" xfId="627"/>
    <cellStyle name="20% - akcent 3 22 2" xfId="628"/>
    <cellStyle name="20% - akcent 3 22 2 2" xfId="4478"/>
    <cellStyle name="20% - akcent 3 22 2 2 2" xfId="11113"/>
    <cellStyle name="20% - akcent 3 22 2 3" xfId="7823"/>
    <cellStyle name="20% - akcent 3 22 3" xfId="4477"/>
    <cellStyle name="20% - akcent 3 22 3 2" xfId="11112"/>
    <cellStyle name="20% - akcent 3 22 4" xfId="7822"/>
    <cellStyle name="20% - akcent 3 23" xfId="629"/>
    <cellStyle name="20% - akcent 3 23 2" xfId="630"/>
    <cellStyle name="20% - akcent 3 23 2 2" xfId="4480"/>
    <cellStyle name="20% - akcent 3 23 2 2 2" xfId="11115"/>
    <cellStyle name="20% - akcent 3 23 2 3" xfId="7825"/>
    <cellStyle name="20% - akcent 3 23 3" xfId="4479"/>
    <cellStyle name="20% - akcent 3 23 3 2" xfId="11114"/>
    <cellStyle name="20% - akcent 3 23 4" xfId="7824"/>
    <cellStyle name="20% - akcent 3 24" xfId="631"/>
    <cellStyle name="20% - akcent 3 24 2" xfId="632"/>
    <cellStyle name="20% - akcent 3 24 2 2" xfId="4482"/>
    <cellStyle name="20% - akcent 3 24 2 2 2" xfId="11117"/>
    <cellStyle name="20% - akcent 3 24 2 3" xfId="7827"/>
    <cellStyle name="20% - akcent 3 24 3" xfId="4481"/>
    <cellStyle name="20% - akcent 3 24 3 2" xfId="11116"/>
    <cellStyle name="20% - akcent 3 24 4" xfId="7826"/>
    <cellStyle name="20% - akcent 3 25" xfId="633"/>
    <cellStyle name="20% - akcent 3 25 2" xfId="634"/>
    <cellStyle name="20% - akcent 3 25 2 2" xfId="4484"/>
    <cellStyle name="20% - akcent 3 25 2 2 2" xfId="11119"/>
    <cellStyle name="20% - akcent 3 25 2 3" xfId="7829"/>
    <cellStyle name="20% - akcent 3 25 3" xfId="4483"/>
    <cellStyle name="20% - akcent 3 25 3 2" xfId="11118"/>
    <cellStyle name="20% - akcent 3 25 4" xfId="7828"/>
    <cellStyle name="20% - akcent 3 26" xfId="635"/>
    <cellStyle name="20% - akcent 3 26 2" xfId="636"/>
    <cellStyle name="20% - akcent 3 26 2 2" xfId="4486"/>
    <cellStyle name="20% - akcent 3 26 2 2 2" xfId="11121"/>
    <cellStyle name="20% - akcent 3 26 2 3" xfId="7831"/>
    <cellStyle name="20% - akcent 3 26 3" xfId="4485"/>
    <cellStyle name="20% - akcent 3 26 3 2" xfId="11120"/>
    <cellStyle name="20% - akcent 3 26 4" xfId="7830"/>
    <cellStyle name="20% - akcent 3 27" xfId="637"/>
    <cellStyle name="20% - akcent 3 27 2" xfId="638"/>
    <cellStyle name="20% - akcent 3 27 2 2" xfId="4488"/>
    <cellStyle name="20% - akcent 3 27 2 2 2" xfId="11123"/>
    <cellStyle name="20% - akcent 3 27 2 3" xfId="7833"/>
    <cellStyle name="20% - akcent 3 27 3" xfId="4487"/>
    <cellStyle name="20% - akcent 3 27 3 2" xfId="11122"/>
    <cellStyle name="20% - akcent 3 27 4" xfId="7832"/>
    <cellStyle name="20% - akcent 3 28" xfId="639"/>
    <cellStyle name="20% - akcent 3 28 2" xfId="640"/>
    <cellStyle name="20% - akcent 3 28 2 2" xfId="4490"/>
    <cellStyle name="20% - akcent 3 28 2 2 2" xfId="11125"/>
    <cellStyle name="20% - akcent 3 28 2 3" xfId="7835"/>
    <cellStyle name="20% - akcent 3 28 3" xfId="4489"/>
    <cellStyle name="20% - akcent 3 28 3 2" xfId="11124"/>
    <cellStyle name="20% - akcent 3 28 4" xfId="7834"/>
    <cellStyle name="20% - akcent 3 29" xfId="641"/>
    <cellStyle name="20% - akcent 3 29 2" xfId="642"/>
    <cellStyle name="20% - akcent 3 29 2 2" xfId="4492"/>
    <cellStyle name="20% - akcent 3 29 2 2 2" xfId="11127"/>
    <cellStyle name="20% - akcent 3 29 2 3" xfId="7837"/>
    <cellStyle name="20% - akcent 3 29 3" xfId="4491"/>
    <cellStyle name="20% - akcent 3 29 3 2" xfId="11126"/>
    <cellStyle name="20% - akcent 3 29 4" xfId="7836"/>
    <cellStyle name="20% - akcent 3 3" xfId="643"/>
    <cellStyle name="20% - akcent 3 3 2" xfId="644"/>
    <cellStyle name="20% - akcent 3 3 2 2" xfId="4494"/>
    <cellStyle name="20% - akcent 3 3 2 2 2" xfId="11129"/>
    <cellStyle name="20% - akcent 3 3 2 3" xfId="7839"/>
    <cellStyle name="20% - akcent 3 3 3" xfId="4493"/>
    <cellStyle name="20% - akcent 3 3 3 2" xfId="11128"/>
    <cellStyle name="20% - akcent 3 3 4" xfId="7838"/>
    <cellStyle name="20% - akcent 3 30" xfId="645"/>
    <cellStyle name="20% - akcent 3 30 2" xfId="646"/>
    <cellStyle name="20% - akcent 3 30 2 2" xfId="4496"/>
    <cellStyle name="20% - akcent 3 30 2 2 2" xfId="11131"/>
    <cellStyle name="20% - akcent 3 30 2 3" xfId="7841"/>
    <cellStyle name="20% - akcent 3 30 3" xfId="4495"/>
    <cellStyle name="20% - akcent 3 30 3 2" xfId="11130"/>
    <cellStyle name="20% - akcent 3 30 4" xfId="7840"/>
    <cellStyle name="20% - akcent 3 31" xfId="647"/>
    <cellStyle name="20% - akcent 3 31 2" xfId="648"/>
    <cellStyle name="20% - akcent 3 31 2 2" xfId="4498"/>
    <cellStyle name="20% - akcent 3 31 2 2 2" xfId="11133"/>
    <cellStyle name="20% - akcent 3 31 2 3" xfId="7843"/>
    <cellStyle name="20% - akcent 3 31 3" xfId="4497"/>
    <cellStyle name="20% - akcent 3 31 3 2" xfId="11132"/>
    <cellStyle name="20% - akcent 3 31 4" xfId="7842"/>
    <cellStyle name="20% - akcent 3 32" xfId="649"/>
    <cellStyle name="20% - akcent 3 32 2" xfId="650"/>
    <cellStyle name="20% - akcent 3 32 2 2" xfId="4500"/>
    <cellStyle name="20% - akcent 3 32 2 2 2" xfId="11135"/>
    <cellStyle name="20% - akcent 3 32 2 3" xfId="7845"/>
    <cellStyle name="20% - akcent 3 32 3" xfId="4499"/>
    <cellStyle name="20% - akcent 3 32 3 2" xfId="11134"/>
    <cellStyle name="20% - akcent 3 32 4" xfId="7844"/>
    <cellStyle name="20% - akcent 3 33" xfId="651"/>
    <cellStyle name="20% - akcent 3 33 2" xfId="652"/>
    <cellStyle name="20% - akcent 3 33 2 2" xfId="4502"/>
    <cellStyle name="20% - akcent 3 33 2 2 2" xfId="11137"/>
    <cellStyle name="20% - akcent 3 33 2 3" xfId="7847"/>
    <cellStyle name="20% - akcent 3 33 3" xfId="4501"/>
    <cellStyle name="20% - akcent 3 33 3 2" xfId="11136"/>
    <cellStyle name="20% - akcent 3 33 4" xfId="7846"/>
    <cellStyle name="20% - akcent 3 34" xfId="653"/>
    <cellStyle name="20% - akcent 3 34 2" xfId="654"/>
    <cellStyle name="20% - akcent 3 34 2 2" xfId="4504"/>
    <cellStyle name="20% - akcent 3 34 2 2 2" xfId="11139"/>
    <cellStyle name="20% - akcent 3 34 2 3" xfId="7849"/>
    <cellStyle name="20% - akcent 3 34 3" xfId="4503"/>
    <cellStyle name="20% - akcent 3 34 3 2" xfId="11138"/>
    <cellStyle name="20% - akcent 3 34 4" xfId="7848"/>
    <cellStyle name="20% - akcent 3 35" xfId="655"/>
    <cellStyle name="20% - akcent 3 35 2" xfId="656"/>
    <cellStyle name="20% - akcent 3 35 2 2" xfId="4506"/>
    <cellStyle name="20% - akcent 3 35 2 2 2" xfId="11141"/>
    <cellStyle name="20% - akcent 3 35 2 3" xfId="7851"/>
    <cellStyle name="20% - akcent 3 35 3" xfId="4505"/>
    <cellStyle name="20% - akcent 3 35 3 2" xfId="11140"/>
    <cellStyle name="20% - akcent 3 35 4" xfId="7850"/>
    <cellStyle name="20% - akcent 3 36" xfId="657"/>
    <cellStyle name="20% - akcent 3 36 2" xfId="658"/>
    <cellStyle name="20% - akcent 3 36 2 2" xfId="4508"/>
    <cellStyle name="20% - akcent 3 36 2 2 2" xfId="11143"/>
    <cellStyle name="20% - akcent 3 36 2 3" xfId="7853"/>
    <cellStyle name="20% - akcent 3 36 3" xfId="4507"/>
    <cellStyle name="20% - akcent 3 36 3 2" xfId="11142"/>
    <cellStyle name="20% - akcent 3 36 4" xfId="7852"/>
    <cellStyle name="20% - akcent 3 37" xfId="659"/>
    <cellStyle name="20% - akcent 3 37 2" xfId="660"/>
    <cellStyle name="20% - akcent 3 37 2 2" xfId="4510"/>
    <cellStyle name="20% - akcent 3 37 2 2 2" xfId="11145"/>
    <cellStyle name="20% - akcent 3 37 2 3" xfId="7855"/>
    <cellStyle name="20% - akcent 3 37 3" xfId="4509"/>
    <cellStyle name="20% - akcent 3 37 3 2" xfId="11144"/>
    <cellStyle name="20% - akcent 3 37 4" xfId="7854"/>
    <cellStyle name="20% - akcent 3 38" xfId="661"/>
    <cellStyle name="20% - akcent 3 38 2" xfId="662"/>
    <cellStyle name="20% - akcent 3 38 2 2" xfId="4512"/>
    <cellStyle name="20% - akcent 3 38 2 2 2" xfId="11147"/>
    <cellStyle name="20% - akcent 3 38 2 3" xfId="7857"/>
    <cellStyle name="20% - akcent 3 38 3" xfId="4511"/>
    <cellStyle name="20% - akcent 3 38 3 2" xfId="11146"/>
    <cellStyle name="20% - akcent 3 38 4" xfId="7856"/>
    <cellStyle name="20% - akcent 3 39" xfId="663"/>
    <cellStyle name="20% - akcent 3 39 2" xfId="664"/>
    <cellStyle name="20% - akcent 3 39 2 2" xfId="4514"/>
    <cellStyle name="20% - akcent 3 39 2 2 2" xfId="11149"/>
    <cellStyle name="20% - akcent 3 39 2 3" xfId="7859"/>
    <cellStyle name="20% - akcent 3 39 3" xfId="4513"/>
    <cellStyle name="20% - akcent 3 39 3 2" xfId="11148"/>
    <cellStyle name="20% - akcent 3 39 4" xfId="7858"/>
    <cellStyle name="20% - akcent 3 4" xfId="665"/>
    <cellStyle name="20% - akcent 3 4 2" xfId="666"/>
    <cellStyle name="20% - akcent 3 4 2 2" xfId="4516"/>
    <cellStyle name="20% - akcent 3 4 2 2 2" xfId="11151"/>
    <cellStyle name="20% - akcent 3 4 2 3" xfId="7861"/>
    <cellStyle name="20% - akcent 3 4 3" xfId="4515"/>
    <cellStyle name="20% - akcent 3 4 3 2" xfId="11150"/>
    <cellStyle name="20% - akcent 3 4 4" xfId="7860"/>
    <cellStyle name="20% - akcent 3 40" xfId="667"/>
    <cellStyle name="20% - akcent 3 40 2" xfId="668"/>
    <cellStyle name="20% - akcent 3 40 2 2" xfId="4518"/>
    <cellStyle name="20% - akcent 3 40 2 2 2" xfId="11153"/>
    <cellStyle name="20% - akcent 3 40 2 3" xfId="7863"/>
    <cellStyle name="20% - akcent 3 40 3" xfId="4517"/>
    <cellStyle name="20% - akcent 3 40 3 2" xfId="11152"/>
    <cellStyle name="20% - akcent 3 40 4" xfId="7862"/>
    <cellStyle name="20% - akcent 3 41" xfId="669"/>
    <cellStyle name="20% - akcent 3 41 2" xfId="670"/>
    <cellStyle name="20% - akcent 3 41 2 2" xfId="4520"/>
    <cellStyle name="20% - akcent 3 41 2 2 2" xfId="11155"/>
    <cellStyle name="20% - akcent 3 41 2 3" xfId="7865"/>
    <cellStyle name="20% - akcent 3 41 3" xfId="4519"/>
    <cellStyle name="20% - akcent 3 41 3 2" xfId="11154"/>
    <cellStyle name="20% - akcent 3 41 4" xfId="7864"/>
    <cellStyle name="20% - akcent 3 42" xfId="671"/>
    <cellStyle name="20% - akcent 3 42 2" xfId="672"/>
    <cellStyle name="20% - akcent 3 42 2 2" xfId="4522"/>
    <cellStyle name="20% - akcent 3 42 2 2 2" xfId="11157"/>
    <cellStyle name="20% - akcent 3 42 2 3" xfId="7867"/>
    <cellStyle name="20% - akcent 3 42 3" xfId="4521"/>
    <cellStyle name="20% - akcent 3 42 3 2" xfId="11156"/>
    <cellStyle name="20% - akcent 3 42 4" xfId="7866"/>
    <cellStyle name="20% - akcent 3 43" xfId="673"/>
    <cellStyle name="20% - akcent 3 43 2" xfId="674"/>
    <cellStyle name="20% - akcent 3 43 2 2" xfId="4524"/>
    <cellStyle name="20% - akcent 3 43 2 2 2" xfId="11159"/>
    <cellStyle name="20% - akcent 3 43 2 3" xfId="7869"/>
    <cellStyle name="20% - akcent 3 43 3" xfId="4523"/>
    <cellStyle name="20% - akcent 3 43 3 2" xfId="11158"/>
    <cellStyle name="20% - akcent 3 43 4" xfId="7868"/>
    <cellStyle name="20% - akcent 3 44" xfId="675"/>
    <cellStyle name="20% - akcent 3 44 2" xfId="676"/>
    <cellStyle name="20% - akcent 3 44 2 2" xfId="4526"/>
    <cellStyle name="20% - akcent 3 44 2 2 2" xfId="11161"/>
    <cellStyle name="20% - akcent 3 44 2 3" xfId="7871"/>
    <cellStyle name="20% - akcent 3 44 3" xfId="4525"/>
    <cellStyle name="20% - akcent 3 44 3 2" xfId="11160"/>
    <cellStyle name="20% - akcent 3 44 4" xfId="7870"/>
    <cellStyle name="20% - akcent 3 45" xfId="677"/>
    <cellStyle name="20% - akcent 3 45 2" xfId="678"/>
    <cellStyle name="20% - akcent 3 45 2 2" xfId="4528"/>
    <cellStyle name="20% - akcent 3 45 2 2 2" xfId="11163"/>
    <cellStyle name="20% - akcent 3 45 2 3" xfId="7873"/>
    <cellStyle name="20% - akcent 3 45 3" xfId="4527"/>
    <cellStyle name="20% - akcent 3 45 3 2" xfId="11162"/>
    <cellStyle name="20% - akcent 3 45 4" xfId="7872"/>
    <cellStyle name="20% - akcent 3 46" xfId="679"/>
    <cellStyle name="20% - akcent 3 46 2" xfId="680"/>
    <cellStyle name="20% - akcent 3 46 2 2" xfId="4530"/>
    <cellStyle name="20% - akcent 3 46 2 2 2" xfId="11165"/>
    <cellStyle name="20% - akcent 3 46 2 3" xfId="7875"/>
    <cellStyle name="20% - akcent 3 46 3" xfId="4529"/>
    <cellStyle name="20% - akcent 3 46 3 2" xfId="11164"/>
    <cellStyle name="20% - akcent 3 46 4" xfId="7874"/>
    <cellStyle name="20% - akcent 3 47" xfId="681"/>
    <cellStyle name="20% - akcent 3 47 2" xfId="682"/>
    <cellStyle name="20% - akcent 3 47 2 2" xfId="4532"/>
    <cellStyle name="20% - akcent 3 47 2 2 2" xfId="11167"/>
    <cellStyle name="20% - akcent 3 47 2 3" xfId="7877"/>
    <cellStyle name="20% - akcent 3 47 3" xfId="4531"/>
    <cellStyle name="20% - akcent 3 47 3 2" xfId="11166"/>
    <cellStyle name="20% - akcent 3 47 4" xfId="7876"/>
    <cellStyle name="20% - akcent 3 48" xfId="683"/>
    <cellStyle name="20% - akcent 3 48 2" xfId="684"/>
    <cellStyle name="20% - akcent 3 48 2 2" xfId="4534"/>
    <cellStyle name="20% - akcent 3 48 2 2 2" xfId="11169"/>
    <cellStyle name="20% - akcent 3 48 2 3" xfId="7879"/>
    <cellStyle name="20% - akcent 3 48 3" xfId="4533"/>
    <cellStyle name="20% - akcent 3 48 3 2" xfId="11168"/>
    <cellStyle name="20% - akcent 3 48 4" xfId="7878"/>
    <cellStyle name="20% - akcent 3 49" xfId="685"/>
    <cellStyle name="20% - akcent 3 49 2" xfId="686"/>
    <cellStyle name="20% - akcent 3 49 2 2" xfId="4536"/>
    <cellStyle name="20% - akcent 3 49 2 2 2" xfId="11171"/>
    <cellStyle name="20% - akcent 3 49 2 3" xfId="7881"/>
    <cellStyle name="20% - akcent 3 49 3" xfId="4535"/>
    <cellStyle name="20% - akcent 3 49 3 2" xfId="11170"/>
    <cellStyle name="20% - akcent 3 49 4" xfId="7880"/>
    <cellStyle name="20% - akcent 3 5" xfId="687"/>
    <cellStyle name="20% - akcent 3 5 2" xfId="688"/>
    <cellStyle name="20% - akcent 3 5 2 2" xfId="4538"/>
    <cellStyle name="20% - akcent 3 5 2 2 2" xfId="11173"/>
    <cellStyle name="20% - akcent 3 5 2 3" xfId="7883"/>
    <cellStyle name="20% - akcent 3 5 3" xfId="4537"/>
    <cellStyle name="20% - akcent 3 5 3 2" xfId="11172"/>
    <cellStyle name="20% - akcent 3 5 4" xfId="7882"/>
    <cellStyle name="20% - akcent 3 50" xfId="689"/>
    <cellStyle name="20% - akcent 3 50 2" xfId="690"/>
    <cellStyle name="20% - akcent 3 50 2 2" xfId="4540"/>
    <cellStyle name="20% - akcent 3 50 2 2 2" xfId="11175"/>
    <cellStyle name="20% - akcent 3 50 2 3" xfId="7885"/>
    <cellStyle name="20% - akcent 3 50 3" xfId="4539"/>
    <cellStyle name="20% - akcent 3 50 3 2" xfId="11174"/>
    <cellStyle name="20% - akcent 3 50 4" xfId="7884"/>
    <cellStyle name="20% - akcent 3 51" xfId="691"/>
    <cellStyle name="20% - akcent 3 51 2" xfId="692"/>
    <cellStyle name="20% - akcent 3 51 2 2" xfId="4542"/>
    <cellStyle name="20% - akcent 3 51 2 2 2" xfId="11177"/>
    <cellStyle name="20% - akcent 3 51 2 3" xfId="7887"/>
    <cellStyle name="20% - akcent 3 51 3" xfId="4541"/>
    <cellStyle name="20% - akcent 3 51 3 2" xfId="11176"/>
    <cellStyle name="20% - akcent 3 51 4" xfId="7886"/>
    <cellStyle name="20% - akcent 3 52" xfId="693"/>
    <cellStyle name="20% - akcent 3 52 2" xfId="694"/>
    <cellStyle name="20% - akcent 3 52 2 2" xfId="4544"/>
    <cellStyle name="20% - akcent 3 52 2 2 2" xfId="11179"/>
    <cellStyle name="20% - akcent 3 52 2 3" xfId="7889"/>
    <cellStyle name="20% - akcent 3 52 3" xfId="4543"/>
    <cellStyle name="20% - akcent 3 52 3 2" xfId="11178"/>
    <cellStyle name="20% - akcent 3 52 4" xfId="7888"/>
    <cellStyle name="20% - akcent 3 53" xfId="695"/>
    <cellStyle name="20% - akcent 3 53 2" xfId="696"/>
    <cellStyle name="20% - akcent 3 53 2 2" xfId="4546"/>
    <cellStyle name="20% - akcent 3 53 2 2 2" xfId="11181"/>
    <cellStyle name="20% - akcent 3 53 2 3" xfId="7891"/>
    <cellStyle name="20% - akcent 3 53 3" xfId="4545"/>
    <cellStyle name="20% - akcent 3 53 3 2" xfId="11180"/>
    <cellStyle name="20% - akcent 3 53 4" xfId="7890"/>
    <cellStyle name="20% - akcent 3 54" xfId="697"/>
    <cellStyle name="20% - akcent 3 54 2" xfId="698"/>
    <cellStyle name="20% - akcent 3 54 2 2" xfId="4548"/>
    <cellStyle name="20% - akcent 3 54 2 2 2" xfId="11183"/>
    <cellStyle name="20% - akcent 3 54 2 3" xfId="7893"/>
    <cellStyle name="20% - akcent 3 54 3" xfId="4547"/>
    <cellStyle name="20% - akcent 3 54 3 2" xfId="11182"/>
    <cellStyle name="20% - akcent 3 54 4" xfId="7892"/>
    <cellStyle name="20% - akcent 3 55" xfId="699"/>
    <cellStyle name="20% - akcent 3 55 2" xfId="700"/>
    <cellStyle name="20% - akcent 3 55 2 2" xfId="4550"/>
    <cellStyle name="20% - akcent 3 55 2 2 2" xfId="11185"/>
    <cellStyle name="20% - akcent 3 55 2 3" xfId="7895"/>
    <cellStyle name="20% - akcent 3 55 3" xfId="4549"/>
    <cellStyle name="20% - akcent 3 55 3 2" xfId="11184"/>
    <cellStyle name="20% - akcent 3 55 4" xfId="7894"/>
    <cellStyle name="20% - akcent 3 56" xfId="701"/>
    <cellStyle name="20% - akcent 3 56 2" xfId="702"/>
    <cellStyle name="20% - akcent 3 56 2 2" xfId="4552"/>
    <cellStyle name="20% - akcent 3 56 2 2 2" xfId="11187"/>
    <cellStyle name="20% - akcent 3 56 2 3" xfId="7897"/>
    <cellStyle name="20% - akcent 3 56 3" xfId="4551"/>
    <cellStyle name="20% - akcent 3 56 3 2" xfId="11186"/>
    <cellStyle name="20% - akcent 3 56 4" xfId="7896"/>
    <cellStyle name="20% - akcent 3 57" xfId="703"/>
    <cellStyle name="20% - akcent 3 57 2" xfId="704"/>
    <cellStyle name="20% - akcent 3 57 2 2" xfId="4554"/>
    <cellStyle name="20% - akcent 3 57 2 2 2" xfId="11189"/>
    <cellStyle name="20% - akcent 3 57 2 3" xfId="7899"/>
    <cellStyle name="20% - akcent 3 57 3" xfId="4553"/>
    <cellStyle name="20% - akcent 3 57 3 2" xfId="11188"/>
    <cellStyle name="20% - akcent 3 57 4" xfId="7898"/>
    <cellStyle name="20% - akcent 3 58" xfId="705"/>
    <cellStyle name="20% - akcent 3 58 2" xfId="706"/>
    <cellStyle name="20% - akcent 3 58 2 2" xfId="4556"/>
    <cellStyle name="20% - akcent 3 58 2 2 2" xfId="11191"/>
    <cellStyle name="20% - akcent 3 58 2 3" xfId="7901"/>
    <cellStyle name="20% - akcent 3 58 3" xfId="4555"/>
    <cellStyle name="20% - akcent 3 58 3 2" xfId="11190"/>
    <cellStyle name="20% - akcent 3 58 4" xfId="7900"/>
    <cellStyle name="20% - akcent 3 59" xfId="707"/>
    <cellStyle name="20% - akcent 3 59 2" xfId="708"/>
    <cellStyle name="20% - akcent 3 59 2 2" xfId="4558"/>
    <cellStyle name="20% - akcent 3 59 2 2 2" xfId="11193"/>
    <cellStyle name="20% - akcent 3 59 2 3" xfId="7903"/>
    <cellStyle name="20% - akcent 3 59 3" xfId="4557"/>
    <cellStyle name="20% - akcent 3 59 3 2" xfId="11192"/>
    <cellStyle name="20% - akcent 3 59 4" xfId="7902"/>
    <cellStyle name="20% - akcent 3 6" xfId="709"/>
    <cellStyle name="20% - akcent 3 6 2" xfId="710"/>
    <cellStyle name="20% - akcent 3 6 2 2" xfId="4560"/>
    <cellStyle name="20% - akcent 3 6 2 2 2" xfId="11195"/>
    <cellStyle name="20% - akcent 3 6 2 3" xfId="7905"/>
    <cellStyle name="20% - akcent 3 6 3" xfId="4559"/>
    <cellStyle name="20% - akcent 3 6 3 2" xfId="11194"/>
    <cellStyle name="20% - akcent 3 6 4" xfId="7904"/>
    <cellStyle name="20% - akcent 3 60" xfId="711"/>
    <cellStyle name="20% - akcent 3 60 2" xfId="4561"/>
    <cellStyle name="20% - akcent 3 60 2 2" xfId="11196"/>
    <cellStyle name="20% - akcent 3 60 3" xfId="7906"/>
    <cellStyle name="20% - akcent 3 61" xfId="712"/>
    <cellStyle name="20% - akcent 3 61 2" xfId="4562"/>
    <cellStyle name="20% - akcent 3 61 2 2" xfId="11197"/>
    <cellStyle name="20% - akcent 3 61 3" xfId="7907"/>
    <cellStyle name="20% - akcent 3 62" xfId="713"/>
    <cellStyle name="20% - akcent 3 62 2" xfId="4563"/>
    <cellStyle name="20% - akcent 3 62 2 2" xfId="11198"/>
    <cellStyle name="20% - akcent 3 62 3" xfId="7908"/>
    <cellStyle name="20% - akcent 3 63" xfId="714"/>
    <cellStyle name="20% - akcent 3 63 2" xfId="4564"/>
    <cellStyle name="20% - akcent 3 63 2 2" xfId="11199"/>
    <cellStyle name="20% - akcent 3 63 3" xfId="7909"/>
    <cellStyle name="20% - akcent 3 64" xfId="715"/>
    <cellStyle name="20% - akcent 3 64 2" xfId="4565"/>
    <cellStyle name="20% - akcent 3 64 2 2" xfId="11200"/>
    <cellStyle name="20% - akcent 3 64 3" xfId="7910"/>
    <cellStyle name="20% - akcent 3 65" xfId="716"/>
    <cellStyle name="20% - akcent 3 65 2" xfId="4566"/>
    <cellStyle name="20% - akcent 3 65 2 2" xfId="11201"/>
    <cellStyle name="20% - akcent 3 65 3" xfId="7911"/>
    <cellStyle name="20% - akcent 3 66" xfId="717"/>
    <cellStyle name="20% - akcent 3 66 2" xfId="4567"/>
    <cellStyle name="20% - akcent 3 66 2 2" xfId="11202"/>
    <cellStyle name="20% - akcent 3 66 3" xfId="7912"/>
    <cellStyle name="20% - akcent 3 67" xfId="718"/>
    <cellStyle name="20% - akcent 3 67 2" xfId="4568"/>
    <cellStyle name="20% - akcent 3 67 2 2" xfId="11203"/>
    <cellStyle name="20% - akcent 3 67 3" xfId="7913"/>
    <cellStyle name="20% - akcent 3 68" xfId="719"/>
    <cellStyle name="20% - akcent 3 68 2" xfId="4569"/>
    <cellStyle name="20% - akcent 3 68 2 2" xfId="11204"/>
    <cellStyle name="20% - akcent 3 68 3" xfId="7914"/>
    <cellStyle name="20% - akcent 3 69" xfId="720"/>
    <cellStyle name="20% - akcent 3 69 2" xfId="4570"/>
    <cellStyle name="20% - akcent 3 69 2 2" xfId="11205"/>
    <cellStyle name="20% - akcent 3 69 3" xfId="7915"/>
    <cellStyle name="20% - akcent 3 7" xfId="721"/>
    <cellStyle name="20% - akcent 3 7 2" xfId="722"/>
    <cellStyle name="20% - akcent 3 7 2 2" xfId="4572"/>
    <cellStyle name="20% - akcent 3 7 2 2 2" xfId="11207"/>
    <cellStyle name="20% - akcent 3 7 2 3" xfId="7917"/>
    <cellStyle name="20% - akcent 3 7 3" xfId="4571"/>
    <cellStyle name="20% - akcent 3 7 3 2" xfId="11206"/>
    <cellStyle name="20% - akcent 3 7 4" xfId="7916"/>
    <cellStyle name="20% - akcent 3 70" xfId="723"/>
    <cellStyle name="20% - akcent 3 70 2" xfId="4573"/>
    <cellStyle name="20% - akcent 3 70 2 2" xfId="11208"/>
    <cellStyle name="20% - akcent 3 70 3" xfId="7918"/>
    <cellStyle name="20% - akcent 3 71" xfId="724"/>
    <cellStyle name="20% - akcent 3 71 2" xfId="4574"/>
    <cellStyle name="20% - akcent 3 71 2 2" xfId="11209"/>
    <cellStyle name="20% - akcent 3 71 3" xfId="7919"/>
    <cellStyle name="20% - akcent 3 72" xfId="725"/>
    <cellStyle name="20% - akcent 3 72 2" xfId="4575"/>
    <cellStyle name="20% - akcent 3 72 2 2" xfId="11210"/>
    <cellStyle name="20% - akcent 3 72 3" xfId="7920"/>
    <cellStyle name="20% - akcent 3 73" xfId="726"/>
    <cellStyle name="20% - akcent 3 73 2" xfId="4576"/>
    <cellStyle name="20% - akcent 3 73 2 2" xfId="11211"/>
    <cellStyle name="20% - akcent 3 73 3" xfId="7921"/>
    <cellStyle name="20% - akcent 3 74" xfId="727"/>
    <cellStyle name="20% - akcent 3 74 2" xfId="4577"/>
    <cellStyle name="20% - akcent 3 74 2 2" xfId="11212"/>
    <cellStyle name="20% - akcent 3 74 3" xfId="7922"/>
    <cellStyle name="20% - akcent 3 75" xfId="728"/>
    <cellStyle name="20% - akcent 3 75 2" xfId="4578"/>
    <cellStyle name="20% - akcent 3 75 2 2" xfId="11213"/>
    <cellStyle name="20% - akcent 3 75 3" xfId="7923"/>
    <cellStyle name="20% - akcent 3 76" xfId="729"/>
    <cellStyle name="20% - akcent 3 76 2" xfId="4579"/>
    <cellStyle name="20% - akcent 3 76 2 2" xfId="11214"/>
    <cellStyle name="20% - akcent 3 76 3" xfId="7924"/>
    <cellStyle name="20% - akcent 3 77" xfId="730"/>
    <cellStyle name="20% - akcent 3 77 2" xfId="4580"/>
    <cellStyle name="20% - akcent 3 77 2 2" xfId="11215"/>
    <cellStyle name="20% - akcent 3 77 3" xfId="7925"/>
    <cellStyle name="20% - akcent 3 78" xfId="731"/>
    <cellStyle name="20% - akcent 3 78 2" xfId="4581"/>
    <cellStyle name="20% - akcent 3 78 2 2" xfId="11216"/>
    <cellStyle name="20% - akcent 3 78 3" xfId="7926"/>
    <cellStyle name="20% - akcent 3 79" xfId="732"/>
    <cellStyle name="20% - akcent 3 79 2" xfId="4582"/>
    <cellStyle name="20% - akcent 3 79 2 2" xfId="11217"/>
    <cellStyle name="20% - akcent 3 79 3" xfId="7927"/>
    <cellStyle name="20% - akcent 3 8" xfId="733"/>
    <cellStyle name="20% - akcent 3 8 2" xfId="734"/>
    <cellStyle name="20% - akcent 3 8 2 2" xfId="4584"/>
    <cellStyle name="20% - akcent 3 8 2 2 2" xfId="11219"/>
    <cellStyle name="20% - akcent 3 8 2 3" xfId="7929"/>
    <cellStyle name="20% - akcent 3 8 3" xfId="4583"/>
    <cellStyle name="20% - akcent 3 8 3 2" xfId="11218"/>
    <cellStyle name="20% - akcent 3 8 4" xfId="7928"/>
    <cellStyle name="20% - akcent 3 80" xfId="735"/>
    <cellStyle name="20% - akcent 3 80 2" xfId="4585"/>
    <cellStyle name="20% - akcent 3 80 2 2" xfId="11220"/>
    <cellStyle name="20% - akcent 3 80 3" xfId="7930"/>
    <cellStyle name="20% - akcent 3 81" xfId="736"/>
    <cellStyle name="20% - akcent 3 81 2" xfId="4586"/>
    <cellStyle name="20% - akcent 3 81 2 2" xfId="11221"/>
    <cellStyle name="20% - akcent 3 81 3" xfId="7931"/>
    <cellStyle name="20% - akcent 3 82" xfId="737"/>
    <cellStyle name="20% - akcent 3 82 2" xfId="4587"/>
    <cellStyle name="20% - akcent 3 82 2 2" xfId="11222"/>
    <cellStyle name="20% - akcent 3 82 3" xfId="7932"/>
    <cellStyle name="20% - akcent 3 83" xfId="738"/>
    <cellStyle name="20% - akcent 3 83 2" xfId="4588"/>
    <cellStyle name="20% - akcent 3 83 2 2" xfId="11223"/>
    <cellStyle name="20% - akcent 3 83 3" xfId="7933"/>
    <cellStyle name="20% - akcent 3 84" xfId="739"/>
    <cellStyle name="20% - akcent 3 84 2" xfId="4589"/>
    <cellStyle name="20% - akcent 3 84 2 2" xfId="11224"/>
    <cellStyle name="20% - akcent 3 84 3" xfId="7934"/>
    <cellStyle name="20% - akcent 3 85" xfId="740"/>
    <cellStyle name="20% - akcent 3 85 2" xfId="4590"/>
    <cellStyle name="20% - akcent 3 85 2 2" xfId="11225"/>
    <cellStyle name="20% - akcent 3 85 3" xfId="7935"/>
    <cellStyle name="20% - akcent 3 86" xfId="741"/>
    <cellStyle name="20% - akcent 3 86 2" xfId="4591"/>
    <cellStyle name="20% - akcent 3 86 2 2" xfId="11226"/>
    <cellStyle name="20% - akcent 3 86 3" xfId="7936"/>
    <cellStyle name="20% - akcent 3 87" xfId="742"/>
    <cellStyle name="20% - akcent 3 87 2" xfId="4592"/>
    <cellStyle name="20% - akcent 3 87 2 2" xfId="11227"/>
    <cellStyle name="20% - akcent 3 87 3" xfId="7937"/>
    <cellStyle name="20% - akcent 3 88" xfId="743"/>
    <cellStyle name="20% - akcent 3 88 2" xfId="4593"/>
    <cellStyle name="20% - akcent 3 88 2 2" xfId="11228"/>
    <cellStyle name="20% - akcent 3 88 3" xfId="7938"/>
    <cellStyle name="20% - akcent 3 89" xfId="744"/>
    <cellStyle name="20% - akcent 3 89 2" xfId="4594"/>
    <cellStyle name="20% - akcent 3 89 2 2" xfId="11229"/>
    <cellStyle name="20% - akcent 3 89 3" xfId="7939"/>
    <cellStyle name="20% - akcent 3 9" xfId="745"/>
    <cellStyle name="20% - akcent 3 9 2" xfId="746"/>
    <cellStyle name="20% - akcent 3 9 2 2" xfId="4596"/>
    <cellStyle name="20% - akcent 3 9 2 2 2" xfId="11231"/>
    <cellStyle name="20% - akcent 3 9 2 3" xfId="7941"/>
    <cellStyle name="20% - akcent 3 9 3" xfId="4595"/>
    <cellStyle name="20% - akcent 3 9 3 2" xfId="11230"/>
    <cellStyle name="20% - akcent 3 9 4" xfId="7940"/>
    <cellStyle name="20% - akcent 3 90" xfId="747"/>
    <cellStyle name="20% - akcent 3 90 2" xfId="4597"/>
    <cellStyle name="20% - akcent 3 90 2 2" xfId="11232"/>
    <cellStyle name="20% - akcent 3 90 3" xfId="7942"/>
    <cellStyle name="20% - akcent 3 91" xfId="748"/>
    <cellStyle name="20% - akcent 3 91 2" xfId="4598"/>
    <cellStyle name="20% - akcent 3 91 2 2" xfId="11233"/>
    <cellStyle name="20% - akcent 3 91 3" xfId="7943"/>
    <cellStyle name="20% - akcent 3 92" xfId="749"/>
    <cellStyle name="20% - akcent 3 92 2" xfId="4599"/>
    <cellStyle name="20% - akcent 3 92 2 2" xfId="11234"/>
    <cellStyle name="20% - akcent 3 92 3" xfId="7944"/>
    <cellStyle name="20% - akcent 3 93" xfId="750"/>
    <cellStyle name="20% - akcent 3 93 2" xfId="4600"/>
    <cellStyle name="20% - akcent 3 93 2 2" xfId="11235"/>
    <cellStyle name="20% - akcent 3 93 3" xfId="7945"/>
    <cellStyle name="20% - akcent 3 94" xfId="751"/>
    <cellStyle name="20% - akcent 3 94 2" xfId="4601"/>
    <cellStyle name="20% - akcent 3 94 2 2" xfId="11236"/>
    <cellStyle name="20% - akcent 3 94 3" xfId="7946"/>
    <cellStyle name="20% - akcent 3 95" xfId="752"/>
    <cellStyle name="20% - akcent 3 95 2" xfId="4602"/>
    <cellStyle name="20% - akcent 3 95 2 2" xfId="11237"/>
    <cellStyle name="20% - akcent 3 95 3" xfId="7947"/>
    <cellStyle name="20% - akcent 3 96" xfId="753"/>
    <cellStyle name="20% - akcent 3 96 2" xfId="4603"/>
    <cellStyle name="20% - akcent 3 96 2 2" xfId="11238"/>
    <cellStyle name="20% - akcent 3 96 3" xfId="7948"/>
    <cellStyle name="20% - akcent 3 97" xfId="754"/>
    <cellStyle name="20% - akcent 3 97 2" xfId="4604"/>
    <cellStyle name="20% - akcent 3 97 2 2" xfId="11239"/>
    <cellStyle name="20% - akcent 3 97 3" xfId="7949"/>
    <cellStyle name="20% - akcent 3 98" xfId="755"/>
    <cellStyle name="20% - akcent 3 98 2" xfId="4605"/>
    <cellStyle name="20% - akcent 3 98 2 2" xfId="11240"/>
    <cellStyle name="20% - akcent 3 98 3" xfId="7950"/>
    <cellStyle name="20% - akcent 3 99" xfId="756"/>
    <cellStyle name="20% - akcent 3 99 2" xfId="4606"/>
    <cellStyle name="20% - akcent 3 99 2 2" xfId="11241"/>
    <cellStyle name="20% - akcent 3 99 3" xfId="7951"/>
    <cellStyle name="20% - akcent 4" xfId="757" builtinId="42" customBuiltin="1"/>
    <cellStyle name="20% - akcent 4 10" xfId="758"/>
    <cellStyle name="20% - akcent 4 10 2" xfId="759"/>
    <cellStyle name="20% - akcent 4 10 2 2" xfId="4608"/>
    <cellStyle name="20% - akcent 4 10 2 2 2" xfId="11243"/>
    <cellStyle name="20% - akcent 4 10 2 3" xfId="7953"/>
    <cellStyle name="20% - akcent 4 10 3" xfId="4607"/>
    <cellStyle name="20% - akcent 4 10 3 2" xfId="11242"/>
    <cellStyle name="20% - akcent 4 10 4" xfId="7952"/>
    <cellStyle name="20% - akcent 4 100" xfId="760"/>
    <cellStyle name="20% - akcent 4 100 2" xfId="4609"/>
    <cellStyle name="20% - akcent 4 100 2 2" xfId="11244"/>
    <cellStyle name="20% - akcent 4 100 3" xfId="7954"/>
    <cellStyle name="20% - akcent 4 101" xfId="761"/>
    <cellStyle name="20% - akcent 4 101 2" xfId="4610"/>
    <cellStyle name="20% - akcent 4 101 2 2" xfId="11245"/>
    <cellStyle name="20% - akcent 4 101 3" xfId="7955"/>
    <cellStyle name="20% - akcent 4 102" xfId="762"/>
    <cellStyle name="20% - akcent 4 102 2" xfId="4611"/>
    <cellStyle name="20% - akcent 4 102 2 2" xfId="11246"/>
    <cellStyle name="20% - akcent 4 102 3" xfId="7956"/>
    <cellStyle name="20% - akcent 4 103" xfId="763"/>
    <cellStyle name="20% - akcent 4 103 2" xfId="4612"/>
    <cellStyle name="20% - akcent 4 103 2 2" xfId="11247"/>
    <cellStyle name="20% - akcent 4 103 3" xfId="7957"/>
    <cellStyle name="20% - akcent 4 104" xfId="764"/>
    <cellStyle name="20% - akcent 4 104 2" xfId="4613"/>
    <cellStyle name="20% - akcent 4 104 2 2" xfId="11248"/>
    <cellStyle name="20% - akcent 4 104 3" xfId="7958"/>
    <cellStyle name="20% - akcent 4 105" xfId="765"/>
    <cellStyle name="20% - akcent 4 105 2" xfId="4614"/>
    <cellStyle name="20% - akcent 4 105 2 2" xfId="11249"/>
    <cellStyle name="20% - akcent 4 105 3" xfId="7959"/>
    <cellStyle name="20% - akcent 4 106" xfId="766"/>
    <cellStyle name="20% - akcent 4 106 2" xfId="4615"/>
    <cellStyle name="20% - akcent 4 106 2 2" xfId="11250"/>
    <cellStyle name="20% - akcent 4 106 3" xfId="7960"/>
    <cellStyle name="20% - akcent 4 107" xfId="767"/>
    <cellStyle name="20% - akcent 4 107 2" xfId="4616"/>
    <cellStyle name="20% - akcent 4 107 2 2" xfId="11251"/>
    <cellStyle name="20% - akcent 4 107 3" xfId="7961"/>
    <cellStyle name="20% - akcent 4 108" xfId="768"/>
    <cellStyle name="20% - akcent 4 108 2" xfId="4617"/>
    <cellStyle name="20% - akcent 4 108 2 2" xfId="11252"/>
    <cellStyle name="20% - akcent 4 108 3" xfId="7962"/>
    <cellStyle name="20% - akcent 4 109" xfId="769"/>
    <cellStyle name="20% - akcent 4 109 2" xfId="4618"/>
    <cellStyle name="20% - akcent 4 109 2 2" xfId="11253"/>
    <cellStyle name="20% - akcent 4 109 3" xfId="7963"/>
    <cellStyle name="20% - akcent 4 11" xfId="770"/>
    <cellStyle name="20% - akcent 4 11 2" xfId="771"/>
    <cellStyle name="20% - akcent 4 11 2 2" xfId="4620"/>
    <cellStyle name="20% - akcent 4 11 2 2 2" xfId="11255"/>
    <cellStyle name="20% - akcent 4 11 2 3" xfId="7965"/>
    <cellStyle name="20% - akcent 4 11 3" xfId="4619"/>
    <cellStyle name="20% - akcent 4 11 3 2" xfId="11254"/>
    <cellStyle name="20% - akcent 4 11 4" xfId="7964"/>
    <cellStyle name="20% - akcent 4 110" xfId="772"/>
    <cellStyle name="20% - akcent 4 110 2" xfId="4621"/>
    <cellStyle name="20% - akcent 4 110 2 2" xfId="11256"/>
    <cellStyle name="20% - akcent 4 110 3" xfId="7966"/>
    <cellStyle name="20% - akcent 4 111" xfId="773"/>
    <cellStyle name="20% - akcent 4 111 2" xfId="4622"/>
    <cellStyle name="20% - akcent 4 111 2 2" xfId="11257"/>
    <cellStyle name="20% - akcent 4 111 3" xfId="7967"/>
    <cellStyle name="20% - akcent 4 112" xfId="774"/>
    <cellStyle name="20% - akcent 4 112 2" xfId="4623"/>
    <cellStyle name="20% - akcent 4 112 2 2" xfId="11258"/>
    <cellStyle name="20% - akcent 4 112 3" xfId="7968"/>
    <cellStyle name="20% - akcent 4 113" xfId="775"/>
    <cellStyle name="20% - akcent 4 113 2" xfId="4624"/>
    <cellStyle name="20% - akcent 4 113 2 2" xfId="11259"/>
    <cellStyle name="20% - akcent 4 113 3" xfId="7969"/>
    <cellStyle name="20% - akcent 4 114" xfId="776"/>
    <cellStyle name="20% - akcent 4 114 2" xfId="4625"/>
    <cellStyle name="20% - akcent 4 114 2 2" xfId="11260"/>
    <cellStyle name="20% - akcent 4 114 3" xfId="7970"/>
    <cellStyle name="20% - akcent 4 115" xfId="777"/>
    <cellStyle name="20% - akcent 4 115 2" xfId="4626"/>
    <cellStyle name="20% - akcent 4 115 2 2" xfId="11261"/>
    <cellStyle name="20% - akcent 4 115 3" xfId="7971"/>
    <cellStyle name="20% - akcent 4 116" xfId="778"/>
    <cellStyle name="20% - akcent 4 116 2" xfId="4627"/>
    <cellStyle name="20% - akcent 4 116 2 2" xfId="11262"/>
    <cellStyle name="20% - akcent 4 116 3" xfId="7972"/>
    <cellStyle name="20% - akcent 4 117" xfId="779"/>
    <cellStyle name="20% - akcent 4 117 2" xfId="4628"/>
    <cellStyle name="20% - akcent 4 117 2 2" xfId="11263"/>
    <cellStyle name="20% - akcent 4 117 3" xfId="7973"/>
    <cellStyle name="20% - akcent 4 118" xfId="780"/>
    <cellStyle name="20% - akcent 4 118 2" xfId="4629"/>
    <cellStyle name="20% - akcent 4 118 2 2" xfId="11264"/>
    <cellStyle name="20% - akcent 4 118 3" xfId="7974"/>
    <cellStyle name="20% - akcent 4 119" xfId="781"/>
    <cellStyle name="20% - akcent 4 119 2" xfId="4630"/>
    <cellStyle name="20% - akcent 4 119 2 2" xfId="11265"/>
    <cellStyle name="20% - akcent 4 119 3" xfId="7975"/>
    <cellStyle name="20% - akcent 4 12" xfId="782"/>
    <cellStyle name="20% - akcent 4 12 2" xfId="783"/>
    <cellStyle name="20% - akcent 4 12 2 2" xfId="4632"/>
    <cellStyle name="20% - akcent 4 12 2 2 2" xfId="11267"/>
    <cellStyle name="20% - akcent 4 12 2 3" xfId="7977"/>
    <cellStyle name="20% - akcent 4 12 3" xfId="4631"/>
    <cellStyle name="20% - akcent 4 12 3 2" xfId="11266"/>
    <cellStyle name="20% - akcent 4 12 4" xfId="7976"/>
    <cellStyle name="20% - akcent 4 120" xfId="784"/>
    <cellStyle name="20% - akcent 4 120 2" xfId="4633"/>
    <cellStyle name="20% - akcent 4 120 2 2" xfId="11268"/>
    <cellStyle name="20% - akcent 4 120 3" xfId="7978"/>
    <cellStyle name="20% - akcent 4 121" xfId="785"/>
    <cellStyle name="20% - akcent 4 121 2" xfId="4634"/>
    <cellStyle name="20% - akcent 4 121 2 2" xfId="11269"/>
    <cellStyle name="20% - akcent 4 121 3" xfId="7979"/>
    <cellStyle name="20% - akcent 4 122" xfId="786"/>
    <cellStyle name="20% - akcent 4 122 2" xfId="4635"/>
    <cellStyle name="20% - akcent 4 122 2 2" xfId="11270"/>
    <cellStyle name="20% - akcent 4 122 3" xfId="7980"/>
    <cellStyle name="20% - akcent 4 123" xfId="787"/>
    <cellStyle name="20% - akcent 4 123 2" xfId="4636"/>
    <cellStyle name="20% - akcent 4 123 2 2" xfId="11271"/>
    <cellStyle name="20% - akcent 4 123 3" xfId="7981"/>
    <cellStyle name="20% - akcent 4 124" xfId="788"/>
    <cellStyle name="20% - akcent 4 124 2" xfId="4637"/>
    <cellStyle name="20% - akcent 4 124 2 2" xfId="11272"/>
    <cellStyle name="20% - akcent 4 124 3" xfId="7982"/>
    <cellStyle name="20% - akcent 4 125" xfId="789"/>
    <cellStyle name="20% - akcent 4 125 2" xfId="4638"/>
    <cellStyle name="20% - akcent 4 125 2 2" xfId="11273"/>
    <cellStyle name="20% - akcent 4 125 3" xfId="7983"/>
    <cellStyle name="20% - akcent 4 126" xfId="790"/>
    <cellStyle name="20% - akcent 4 126 2" xfId="4639"/>
    <cellStyle name="20% - akcent 4 126 2 2" xfId="11274"/>
    <cellStyle name="20% - akcent 4 126 3" xfId="7984"/>
    <cellStyle name="20% - akcent 4 127" xfId="791"/>
    <cellStyle name="20% - akcent 4 127 2" xfId="4640"/>
    <cellStyle name="20% - akcent 4 127 2 2" xfId="11275"/>
    <cellStyle name="20% - akcent 4 127 3" xfId="7985"/>
    <cellStyle name="20% - akcent 4 128" xfId="792"/>
    <cellStyle name="20% - akcent 4 128 2" xfId="4641"/>
    <cellStyle name="20% - akcent 4 128 2 2" xfId="11276"/>
    <cellStyle name="20% - akcent 4 128 3" xfId="7986"/>
    <cellStyle name="20% - akcent 4 129" xfId="793"/>
    <cellStyle name="20% - akcent 4 129 2" xfId="4642"/>
    <cellStyle name="20% - akcent 4 129 2 2" xfId="11277"/>
    <cellStyle name="20% - akcent 4 129 3" xfId="7987"/>
    <cellStyle name="20% - akcent 4 13" xfId="794"/>
    <cellStyle name="20% - akcent 4 13 2" xfId="795"/>
    <cellStyle name="20% - akcent 4 13 2 2" xfId="4644"/>
    <cellStyle name="20% - akcent 4 13 2 2 2" xfId="11279"/>
    <cellStyle name="20% - akcent 4 13 2 3" xfId="7989"/>
    <cellStyle name="20% - akcent 4 13 3" xfId="4643"/>
    <cellStyle name="20% - akcent 4 13 3 2" xfId="11278"/>
    <cellStyle name="20% - akcent 4 13 4" xfId="7988"/>
    <cellStyle name="20% - akcent 4 130" xfId="796"/>
    <cellStyle name="20% - akcent 4 130 2" xfId="4645"/>
    <cellStyle name="20% - akcent 4 130 2 2" xfId="11280"/>
    <cellStyle name="20% - akcent 4 130 3" xfId="7990"/>
    <cellStyle name="20% - akcent 4 131" xfId="797"/>
    <cellStyle name="20% - akcent 4 131 2" xfId="4646"/>
    <cellStyle name="20% - akcent 4 131 2 2" xfId="11281"/>
    <cellStyle name="20% - akcent 4 131 3" xfId="7991"/>
    <cellStyle name="20% - akcent 4 132" xfId="798"/>
    <cellStyle name="20% - akcent 4 132 2" xfId="4647"/>
    <cellStyle name="20% - akcent 4 132 2 2" xfId="11282"/>
    <cellStyle name="20% - akcent 4 132 3" xfId="7992"/>
    <cellStyle name="20% - akcent 4 133" xfId="799"/>
    <cellStyle name="20% - akcent 4 133 2" xfId="4648"/>
    <cellStyle name="20% - akcent 4 133 2 2" xfId="11283"/>
    <cellStyle name="20% - akcent 4 133 3" xfId="7993"/>
    <cellStyle name="20% - akcent 4 134" xfId="800"/>
    <cellStyle name="20% - akcent 4 134 2" xfId="4649"/>
    <cellStyle name="20% - akcent 4 134 2 2" xfId="11284"/>
    <cellStyle name="20% - akcent 4 134 3" xfId="7994"/>
    <cellStyle name="20% - akcent 4 135" xfId="801"/>
    <cellStyle name="20% - akcent 4 135 2" xfId="4650"/>
    <cellStyle name="20% - akcent 4 135 2 2" xfId="11285"/>
    <cellStyle name="20% - akcent 4 135 3" xfId="7995"/>
    <cellStyle name="20% - akcent 4 136" xfId="802"/>
    <cellStyle name="20% - akcent 4 136 2" xfId="4651"/>
    <cellStyle name="20% - akcent 4 136 2 2" xfId="11286"/>
    <cellStyle name="20% - akcent 4 136 3" xfId="7996"/>
    <cellStyle name="20% - akcent 4 137" xfId="803"/>
    <cellStyle name="20% - akcent 4 137 2" xfId="4652"/>
    <cellStyle name="20% - akcent 4 137 2 2" xfId="11287"/>
    <cellStyle name="20% - akcent 4 137 3" xfId="7997"/>
    <cellStyle name="20% - akcent 4 138" xfId="804"/>
    <cellStyle name="20% - akcent 4 138 2" xfId="4653"/>
    <cellStyle name="20% - akcent 4 138 2 2" xfId="11288"/>
    <cellStyle name="20% - akcent 4 138 3" xfId="7998"/>
    <cellStyle name="20% - akcent 4 139" xfId="805"/>
    <cellStyle name="20% - akcent 4 139 2" xfId="4654"/>
    <cellStyle name="20% - akcent 4 139 2 2" xfId="11289"/>
    <cellStyle name="20% - akcent 4 139 3" xfId="7999"/>
    <cellStyle name="20% - akcent 4 14" xfId="806"/>
    <cellStyle name="20% - akcent 4 14 2" xfId="807"/>
    <cellStyle name="20% - akcent 4 14 2 2" xfId="4656"/>
    <cellStyle name="20% - akcent 4 14 2 2 2" xfId="11291"/>
    <cellStyle name="20% - akcent 4 14 2 3" xfId="8001"/>
    <cellStyle name="20% - akcent 4 14 3" xfId="4655"/>
    <cellStyle name="20% - akcent 4 14 3 2" xfId="11290"/>
    <cellStyle name="20% - akcent 4 14 4" xfId="8000"/>
    <cellStyle name="20% - akcent 4 140" xfId="808"/>
    <cellStyle name="20% - akcent 4 140 2" xfId="4657"/>
    <cellStyle name="20% - akcent 4 140 2 2" xfId="11292"/>
    <cellStyle name="20% - akcent 4 140 3" xfId="8002"/>
    <cellStyle name="20% - akcent 4 141" xfId="809"/>
    <cellStyle name="20% - akcent 4 141 2" xfId="4658"/>
    <cellStyle name="20% - akcent 4 141 2 2" xfId="11293"/>
    <cellStyle name="20% - akcent 4 141 3" xfId="8003"/>
    <cellStyle name="20% - akcent 4 142" xfId="810"/>
    <cellStyle name="20% - akcent 4 142 2" xfId="4659"/>
    <cellStyle name="20% - akcent 4 142 2 2" xfId="11294"/>
    <cellStyle name="20% - akcent 4 142 3" xfId="8004"/>
    <cellStyle name="20% - akcent 4 143" xfId="811"/>
    <cellStyle name="20% - akcent 4 143 2" xfId="4660"/>
    <cellStyle name="20% - akcent 4 143 2 2" xfId="11295"/>
    <cellStyle name="20% - akcent 4 143 3" xfId="8005"/>
    <cellStyle name="20% - akcent 4 144" xfId="812"/>
    <cellStyle name="20% - akcent 4 144 2" xfId="4661"/>
    <cellStyle name="20% - akcent 4 144 2 2" xfId="11296"/>
    <cellStyle name="20% - akcent 4 144 3" xfId="8006"/>
    <cellStyle name="20% - akcent 4 145" xfId="813"/>
    <cellStyle name="20% - akcent 4 145 2" xfId="4662"/>
    <cellStyle name="20% - akcent 4 145 2 2" xfId="11297"/>
    <cellStyle name="20% - akcent 4 145 3" xfId="8007"/>
    <cellStyle name="20% - akcent 4 146" xfId="814"/>
    <cellStyle name="20% - akcent 4 146 2" xfId="4663"/>
    <cellStyle name="20% - akcent 4 146 2 2" xfId="11298"/>
    <cellStyle name="20% - akcent 4 146 3" xfId="8008"/>
    <cellStyle name="20% - akcent 4 147" xfId="815"/>
    <cellStyle name="20% - akcent 4 147 2" xfId="4664"/>
    <cellStyle name="20% - akcent 4 147 2 2" xfId="11299"/>
    <cellStyle name="20% - akcent 4 147 3" xfId="8009"/>
    <cellStyle name="20% - akcent 4 148" xfId="816"/>
    <cellStyle name="20% - akcent 4 148 2" xfId="4665"/>
    <cellStyle name="20% - akcent 4 148 2 2" xfId="11300"/>
    <cellStyle name="20% - akcent 4 148 3" xfId="8010"/>
    <cellStyle name="20% - akcent 4 149" xfId="817"/>
    <cellStyle name="20% - akcent 4 149 2" xfId="4666"/>
    <cellStyle name="20% - akcent 4 149 2 2" xfId="11301"/>
    <cellStyle name="20% - akcent 4 149 3" xfId="8011"/>
    <cellStyle name="20% - akcent 4 15" xfId="818"/>
    <cellStyle name="20% - akcent 4 15 2" xfId="819"/>
    <cellStyle name="20% - akcent 4 15 2 2" xfId="4668"/>
    <cellStyle name="20% - akcent 4 15 2 2 2" xfId="11303"/>
    <cellStyle name="20% - akcent 4 15 2 3" xfId="8013"/>
    <cellStyle name="20% - akcent 4 15 3" xfId="4667"/>
    <cellStyle name="20% - akcent 4 15 3 2" xfId="11302"/>
    <cellStyle name="20% - akcent 4 15 4" xfId="8012"/>
    <cellStyle name="20% - akcent 4 150" xfId="820"/>
    <cellStyle name="20% - akcent 4 150 2" xfId="4669"/>
    <cellStyle name="20% - akcent 4 150 2 2" xfId="11304"/>
    <cellStyle name="20% - akcent 4 150 3" xfId="8014"/>
    <cellStyle name="20% - akcent 4 151" xfId="821"/>
    <cellStyle name="20% - akcent 4 151 2" xfId="4670"/>
    <cellStyle name="20% - akcent 4 151 2 2" xfId="11305"/>
    <cellStyle name="20% - akcent 4 151 3" xfId="8015"/>
    <cellStyle name="20% - akcent 4 152" xfId="822"/>
    <cellStyle name="20% - akcent 4 152 2" xfId="4671"/>
    <cellStyle name="20% - akcent 4 152 2 2" xfId="11306"/>
    <cellStyle name="20% - akcent 4 152 3" xfId="8016"/>
    <cellStyle name="20% - akcent 4 153" xfId="823"/>
    <cellStyle name="20% - akcent 4 153 2" xfId="4672"/>
    <cellStyle name="20% - akcent 4 153 2 2" xfId="11307"/>
    <cellStyle name="20% - akcent 4 153 3" xfId="8017"/>
    <cellStyle name="20% - akcent 4 154" xfId="824"/>
    <cellStyle name="20% - akcent 4 154 2" xfId="4673"/>
    <cellStyle name="20% - akcent 4 154 2 2" xfId="11308"/>
    <cellStyle name="20% - akcent 4 154 3" xfId="8018"/>
    <cellStyle name="20% - akcent 4 155" xfId="825"/>
    <cellStyle name="20% - akcent 4 155 2" xfId="4674"/>
    <cellStyle name="20% - akcent 4 155 2 2" xfId="11309"/>
    <cellStyle name="20% - akcent 4 155 3" xfId="8019"/>
    <cellStyle name="20% - akcent 4 156" xfId="826"/>
    <cellStyle name="20% - akcent 4 156 2" xfId="4675"/>
    <cellStyle name="20% - akcent 4 156 2 2" xfId="11310"/>
    <cellStyle name="20% - akcent 4 156 3" xfId="8020"/>
    <cellStyle name="20% - akcent 4 157" xfId="827"/>
    <cellStyle name="20% - akcent 4 157 2" xfId="4676"/>
    <cellStyle name="20% - akcent 4 157 2 2" xfId="11311"/>
    <cellStyle name="20% - akcent 4 157 3" xfId="8021"/>
    <cellStyle name="20% - akcent 4 158" xfId="828"/>
    <cellStyle name="20% - akcent 4 158 2" xfId="4677"/>
    <cellStyle name="20% - akcent 4 158 2 2" xfId="11312"/>
    <cellStyle name="20% - akcent 4 158 3" xfId="8022"/>
    <cellStyle name="20% - akcent 4 159" xfId="829"/>
    <cellStyle name="20% - akcent 4 159 2" xfId="4678"/>
    <cellStyle name="20% - akcent 4 159 2 2" xfId="11313"/>
    <cellStyle name="20% - akcent 4 159 3" xfId="8023"/>
    <cellStyle name="20% - akcent 4 16" xfId="830"/>
    <cellStyle name="20% - akcent 4 16 2" xfId="831"/>
    <cellStyle name="20% - akcent 4 16 2 2" xfId="4680"/>
    <cellStyle name="20% - akcent 4 16 2 2 2" xfId="11315"/>
    <cellStyle name="20% - akcent 4 16 2 3" xfId="8025"/>
    <cellStyle name="20% - akcent 4 16 3" xfId="4679"/>
    <cellStyle name="20% - akcent 4 16 3 2" xfId="11314"/>
    <cellStyle name="20% - akcent 4 16 4" xfId="8024"/>
    <cellStyle name="20% - akcent 4 160" xfId="832"/>
    <cellStyle name="20% - akcent 4 160 2" xfId="4681"/>
    <cellStyle name="20% - akcent 4 160 2 2" xfId="11316"/>
    <cellStyle name="20% - akcent 4 160 3" xfId="8026"/>
    <cellStyle name="20% - akcent 4 161" xfId="833"/>
    <cellStyle name="20% - akcent 4 161 2" xfId="4682"/>
    <cellStyle name="20% - akcent 4 161 2 2" xfId="11317"/>
    <cellStyle name="20% - akcent 4 161 3" xfId="8027"/>
    <cellStyle name="20% - akcent 4 162" xfId="834"/>
    <cellStyle name="20% - akcent 4 162 2" xfId="4683"/>
    <cellStyle name="20% - akcent 4 162 2 2" xfId="11318"/>
    <cellStyle name="20% - akcent 4 162 3" xfId="8028"/>
    <cellStyle name="20% - akcent 4 163" xfId="835"/>
    <cellStyle name="20% - akcent 4 163 2" xfId="4684"/>
    <cellStyle name="20% - akcent 4 163 2 2" xfId="11319"/>
    <cellStyle name="20% - akcent 4 163 3" xfId="8029"/>
    <cellStyle name="20% - akcent 4 164" xfId="836"/>
    <cellStyle name="20% - akcent 4 164 2" xfId="4685"/>
    <cellStyle name="20% - akcent 4 164 2 2" xfId="11320"/>
    <cellStyle name="20% - akcent 4 164 3" xfId="8030"/>
    <cellStyle name="20% - akcent 4 165" xfId="837"/>
    <cellStyle name="20% - akcent 4 165 2" xfId="4686"/>
    <cellStyle name="20% - akcent 4 165 2 2" xfId="11321"/>
    <cellStyle name="20% - akcent 4 165 3" xfId="8031"/>
    <cellStyle name="20% - akcent 4 166" xfId="838"/>
    <cellStyle name="20% - akcent 4 166 2" xfId="4687"/>
    <cellStyle name="20% - akcent 4 166 2 2" xfId="11322"/>
    <cellStyle name="20% - akcent 4 166 3" xfId="8032"/>
    <cellStyle name="20% - akcent 4 167" xfId="839"/>
    <cellStyle name="20% - akcent 4 167 2" xfId="4688"/>
    <cellStyle name="20% - akcent 4 167 2 2" xfId="11323"/>
    <cellStyle name="20% - akcent 4 167 3" xfId="8033"/>
    <cellStyle name="20% - akcent 4 168" xfId="840"/>
    <cellStyle name="20% - akcent 4 168 2" xfId="4689"/>
    <cellStyle name="20% - akcent 4 168 2 2" xfId="11324"/>
    <cellStyle name="20% - akcent 4 168 3" xfId="8034"/>
    <cellStyle name="20% - akcent 4 169" xfId="841"/>
    <cellStyle name="20% - akcent 4 169 2" xfId="4690"/>
    <cellStyle name="20% - akcent 4 169 2 2" xfId="11325"/>
    <cellStyle name="20% - akcent 4 169 3" xfId="8035"/>
    <cellStyle name="20% - akcent 4 17" xfId="842"/>
    <cellStyle name="20% - akcent 4 17 2" xfId="843"/>
    <cellStyle name="20% - akcent 4 17 2 2" xfId="4692"/>
    <cellStyle name="20% - akcent 4 17 2 2 2" xfId="11327"/>
    <cellStyle name="20% - akcent 4 17 2 3" xfId="8037"/>
    <cellStyle name="20% - akcent 4 17 3" xfId="4691"/>
    <cellStyle name="20% - akcent 4 17 3 2" xfId="11326"/>
    <cellStyle name="20% - akcent 4 17 4" xfId="8036"/>
    <cellStyle name="20% - akcent 4 170" xfId="844"/>
    <cellStyle name="20% - akcent 4 170 2" xfId="4693"/>
    <cellStyle name="20% - akcent 4 170 2 2" xfId="11328"/>
    <cellStyle name="20% - akcent 4 170 3" xfId="8038"/>
    <cellStyle name="20% - akcent 4 171" xfId="845"/>
    <cellStyle name="20% - akcent 4 171 2" xfId="4694"/>
    <cellStyle name="20% - akcent 4 171 2 2" xfId="11329"/>
    <cellStyle name="20% - akcent 4 171 3" xfId="8039"/>
    <cellStyle name="20% - akcent 4 172" xfId="846"/>
    <cellStyle name="20% - akcent 4 172 2" xfId="4695"/>
    <cellStyle name="20% - akcent 4 172 2 2" xfId="11330"/>
    <cellStyle name="20% - akcent 4 172 3" xfId="8040"/>
    <cellStyle name="20% - akcent 4 173" xfId="847"/>
    <cellStyle name="20% - akcent 4 173 2" xfId="4696"/>
    <cellStyle name="20% - akcent 4 173 2 2" xfId="11331"/>
    <cellStyle name="20% - akcent 4 173 3" xfId="8041"/>
    <cellStyle name="20% - akcent 4 174" xfId="848"/>
    <cellStyle name="20% - akcent 4 174 2" xfId="4697"/>
    <cellStyle name="20% - akcent 4 174 2 2" xfId="11332"/>
    <cellStyle name="20% - akcent 4 174 3" xfId="8042"/>
    <cellStyle name="20% - akcent 4 175" xfId="849"/>
    <cellStyle name="20% - akcent 4 175 2" xfId="4698"/>
    <cellStyle name="20% - akcent 4 175 2 2" xfId="11333"/>
    <cellStyle name="20% - akcent 4 175 3" xfId="8043"/>
    <cellStyle name="20% - akcent 4 176" xfId="850"/>
    <cellStyle name="20% - akcent 4 176 2" xfId="4699"/>
    <cellStyle name="20% - akcent 4 176 2 2" xfId="11334"/>
    <cellStyle name="20% - akcent 4 176 3" xfId="8044"/>
    <cellStyle name="20% - akcent 4 177" xfId="851"/>
    <cellStyle name="20% - akcent 4 177 2" xfId="4700"/>
    <cellStyle name="20% - akcent 4 177 2 2" xfId="11335"/>
    <cellStyle name="20% - akcent 4 177 3" xfId="8045"/>
    <cellStyle name="20% - akcent 4 178" xfId="852"/>
    <cellStyle name="20% - akcent 4 178 2" xfId="4701"/>
    <cellStyle name="20% - akcent 4 178 2 2" xfId="11336"/>
    <cellStyle name="20% - akcent 4 178 3" xfId="8046"/>
    <cellStyle name="20% - akcent 4 179" xfId="853"/>
    <cellStyle name="20% - akcent 4 179 2" xfId="4702"/>
    <cellStyle name="20% - akcent 4 179 2 2" xfId="11337"/>
    <cellStyle name="20% - akcent 4 179 3" xfId="8047"/>
    <cellStyle name="20% - akcent 4 18" xfId="854"/>
    <cellStyle name="20% - akcent 4 18 2" xfId="855"/>
    <cellStyle name="20% - akcent 4 18 2 2" xfId="4704"/>
    <cellStyle name="20% - akcent 4 18 2 2 2" xfId="11339"/>
    <cellStyle name="20% - akcent 4 18 2 3" xfId="8049"/>
    <cellStyle name="20% - akcent 4 18 3" xfId="4703"/>
    <cellStyle name="20% - akcent 4 18 3 2" xfId="11338"/>
    <cellStyle name="20% - akcent 4 18 4" xfId="8048"/>
    <cellStyle name="20% - akcent 4 180" xfId="856"/>
    <cellStyle name="20% - akcent 4 180 2" xfId="4705"/>
    <cellStyle name="20% - akcent 4 180 2 2" xfId="11340"/>
    <cellStyle name="20% - akcent 4 180 3" xfId="8050"/>
    <cellStyle name="20% - akcent 4 181" xfId="857"/>
    <cellStyle name="20% - akcent 4 181 2" xfId="4706"/>
    <cellStyle name="20% - akcent 4 181 2 2" xfId="11341"/>
    <cellStyle name="20% - akcent 4 181 3" xfId="8051"/>
    <cellStyle name="20% - akcent 4 182" xfId="858"/>
    <cellStyle name="20% - akcent 4 182 2" xfId="4707"/>
    <cellStyle name="20% - akcent 4 182 2 2" xfId="11342"/>
    <cellStyle name="20% - akcent 4 182 3" xfId="8052"/>
    <cellStyle name="20% - akcent 4 183" xfId="859"/>
    <cellStyle name="20% - akcent 4 183 2" xfId="4708"/>
    <cellStyle name="20% - akcent 4 183 2 2" xfId="11343"/>
    <cellStyle name="20% - akcent 4 183 3" xfId="8053"/>
    <cellStyle name="20% - akcent 4 184" xfId="860"/>
    <cellStyle name="20% - akcent 4 184 2" xfId="4709"/>
    <cellStyle name="20% - akcent 4 184 2 2" xfId="11344"/>
    <cellStyle name="20% - akcent 4 184 3" xfId="8054"/>
    <cellStyle name="20% - akcent 4 185" xfId="861"/>
    <cellStyle name="20% - akcent 4 185 2" xfId="4710"/>
    <cellStyle name="20% - akcent 4 185 2 2" xfId="11345"/>
    <cellStyle name="20% - akcent 4 185 3" xfId="8055"/>
    <cellStyle name="20% - akcent 4 186" xfId="862"/>
    <cellStyle name="20% - akcent 4 186 2" xfId="4711"/>
    <cellStyle name="20% - akcent 4 186 2 2" xfId="11346"/>
    <cellStyle name="20% - akcent 4 186 3" xfId="8056"/>
    <cellStyle name="20% - akcent 4 187" xfId="863"/>
    <cellStyle name="20% - akcent 4 187 2" xfId="4712"/>
    <cellStyle name="20% - akcent 4 187 2 2" xfId="11347"/>
    <cellStyle name="20% - akcent 4 187 3" xfId="8057"/>
    <cellStyle name="20% - akcent 4 188" xfId="864"/>
    <cellStyle name="20% - akcent 4 188 2" xfId="4713"/>
    <cellStyle name="20% - akcent 4 188 2 2" xfId="11348"/>
    <cellStyle name="20% - akcent 4 188 3" xfId="8058"/>
    <cellStyle name="20% - akcent 4 189" xfId="865"/>
    <cellStyle name="20% - akcent 4 189 2" xfId="4714"/>
    <cellStyle name="20% - akcent 4 189 2 2" xfId="11349"/>
    <cellStyle name="20% - akcent 4 189 3" xfId="8059"/>
    <cellStyle name="20% - akcent 4 19" xfId="866"/>
    <cellStyle name="20% - akcent 4 19 2" xfId="867"/>
    <cellStyle name="20% - akcent 4 19 2 2" xfId="4716"/>
    <cellStyle name="20% - akcent 4 19 2 2 2" xfId="11351"/>
    <cellStyle name="20% - akcent 4 19 2 3" xfId="8061"/>
    <cellStyle name="20% - akcent 4 19 3" xfId="4715"/>
    <cellStyle name="20% - akcent 4 19 3 2" xfId="11350"/>
    <cellStyle name="20% - akcent 4 19 4" xfId="8060"/>
    <cellStyle name="20% - akcent 4 190" xfId="868"/>
    <cellStyle name="20% - akcent 4 190 2" xfId="4717"/>
    <cellStyle name="20% - akcent 4 190 2 2" xfId="11352"/>
    <cellStyle name="20% - akcent 4 190 3" xfId="8062"/>
    <cellStyle name="20% - akcent 4 191" xfId="869"/>
    <cellStyle name="20% - akcent 4 191 2" xfId="4718"/>
    <cellStyle name="20% - akcent 4 191 2 2" xfId="11353"/>
    <cellStyle name="20% - akcent 4 191 3" xfId="8063"/>
    <cellStyle name="20% - akcent 4 192" xfId="870"/>
    <cellStyle name="20% - akcent 4 192 2" xfId="4719"/>
    <cellStyle name="20% - akcent 4 192 2 2" xfId="11354"/>
    <cellStyle name="20% - akcent 4 192 3" xfId="8064"/>
    <cellStyle name="20% - akcent 4 193" xfId="871"/>
    <cellStyle name="20% - akcent 4 193 2" xfId="4720"/>
    <cellStyle name="20% - akcent 4 193 2 2" xfId="11355"/>
    <cellStyle name="20% - akcent 4 193 3" xfId="8065"/>
    <cellStyle name="20% - akcent 4 194" xfId="872"/>
    <cellStyle name="20% - akcent 4 194 2" xfId="4721"/>
    <cellStyle name="20% - akcent 4 194 2 2" xfId="11356"/>
    <cellStyle name="20% - akcent 4 194 3" xfId="8066"/>
    <cellStyle name="20% - akcent 4 195" xfId="3843"/>
    <cellStyle name="20% - akcent 4 195 2" xfId="10478"/>
    <cellStyle name="20% - akcent 4 196" xfId="7120"/>
    <cellStyle name="20% - akcent 4 197" xfId="7192"/>
    <cellStyle name="20% - akcent 4 2" xfId="873"/>
    <cellStyle name="20% - akcent 4 2 2" xfId="874"/>
    <cellStyle name="20% - akcent 4 2 2 2" xfId="4723"/>
    <cellStyle name="20% - akcent 4 2 2 2 2" xfId="11358"/>
    <cellStyle name="20% - akcent 4 2 2 3" xfId="8068"/>
    <cellStyle name="20% - akcent 4 2 3" xfId="4722"/>
    <cellStyle name="20% - akcent 4 2 3 2" xfId="11357"/>
    <cellStyle name="20% - akcent 4 2 4" xfId="8067"/>
    <cellStyle name="20% - akcent 4 20" xfId="875"/>
    <cellStyle name="20% - akcent 4 20 2" xfId="876"/>
    <cellStyle name="20% - akcent 4 20 2 2" xfId="4725"/>
    <cellStyle name="20% - akcent 4 20 2 2 2" xfId="11360"/>
    <cellStyle name="20% - akcent 4 20 2 3" xfId="8070"/>
    <cellStyle name="20% - akcent 4 20 3" xfId="4724"/>
    <cellStyle name="20% - akcent 4 20 3 2" xfId="11359"/>
    <cellStyle name="20% - akcent 4 20 4" xfId="8069"/>
    <cellStyle name="20% - akcent 4 21" xfId="877"/>
    <cellStyle name="20% - akcent 4 21 2" xfId="878"/>
    <cellStyle name="20% - akcent 4 21 2 2" xfId="4727"/>
    <cellStyle name="20% - akcent 4 21 2 2 2" xfId="11362"/>
    <cellStyle name="20% - akcent 4 21 2 3" xfId="8072"/>
    <cellStyle name="20% - akcent 4 21 3" xfId="4726"/>
    <cellStyle name="20% - akcent 4 21 3 2" xfId="11361"/>
    <cellStyle name="20% - akcent 4 21 4" xfId="8071"/>
    <cellStyle name="20% - akcent 4 22" xfId="879"/>
    <cellStyle name="20% - akcent 4 22 2" xfId="880"/>
    <cellStyle name="20% - akcent 4 22 2 2" xfId="4729"/>
    <cellStyle name="20% - akcent 4 22 2 2 2" xfId="11364"/>
    <cellStyle name="20% - akcent 4 22 2 3" xfId="8074"/>
    <cellStyle name="20% - akcent 4 22 3" xfId="4728"/>
    <cellStyle name="20% - akcent 4 22 3 2" xfId="11363"/>
    <cellStyle name="20% - akcent 4 22 4" xfId="8073"/>
    <cellStyle name="20% - akcent 4 23" xfId="881"/>
    <cellStyle name="20% - akcent 4 23 2" xfId="882"/>
    <cellStyle name="20% - akcent 4 23 2 2" xfId="4731"/>
    <cellStyle name="20% - akcent 4 23 2 2 2" xfId="11366"/>
    <cellStyle name="20% - akcent 4 23 2 3" xfId="8076"/>
    <cellStyle name="20% - akcent 4 23 3" xfId="4730"/>
    <cellStyle name="20% - akcent 4 23 3 2" xfId="11365"/>
    <cellStyle name="20% - akcent 4 23 4" xfId="8075"/>
    <cellStyle name="20% - akcent 4 24" xfId="883"/>
    <cellStyle name="20% - akcent 4 24 2" xfId="884"/>
    <cellStyle name="20% - akcent 4 24 2 2" xfId="4733"/>
    <cellStyle name="20% - akcent 4 24 2 2 2" xfId="11368"/>
    <cellStyle name="20% - akcent 4 24 2 3" xfId="8078"/>
    <cellStyle name="20% - akcent 4 24 3" xfId="4732"/>
    <cellStyle name="20% - akcent 4 24 3 2" xfId="11367"/>
    <cellStyle name="20% - akcent 4 24 4" xfId="8077"/>
    <cellStyle name="20% - akcent 4 25" xfId="885"/>
    <cellStyle name="20% - akcent 4 25 2" xfId="886"/>
    <cellStyle name="20% - akcent 4 25 2 2" xfId="4735"/>
    <cellStyle name="20% - akcent 4 25 2 2 2" xfId="11370"/>
    <cellStyle name="20% - akcent 4 25 2 3" xfId="8080"/>
    <cellStyle name="20% - akcent 4 25 3" xfId="4734"/>
    <cellStyle name="20% - akcent 4 25 3 2" xfId="11369"/>
    <cellStyle name="20% - akcent 4 25 4" xfId="8079"/>
    <cellStyle name="20% - akcent 4 26" xfId="887"/>
    <cellStyle name="20% - akcent 4 26 2" xfId="888"/>
    <cellStyle name="20% - akcent 4 26 2 2" xfId="4737"/>
    <cellStyle name="20% - akcent 4 26 2 2 2" xfId="11372"/>
    <cellStyle name="20% - akcent 4 26 2 3" xfId="8082"/>
    <cellStyle name="20% - akcent 4 26 3" xfId="4736"/>
    <cellStyle name="20% - akcent 4 26 3 2" xfId="11371"/>
    <cellStyle name="20% - akcent 4 26 4" xfId="8081"/>
    <cellStyle name="20% - akcent 4 27" xfId="889"/>
    <cellStyle name="20% - akcent 4 27 2" xfId="890"/>
    <cellStyle name="20% - akcent 4 27 2 2" xfId="4739"/>
    <cellStyle name="20% - akcent 4 27 2 2 2" xfId="11374"/>
    <cellStyle name="20% - akcent 4 27 2 3" xfId="8084"/>
    <cellStyle name="20% - akcent 4 27 3" xfId="4738"/>
    <cellStyle name="20% - akcent 4 27 3 2" xfId="11373"/>
    <cellStyle name="20% - akcent 4 27 4" xfId="8083"/>
    <cellStyle name="20% - akcent 4 28" xfId="891"/>
    <cellStyle name="20% - akcent 4 28 2" xfId="892"/>
    <cellStyle name="20% - akcent 4 28 2 2" xfId="4741"/>
    <cellStyle name="20% - akcent 4 28 2 2 2" xfId="11376"/>
    <cellStyle name="20% - akcent 4 28 2 3" xfId="8086"/>
    <cellStyle name="20% - akcent 4 28 3" xfId="4740"/>
    <cellStyle name="20% - akcent 4 28 3 2" xfId="11375"/>
    <cellStyle name="20% - akcent 4 28 4" xfId="8085"/>
    <cellStyle name="20% - akcent 4 29" xfId="893"/>
    <cellStyle name="20% - akcent 4 29 2" xfId="894"/>
    <cellStyle name="20% - akcent 4 29 2 2" xfId="4743"/>
    <cellStyle name="20% - akcent 4 29 2 2 2" xfId="11378"/>
    <cellStyle name="20% - akcent 4 29 2 3" xfId="8088"/>
    <cellStyle name="20% - akcent 4 29 3" xfId="4742"/>
    <cellStyle name="20% - akcent 4 29 3 2" xfId="11377"/>
    <cellStyle name="20% - akcent 4 29 4" xfId="8087"/>
    <cellStyle name="20% - akcent 4 3" xfId="895"/>
    <cellStyle name="20% - akcent 4 3 2" xfId="896"/>
    <cellStyle name="20% - akcent 4 3 2 2" xfId="4745"/>
    <cellStyle name="20% - akcent 4 3 2 2 2" xfId="11380"/>
    <cellStyle name="20% - akcent 4 3 2 3" xfId="8090"/>
    <cellStyle name="20% - akcent 4 3 3" xfId="4744"/>
    <cellStyle name="20% - akcent 4 3 3 2" xfId="11379"/>
    <cellStyle name="20% - akcent 4 3 4" xfId="8089"/>
    <cellStyle name="20% - akcent 4 30" xfId="897"/>
    <cellStyle name="20% - akcent 4 30 2" xfId="898"/>
    <cellStyle name="20% - akcent 4 30 2 2" xfId="4747"/>
    <cellStyle name="20% - akcent 4 30 2 2 2" xfId="11382"/>
    <cellStyle name="20% - akcent 4 30 2 3" xfId="8092"/>
    <cellStyle name="20% - akcent 4 30 3" xfId="4746"/>
    <cellStyle name="20% - akcent 4 30 3 2" xfId="11381"/>
    <cellStyle name="20% - akcent 4 30 4" xfId="8091"/>
    <cellStyle name="20% - akcent 4 31" xfId="899"/>
    <cellStyle name="20% - akcent 4 31 2" xfId="900"/>
    <cellStyle name="20% - akcent 4 31 2 2" xfId="4749"/>
    <cellStyle name="20% - akcent 4 31 2 2 2" xfId="11384"/>
    <cellStyle name="20% - akcent 4 31 2 3" xfId="8094"/>
    <cellStyle name="20% - akcent 4 31 3" xfId="4748"/>
    <cellStyle name="20% - akcent 4 31 3 2" xfId="11383"/>
    <cellStyle name="20% - akcent 4 31 4" xfId="8093"/>
    <cellStyle name="20% - akcent 4 32" xfId="901"/>
    <cellStyle name="20% - akcent 4 32 2" xfId="902"/>
    <cellStyle name="20% - akcent 4 32 2 2" xfId="4751"/>
    <cellStyle name="20% - akcent 4 32 2 2 2" xfId="11386"/>
    <cellStyle name="20% - akcent 4 32 2 3" xfId="8096"/>
    <cellStyle name="20% - akcent 4 32 3" xfId="4750"/>
    <cellStyle name="20% - akcent 4 32 3 2" xfId="11385"/>
    <cellStyle name="20% - akcent 4 32 4" xfId="8095"/>
    <cellStyle name="20% - akcent 4 33" xfId="903"/>
    <cellStyle name="20% - akcent 4 33 2" xfId="904"/>
    <cellStyle name="20% - akcent 4 33 2 2" xfId="4753"/>
    <cellStyle name="20% - akcent 4 33 2 2 2" xfId="11388"/>
    <cellStyle name="20% - akcent 4 33 2 3" xfId="8098"/>
    <cellStyle name="20% - akcent 4 33 3" xfId="4752"/>
    <cellStyle name="20% - akcent 4 33 3 2" xfId="11387"/>
    <cellStyle name="20% - akcent 4 33 4" xfId="8097"/>
    <cellStyle name="20% - akcent 4 34" xfId="905"/>
    <cellStyle name="20% - akcent 4 34 2" xfId="906"/>
    <cellStyle name="20% - akcent 4 34 2 2" xfId="4755"/>
    <cellStyle name="20% - akcent 4 34 2 2 2" xfId="11390"/>
    <cellStyle name="20% - akcent 4 34 2 3" xfId="8100"/>
    <cellStyle name="20% - akcent 4 34 3" xfId="4754"/>
    <cellStyle name="20% - akcent 4 34 3 2" xfId="11389"/>
    <cellStyle name="20% - akcent 4 34 4" xfId="8099"/>
    <cellStyle name="20% - akcent 4 35" xfId="907"/>
    <cellStyle name="20% - akcent 4 35 2" xfId="908"/>
    <cellStyle name="20% - akcent 4 35 2 2" xfId="4757"/>
    <cellStyle name="20% - akcent 4 35 2 2 2" xfId="11392"/>
    <cellStyle name="20% - akcent 4 35 2 3" xfId="8102"/>
    <cellStyle name="20% - akcent 4 35 3" xfId="4756"/>
    <cellStyle name="20% - akcent 4 35 3 2" xfId="11391"/>
    <cellStyle name="20% - akcent 4 35 4" xfId="8101"/>
    <cellStyle name="20% - akcent 4 36" xfId="909"/>
    <cellStyle name="20% - akcent 4 36 2" xfId="910"/>
    <cellStyle name="20% - akcent 4 36 2 2" xfId="4759"/>
    <cellStyle name="20% - akcent 4 36 2 2 2" xfId="11394"/>
    <cellStyle name="20% - akcent 4 36 2 3" xfId="8104"/>
    <cellStyle name="20% - akcent 4 36 3" xfId="4758"/>
    <cellStyle name="20% - akcent 4 36 3 2" xfId="11393"/>
    <cellStyle name="20% - akcent 4 36 4" xfId="8103"/>
    <cellStyle name="20% - akcent 4 37" xfId="911"/>
    <cellStyle name="20% - akcent 4 37 2" xfId="912"/>
    <cellStyle name="20% - akcent 4 37 2 2" xfId="4761"/>
    <cellStyle name="20% - akcent 4 37 2 2 2" xfId="11396"/>
    <cellStyle name="20% - akcent 4 37 2 3" xfId="8106"/>
    <cellStyle name="20% - akcent 4 37 3" xfId="4760"/>
    <cellStyle name="20% - akcent 4 37 3 2" xfId="11395"/>
    <cellStyle name="20% - akcent 4 37 4" xfId="8105"/>
    <cellStyle name="20% - akcent 4 38" xfId="913"/>
    <cellStyle name="20% - akcent 4 38 2" xfId="914"/>
    <cellStyle name="20% - akcent 4 38 2 2" xfId="4763"/>
    <cellStyle name="20% - akcent 4 38 2 2 2" xfId="11398"/>
    <cellStyle name="20% - akcent 4 38 2 3" xfId="8108"/>
    <cellStyle name="20% - akcent 4 38 3" xfId="4762"/>
    <cellStyle name="20% - akcent 4 38 3 2" xfId="11397"/>
    <cellStyle name="20% - akcent 4 38 4" xfId="8107"/>
    <cellStyle name="20% - akcent 4 39" xfId="915"/>
    <cellStyle name="20% - akcent 4 39 2" xfId="916"/>
    <cellStyle name="20% - akcent 4 39 2 2" xfId="4765"/>
    <cellStyle name="20% - akcent 4 39 2 2 2" xfId="11400"/>
    <cellStyle name="20% - akcent 4 39 2 3" xfId="8110"/>
    <cellStyle name="20% - akcent 4 39 3" xfId="4764"/>
    <cellStyle name="20% - akcent 4 39 3 2" xfId="11399"/>
    <cellStyle name="20% - akcent 4 39 4" xfId="8109"/>
    <cellStyle name="20% - akcent 4 4" xfId="917"/>
    <cellStyle name="20% - akcent 4 4 2" xfId="918"/>
    <cellStyle name="20% - akcent 4 4 2 2" xfId="4767"/>
    <cellStyle name="20% - akcent 4 4 2 2 2" xfId="11402"/>
    <cellStyle name="20% - akcent 4 4 2 3" xfId="8112"/>
    <cellStyle name="20% - akcent 4 4 3" xfId="4766"/>
    <cellStyle name="20% - akcent 4 4 3 2" xfId="11401"/>
    <cellStyle name="20% - akcent 4 4 4" xfId="8111"/>
    <cellStyle name="20% - akcent 4 40" xfId="919"/>
    <cellStyle name="20% - akcent 4 40 2" xfId="920"/>
    <cellStyle name="20% - akcent 4 40 2 2" xfId="4769"/>
    <cellStyle name="20% - akcent 4 40 2 2 2" xfId="11404"/>
    <cellStyle name="20% - akcent 4 40 2 3" xfId="8114"/>
    <cellStyle name="20% - akcent 4 40 3" xfId="4768"/>
    <cellStyle name="20% - akcent 4 40 3 2" xfId="11403"/>
    <cellStyle name="20% - akcent 4 40 4" xfId="8113"/>
    <cellStyle name="20% - akcent 4 41" xfId="921"/>
    <cellStyle name="20% - akcent 4 41 2" xfId="922"/>
    <cellStyle name="20% - akcent 4 41 2 2" xfId="4771"/>
    <cellStyle name="20% - akcent 4 41 2 2 2" xfId="11406"/>
    <cellStyle name="20% - akcent 4 41 2 3" xfId="8116"/>
    <cellStyle name="20% - akcent 4 41 3" xfId="4770"/>
    <cellStyle name="20% - akcent 4 41 3 2" xfId="11405"/>
    <cellStyle name="20% - akcent 4 41 4" xfId="8115"/>
    <cellStyle name="20% - akcent 4 42" xfId="923"/>
    <cellStyle name="20% - akcent 4 42 2" xfId="924"/>
    <cellStyle name="20% - akcent 4 42 2 2" xfId="4773"/>
    <cellStyle name="20% - akcent 4 42 2 2 2" xfId="11408"/>
    <cellStyle name="20% - akcent 4 42 2 3" xfId="8118"/>
    <cellStyle name="20% - akcent 4 42 3" xfId="4772"/>
    <cellStyle name="20% - akcent 4 42 3 2" xfId="11407"/>
    <cellStyle name="20% - akcent 4 42 4" xfId="8117"/>
    <cellStyle name="20% - akcent 4 43" xfId="925"/>
    <cellStyle name="20% - akcent 4 43 2" xfId="926"/>
    <cellStyle name="20% - akcent 4 43 2 2" xfId="4775"/>
    <cellStyle name="20% - akcent 4 43 2 2 2" xfId="11410"/>
    <cellStyle name="20% - akcent 4 43 2 3" xfId="8120"/>
    <cellStyle name="20% - akcent 4 43 3" xfId="4774"/>
    <cellStyle name="20% - akcent 4 43 3 2" xfId="11409"/>
    <cellStyle name="20% - akcent 4 43 4" xfId="8119"/>
    <cellStyle name="20% - akcent 4 44" xfId="927"/>
    <cellStyle name="20% - akcent 4 44 2" xfId="928"/>
    <cellStyle name="20% - akcent 4 44 2 2" xfId="4777"/>
    <cellStyle name="20% - akcent 4 44 2 2 2" xfId="11412"/>
    <cellStyle name="20% - akcent 4 44 2 3" xfId="8122"/>
    <cellStyle name="20% - akcent 4 44 3" xfId="4776"/>
    <cellStyle name="20% - akcent 4 44 3 2" xfId="11411"/>
    <cellStyle name="20% - akcent 4 44 4" xfId="8121"/>
    <cellStyle name="20% - akcent 4 45" xfId="929"/>
    <cellStyle name="20% - akcent 4 45 2" xfId="930"/>
    <cellStyle name="20% - akcent 4 45 2 2" xfId="4779"/>
    <cellStyle name="20% - akcent 4 45 2 2 2" xfId="11414"/>
    <cellStyle name="20% - akcent 4 45 2 3" xfId="8124"/>
    <cellStyle name="20% - akcent 4 45 3" xfId="4778"/>
    <cellStyle name="20% - akcent 4 45 3 2" xfId="11413"/>
    <cellStyle name="20% - akcent 4 45 4" xfId="8123"/>
    <cellStyle name="20% - akcent 4 46" xfId="931"/>
    <cellStyle name="20% - akcent 4 46 2" xfId="932"/>
    <cellStyle name="20% - akcent 4 46 2 2" xfId="4781"/>
    <cellStyle name="20% - akcent 4 46 2 2 2" xfId="11416"/>
    <cellStyle name="20% - akcent 4 46 2 3" xfId="8126"/>
    <cellStyle name="20% - akcent 4 46 3" xfId="4780"/>
    <cellStyle name="20% - akcent 4 46 3 2" xfId="11415"/>
    <cellStyle name="20% - akcent 4 46 4" xfId="8125"/>
    <cellStyle name="20% - akcent 4 47" xfId="933"/>
    <cellStyle name="20% - akcent 4 47 2" xfId="934"/>
    <cellStyle name="20% - akcent 4 47 2 2" xfId="4783"/>
    <cellStyle name="20% - akcent 4 47 2 2 2" xfId="11418"/>
    <cellStyle name="20% - akcent 4 47 2 3" xfId="8128"/>
    <cellStyle name="20% - akcent 4 47 3" xfId="4782"/>
    <cellStyle name="20% - akcent 4 47 3 2" xfId="11417"/>
    <cellStyle name="20% - akcent 4 47 4" xfId="8127"/>
    <cellStyle name="20% - akcent 4 48" xfId="935"/>
    <cellStyle name="20% - akcent 4 48 2" xfId="936"/>
    <cellStyle name="20% - akcent 4 48 2 2" xfId="4785"/>
    <cellStyle name="20% - akcent 4 48 2 2 2" xfId="11420"/>
    <cellStyle name="20% - akcent 4 48 2 3" xfId="8130"/>
    <cellStyle name="20% - akcent 4 48 3" xfId="4784"/>
    <cellStyle name="20% - akcent 4 48 3 2" xfId="11419"/>
    <cellStyle name="20% - akcent 4 48 4" xfId="8129"/>
    <cellStyle name="20% - akcent 4 49" xfId="937"/>
    <cellStyle name="20% - akcent 4 49 2" xfId="938"/>
    <cellStyle name="20% - akcent 4 49 2 2" xfId="4787"/>
    <cellStyle name="20% - akcent 4 49 2 2 2" xfId="11422"/>
    <cellStyle name="20% - akcent 4 49 2 3" xfId="8132"/>
    <cellStyle name="20% - akcent 4 49 3" xfId="4786"/>
    <cellStyle name="20% - akcent 4 49 3 2" xfId="11421"/>
    <cellStyle name="20% - akcent 4 49 4" xfId="8131"/>
    <cellStyle name="20% - akcent 4 5" xfId="939"/>
    <cellStyle name="20% - akcent 4 5 2" xfId="940"/>
    <cellStyle name="20% - akcent 4 5 2 2" xfId="4789"/>
    <cellStyle name="20% - akcent 4 5 2 2 2" xfId="11424"/>
    <cellStyle name="20% - akcent 4 5 2 3" xfId="8134"/>
    <cellStyle name="20% - akcent 4 5 3" xfId="4788"/>
    <cellStyle name="20% - akcent 4 5 3 2" xfId="11423"/>
    <cellStyle name="20% - akcent 4 5 4" xfId="8133"/>
    <cellStyle name="20% - akcent 4 50" xfId="941"/>
    <cellStyle name="20% - akcent 4 50 2" xfId="942"/>
    <cellStyle name="20% - akcent 4 50 2 2" xfId="4791"/>
    <cellStyle name="20% - akcent 4 50 2 2 2" xfId="11426"/>
    <cellStyle name="20% - akcent 4 50 2 3" xfId="8136"/>
    <cellStyle name="20% - akcent 4 50 3" xfId="4790"/>
    <cellStyle name="20% - akcent 4 50 3 2" xfId="11425"/>
    <cellStyle name="20% - akcent 4 50 4" xfId="8135"/>
    <cellStyle name="20% - akcent 4 51" xfId="943"/>
    <cellStyle name="20% - akcent 4 51 2" xfId="944"/>
    <cellStyle name="20% - akcent 4 51 2 2" xfId="4793"/>
    <cellStyle name="20% - akcent 4 51 2 2 2" xfId="11428"/>
    <cellStyle name="20% - akcent 4 51 2 3" xfId="8138"/>
    <cellStyle name="20% - akcent 4 51 3" xfId="4792"/>
    <cellStyle name="20% - akcent 4 51 3 2" xfId="11427"/>
    <cellStyle name="20% - akcent 4 51 4" xfId="8137"/>
    <cellStyle name="20% - akcent 4 52" xfId="945"/>
    <cellStyle name="20% - akcent 4 52 2" xfId="946"/>
    <cellStyle name="20% - akcent 4 52 2 2" xfId="4795"/>
    <cellStyle name="20% - akcent 4 52 2 2 2" xfId="11430"/>
    <cellStyle name="20% - akcent 4 52 2 3" xfId="8140"/>
    <cellStyle name="20% - akcent 4 52 3" xfId="4794"/>
    <cellStyle name="20% - akcent 4 52 3 2" xfId="11429"/>
    <cellStyle name="20% - akcent 4 52 4" xfId="8139"/>
    <cellStyle name="20% - akcent 4 53" xfId="947"/>
    <cellStyle name="20% - akcent 4 53 2" xfId="948"/>
    <cellStyle name="20% - akcent 4 53 2 2" xfId="4797"/>
    <cellStyle name="20% - akcent 4 53 2 2 2" xfId="11432"/>
    <cellStyle name="20% - akcent 4 53 2 3" xfId="8142"/>
    <cellStyle name="20% - akcent 4 53 3" xfId="4796"/>
    <cellStyle name="20% - akcent 4 53 3 2" xfId="11431"/>
    <cellStyle name="20% - akcent 4 53 4" xfId="8141"/>
    <cellStyle name="20% - akcent 4 54" xfId="949"/>
    <cellStyle name="20% - akcent 4 54 2" xfId="950"/>
    <cellStyle name="20% - akcent 4 54 2 2" xfId="4799"/>
    <cellStyle name="20% - akcent 4 54 2 2 2" xfId="11434"/>
    <cellStyle name="20% - akcent 4 54 2 3" xfId="8144"/>
    <cellStyle name="20% - akcent 4 54 3" xfId="4798"/>
    <cellStyle name="20% - akcent 4 54 3 2" xfId="11433"/>
    <cellStyle name="20% - akcent 4 54 4" xfId="8143"/>
    <cellStyle name="20% - akcent 4 55" xfId="951"/>
    <cellStyle name="20% - akcent 4 55 2" xfId="952"/>
    <cellStyle name="20% - akcent 4 55 2 2" xfId="4801"/>
    <cellStyle name="20% - akcent 4 55 2 2 2" xfId="11436"/>
    <cellStyle name="20% - akcent 4 55 2 3" xfId="8146"/>
    <cellStyle name="20% - akcent 4 55 3" xfId="4800"/>
    <cellStyle name="20% - akcent 4 55 3 2" xfId="11435"/>
    <cellStyle name="20% - akcent 4 55 4" xfId="8145"/>
    <cellStyle name="20% - akcent 4 56" xfId="953"/>
    <cellStyle name="20% - akcent 4 56 2" xfId="954"/>
    <cellStyle name="20% - akcent 4 56 2 2" xfId="4803"/>
    <cellStyle name="20% - akcent 4 56 2 2 2" xfId="11438"/>
    <cellStyle name="20% - akcent 4 56 2 3" xfId="8148"/>
    <cellStyle name="20% - akcent 4 56 3" xfId="4802"/>
    <cellStyle name="20% - akcent 4 56 3 2" xfId="11437"/>
    <cellStyle name="20% - akcent 4 56 4" xfId="8147"/>
    <cellStyle name="20% - akcent 4 57" xfId="955"/>
    <cellStyle name="20% - akcent 4 57 2" xfId="956"/>
    <cellStyle name="20% - akcent 4 57 2 2" xfId="4805"/>
    <cellStyle name="20% - akcent 4 57 2 2 2" xfId="11440"/>
    <cellStyle name="20% - akcent 4 57 2 3" xfId="8150"/>
    <cellStyle name="20% - akcent 4 57 3" xfId="4804"/>
    <cellStyle name="20% - akcent 4 57 3 2" xfId="11439"/>
    <cellStyle name="20% - akcent 4 57 4" xfId="8149"/>
    <cellStyle name="20% - akcent 4 58" xfId="957"/>
    <cellStyle name="20% - akcent 4 58 2" xfId="958"/>
    <cellStyle name="20% - akcent 4 58 2 2" xfId="4807"/>
    <cellStyle name="20% - akcent 4 58 2 2 2" xfId="11442"/>
    <cellStyle name="20% - akcent 4 58 2 3" xfId="8152"/>
    <cellStyle name="20% - akcent 4 58 3" xfId="4806"/>
    <cellStyle name="20% - akcent 4 58 3 2" xfId="11441"/>
    <cellStyle name="20% - akcent 4 58 4" xfId="8151"/>
    <cellStyle name="20% - akcent 4 59" xfId="959"/>
    <cellStyle name="20% - akcent 4 59 2" xfId="960"/>
    <cellStyle name="20% - akcent 4 59 2 2" xfId="4809"/>
    <cellStyle name="20% - akcent 4 59 2 2 2" xfId="11444"/>
    <cellStyle name="20% - akcent 4 59 2 3" xfId="8154"/>
    <cellStyle name="20% - akcent 4 59 3" xfId="4808"/>
    <cellStyle name="20% - akcent 4 59 3 2" xfId="11443"/>
    <cellStyle name="20% - akcent 4 59 4" xfId="8153"/>
    <cellStyle name="20% - akcent 4 6" xfId="961"/>
    <cellStyle name="20% - akcent 4 6 2" xfId="962"/>
    <cellStyle name="20% - akcent 4 6 2 2" xfId="4811"/>
    <cellStyle name="20% - akcent 4 6 2 2 2" xfId="11446"/>
    <cellStyle name="20% - akcent 4 6 2 3" xfId="8156"/>
    <cellStyle name="20% - akcent 4 6 3" xfId="4810"/>
    <cellStyle name="20% - akcent 4 6 3 2" xfId="11445"/>
    <cellStyle name="20% - akcent 4 6 4" xfId="8155"/>
    <cellStyle name="20% - akcent 4 60" xfId="963"/>
    <cellStyle name="20% - akcent 4 60 2" xfId="4812"/>
    <cellStyle name="20% - akcent 4 60 2 2" xfId="11447"/>
    <cellStyle name="20% - akcent 4 60 3" xfId="8157"/>
    <cellStyle name="20% - akcent 4 61" xfId="964"/>
    <cellStyle name="20% - akcent 4 61 2" xfId="4813"/>
    <cellStyle name="20% - akcent 4 61 2 2" xfId="11448"/>
    <cellStyle name="20% - akcent 4 61 3" xfId="8158"/>
    <cellStyle name="20% - akcent 4 62" xfId="965"/>
    <cellStyle name="20% - akcent 4 62 2" xfId="4814"/>
    <cellStyle name="20% - akcent 4 62 2 2" xfId="11449"/>
    <cellStyle name="20% - akcent 4 62 3" xfId="8159"/>
    <cellStyle name="20% - akcent 4 63" xfId="966"/>
    <cellStyle name="20% - akcent 4 63 2" xfId="4815"/>
    <cellStyle name="20% - akcent 4 63 2 2" xfId="11450"/>
    <cellStyle name="20% - akcent 4 63 3" xfId="8160"/>
    <cellStyle name="20% - akcent 4 64" xfId="967"/>
    <cellStyle name="20% - akcent 4 64 2" xfId="4816"/>
    <cellStyle name="20% - akcent 4 64 2 2" xfId="11451"/>
    <cellStyle name="20% - akcent 4 64 3" xfId="8161"/>
    <cellStyle name="20% - akcent 4 65" xfId="968"/>
    <cellStyle name="20% - akcent 4 65 2" xfId="4817"/>
    <cellStyle name="20% - akcent 4 65 2 2" xfId="11452"/>
    <cellStyle name="20% - akcent 4 65 3" xfId="8162"/>
    <cellStyle name="20% - akcent 4 66" xfId="969"/>
    <cellStyle name="20% - akcent 4 66 2" xfId="4818"/>
    <cellStyle name="20% - akcent 4 66 2 2" xfId="11453"/>
    <cellStyle name="20% - akcent 4 66 3" xfId="8163"/>
    <cellStyle name="20% - akcent 4 67" xfId="970"/>
    <cellStyle name="20% - akcent 4 67 2" xfId="4819"/>
    <cellStyle name="20% - akcent 4 67 2 2" xfId="11454"/>
    <cellStyle name="20% - akcent 4 67 3" xfId="8164"/>
    <cellStyle name="20% - akcent 4 68" xfId="971"/>
    <cellStyle name="20% - akcent 4 68 2" xfId="4820"/>
    <cellStyle name="20% - akcent 4 68 2 2" xfId="11455"/>
    <cellStyle name="20% - akcent 4 68 3" xfId="8165"/>
    <cellStyle name="20% - akcent 4 69" xfId="972"/>
    <cellStyle name="20% - akcent 4 69 2" xfId="4821"/>
    <cellStyle name="20% - akcent 4 69 2 2" xfId="11456"/>
    <cellStyle name="20% - akcent 4 69 3" xfId="8166"/>
    <cellStyle name="20% - akcent 4 7" xfId="973"/>
    <cellStyle name="20% - akcent 4 7 2" xfId="974"/>
    <cellStyle name="20% - akcent 4 7 2 2" xfId="4823"/>
    <cellStyle name="20% - akcent 4 7 2 2 2" xfId="11458"/>
    <cellStyle name="20% - akcent 4 7 2 3" xfId="8168"/>
    <cellStyle name="20% - akcent 4 7 3" xfId="4822"/>
    <cellStyle name="20% - akcent 4 7 3 2" xfId="11457"/>
    <cellStyle name="20% - akcent 4 7 4" xfId="8167"/>
    <cellStyle name="20% - akcent 4 70" xfId="975"/>
    <cellStyle name="20% - akcent 4 70 2" xfId="4824"/>
    <cellStyle name="20% - akcent 4 70 2 2" xfId="11459"/>
    <cellStyle name="20% - akcent 4 70 3" xfId="8169"/>
    <cellStyle name="20% - akcent 4 71" xfId="976"/>
    <cellStyle name="20% - akcent 4 71 2" xfId="4825"/>
    <cellStyle name="20% - akcent 4 71 2 2" xfId="11460"/>
    <cellStyle name="20% - akcent 4 71 3" xfId="8170"/>
    <cellStyle name="20% - akcent 4 72" xfId="977"/>
    <cellStyle name="20% - akcent 4 72 2" xfId="4826"/>
    <cellStyle name="20% - akcent 4 72 2 2" xfId="11461"/>
    <cellStyle name="20% - akcent 4 72 3" xfId="8171"/>
    <cellStyle name="20% - akcent 4 73" xfId="978"/>
    <cellStyle name="20% - akcent 4 73 2" xfId="4827"/>
    <cellStyle name="20% - akcent 4 73 2 2" xfId="11462"/>
    <cellStyle name="20% - akcent 4 73 3" xfId="8172"/>
    <cellStyle name="20% - akcent 4 74" xfId="979"/>
    <cellStyle name="20% - akcent 4 74 2" xfId="4828"/>
    <cellStyle name="20% - akcent 4 74 2 2" xfId="11463"/>
    <cellStyle name="20% - akcent 4 74 3" xfId="8173"/>
    <cellStyle name="20% - akcent 4 75" xfId="980"/>
    <cellStyle name="20% - akcent 4 75 2" xfId="4829"/>
    <cellStyle name="20% - akcent 4 75 2 2" xfId="11464"/>
    <cellStyle name="20% - akcent 4 75 3" xfId="8174"/>
    <cellStyle name="20% - akcent 4 76" xfId="981"/>
    <cellStyle name="20% - akcent 4 76 2" xfId="4830"/>
    <cellStyle name="20% - akcent 4 76 2 2" xfId="11465"/>
    <cellStyle name="20% - akcent 4 76 3" xfId="8175"/>
    <cellStyle name="20% - akcent 4 77" xfId="982"/>
    <cellStyle name="20% - akcent 4 77 2" xfId="4831"/>
    <cellStyle name="20% - akcent 4 77 2 2" xfId="11466"/>
    <cellStyle name="20% - akcent 4 77 3" xfId="8176"/>
    <cellStyle name="20% - akcent 4 78" xfId="983"/>
    <cellStyle name="20% - akcent 4 78 2" xfId="4832"/>
    <cellStyle name="20% - akcent 4 78 2 2" xfId="11467"/>
    <cellStyle name="20% - akcent 4 78 3" xfId="8177"/>
    <cellStyle name="20% - akcent 4 79" xfId="984"/>
    <cellStyle name="20% - akcent 4 79 2" xfId="4833"/>
    <cellStyle name="20% - akcent 4 79 2 2" xfId="11468"/>
    <cellStyle name="20% - akcent 4 79 3" xfId="8178"/>
    <cellStyle name="20% - akcent 4 8" xfId="985"/>
    <cellStyle name="20% - akcent 4 8 2" xfId="986"/>
    <cellStyle name="20% - akcent 4 8 2 2" xfId="4835"/>
    <cellStyle name="20% - akcent 4 8 2 2 2" xfId="11470"/>
    <cellStyle name="20% - akcent 4 8 2 3" xfId="8180"/>
    <cellStyle name="20% - akcent 4 8 3" xfId="4834"/>
    <cellStyle name="20% - akcent 4 8 3 2" xfId="11469"/>
    <cellStyle name="20% - akcent 4 8 4" xfId="8179"/>
    <cellStyle name="20% - akcent 4 80" xfId="987"/>
    <cellStyle name="20% - akcent 4 80 2" xfId="4836"/>
    <cellStyle name="20% - akcent 4 80 2 2" xfId="11471"/>
    <cellStyle name="20% - akcent 4 80 3" xfId="8181"/>
    <cellStyle name="20% - akcent 4 81" xfId="988"/>
    <cellStyle name="20% - akcent 4 81 2" xfId="4837"/>
    <cellStyle name="20% - akcent 4 81 2 2" xfId="11472"/>
    <cellStyle name="20% - akcent 4 81 3" xfId="8182"/>
    <cellStyle name="20% - akcent 4 82" xfId="989"/>
    <cellStyle name="20% - akcent 4 82 2" xfId="4838"/>
    <cellStyle name="20% - akcent 4 82 2 2" xfId="11473"/>
    <cellStyle name="20% - akcent 4 82 3" xfId="8183"/>
    <cellStyle name="20% - akcent 4 83" xfId="990"/>
    <cellStyle name="20% - akcent 4 83 2" xfId="4839"/>
    <cellStyle name="20% - akcent 4 83 2 2" xfId="11474"/>
    <cellStyle name="20% - akcent 4 83 3" xfId="8184"/>
    <cellStyle name="20% - akcent 4 84" xfId="991"/>
    <cellStyle name="20% - akcent 4 84 2" xfId="4840"/>
    <cellStyle name="20% - akcent 4 84 2 2" xfId="11475"/>
    <cellStyle name="20% - akcent 4 84 3" xfId="8185"/>
    <cellStyle name="20% - akcent 4 85" xfId="992"/>
    <cellStyle name="20% - akcent 4 85 2" xfId="4841"/>
    <cellStyle name="20% - akcent 4 85 2 2" xfId="11476"/>
    <cellStyle name="20% - akcent 4 85 3" xfId="8186"/>
    <cellStyle name="20% - akcent 4 86" xfId="993"/>
    <cellStyle name="20% - akcent 4 86 2" xfId="4842"/>
    <cellStyle name="20% - akcent 4 86 2 2" xfId="11477"/>
    <cellStyle name="20% - akcent 4 86 3" xfId="8187"/>
    <cellStyle name="20% - akcent 4 87" xfId="994"/>
    <cellStyle name="20% - akcent 4 87 2" xfId="4843"/>
    <cellStyle name="20% - akcent 4 87 2 2" xfId="11478"/>
    <cellStyle name="20% - akcent 4 87 3" xfId="8188"/>
    <cellStyle name="20% - akcent 4 88" xfId="995"/>
    <cellStyle name="20% - akcent 4 88 2" xfId="4844"/>
    <cellStyle name="20% - akcent 4 88 2 2" xfId="11479"/>
    <cellStyle name="20% - akcent 4 88 3" xfId="8189"/>
    <cellStyle name="20% - akcent 4 89" xfId="996"/>
    <cellStyle name="20% - akcent 4 89 2" xfId="4845"/>
    <cellStyle name="20% - akcent 4 89 2 2" xfId="11480"/>
    <cellStyle name="20% - akcent 4 89 3" xfId="8190"/>
    <cellStyle name="20% - akcent 4 9" xfId="997"/>
    <cellStyle name="20% - akcent 4 9 2" xfId="998"/>
    <cellStyle name="20% - akcent 4 9 2 2" xfId="4847"/>
    <cellStyle name="20% - akcent 4 9 2 2 2" xfId="11482"/>
    <cellStyle name="20% - akcent 4 9 2 3" xfId="8192"/>
    <cellStyle name="20% - akcent 4 9 3" xfId="4846"/>
    <cellStyle name="20% - akcent 4 9 3 2" xfId="11481"/>
    <cellStyle name="20% - akcent 4 9 4" xfId="8191"/>
    <cellStyle name="20% - akcent 4 90" xfId="999"/>
    <cellStyle name="20% - akcent 4 90 2" xfId="4848"/>
    <cellStyle name="20% - akcent 4 90 2 2" xfId="11483"/>
    <cellStyle name="20% - akcent 4 90 3" xfId="8193"/>
    <cellStyle name="20% - akcent 4 91" xfId="1000"/>
    <cellStyle name="20% - akcent 4 91 2" xfId="4849"/>
    <cellStyle name="20% - akcent 4 91 2 2" xfId="11484"/>
    <cellStyle name="20% - akcent 4 91 3" xfId="8194"/>
    <cellStyle name="20% - akcent 4 92" xfId="1001"/>
    <cellStyle name="20% - akcent 4 92 2" xfId="4850"/>
    <cellStyle name="20% - akcent 4 92 2 2" xfId="11485"/>
    <cellStyle name="20% - akcent 4 92 3" xfId="8195"/>
    <cellStyle name="20% - akcent 4 93" xfId="1002"/>
    <cellStyle name="20% - akcent 4 93 2" xfId="4851"/>
    <cellStyle name="20% - akcent 4 93 2 2" xfId="11486"/>
    <cellStyle name="20% - akcent 4 93 3" xfId="8196"/>
    <cellStyle name="20% - akcent 4 94" xfId="1003"/>
    <cellStyle name="20% - akcent 4 94 2" xfId="4852"/>
    <cellStyle name="20% - akcent 4 94 2 2" xfId="11487"/>
    <cellStyle name="20% - akcent 4 94 3" xfId="8197"/>
    <cellStyle name="20% - akcent 4 95" xfId="1004"/>
    <cellStyle name="20% - akcent 4 95 2" xfId="4853"/>
    <cellStyle name="20% - akcent 4 95 2 2" xfId="11488"/>
    <cellStyle name="20% - akcent 4 95 3" xfId="8198"/>
    <cellStyle name="20% - akcent 4 96" xfId="1005"/>
    <cellStyle name="20% - akcent 4 96 2" xfId="4854"/>
    <cellStyle name="20% - akcent 4 96 2 2" xfId="11489"/>
    <cellStyle name="20% - akcent 4 96 3" xfId="8199"/>
    <cellStyle name="20% - akcent 4 97" xfId="1006"/>
    <cellStyle name="20% - akcent 4 97 2" xfId="4855"/>
    <cellStyle name="20% - akcent 4 97 2 2" xfId="11490"/>
    <cellStyle name="20% - akcent 4 97 3" xfId="8200"/>
    <cellStyle name="20% - akcent 4 98" xfId="1007"/>
    <cellStyle name="20% - akcent 4 98 2" xfId="4856"/>
    <cellStyle name="20% - akcent 4 98 2 2" xfId="11491"/>
    <cellStyle name="20% - akcent 4 98 3" xfId="8201"/>
    <cellStyle name="20% - akcent 4 99" xfId="1008"/>
    <cellStyle name="20% - akcent 4 99 2" xfId="4857"/>
    <cellStyle name="20% - akcent 4 99 2 2" xfId="11492"/>
    <cellStyle name="20% - akcent 4 99 3" xfId="8202"/>
    <cellStyle name="20% - akcent 5" xfId="1009" builtinId="46" customBuiltin="1"/>
    <cellStyle name="20% - akcent 5 10" xfId="1010"/>
    <cellStyle name="20% - akcent 5 10 2" xfId="1011"/>
    <cellStyle name="20% - akcent 5 10 2 2" xfId="4859"/>
    <cellStyle name="20% - akcent 5 10 2 2 2" xfId="11494"/>
    <cellStyle name="20% - akcent 5 10 2 3" xfId="8204"/>
    <cellStyle name="20% - akcent 5 10 3" xfId="4858"/>
    <cellStyle name="20% - akcent 5 10 3 2" xfId="11493"/>
    <cellStyle name="20% - akcent 5 10 4" xfId="8203"/>
    <cellStyle name="20% - akcent 5 100" xfId="1012"/>
    <cellStyle name="20% - akcent 5 100 2" xfId="4860"/>
    <cellStyle name="20% - akcent 5 100 2 2" xfId="11495"/>
    <cellStyle name="20% - akcent 5 100 3" xfId="8205"/>
    <cellStyle name="20% - akcent 5 101" xfId="1013"/>
    <cellStyle name="20% - akcent 5 101 2" xfId="4861"/>
    <cellStyle name="20% - akcent 5 101 2 2" xfId="11496"/>
    <cellStyle name="20% - akcent 5 101 3" xfId="8206"/>
    <cellStyle name="20% - akcent 5 102" xfId="1014"/>
    <cellStyle name="20% - akcent 5 102 2" xfId="4862"/>
    <cellStyle name="20% - akcent 5 102 2 2" xfId="11497"/>
    <cellStyle name="20% - akcent 5 102 3" xfId="8207"/>
    <cellStyle name="20% - akcent 5 103" xfId="1015"/>
    <cellStyle name="20% - akcent 5 103 2" xfId="4863"/>
    <cellStyle name="20% - akcent 5 103 2 2" xfId="11498"/>
    <cellStyle name="20% - akcent 5 103 3" xfId="8208"/>
    <cellStyle name="20% - akcent 5 104" xfId="1016"/>
    <cellStyle name="20% - akcent 5 104 2" xfId="4864"/>
    <cellStyle name="20% - akcent 5 104 2 2" xfId="11499"/>
    <cellStyle name="20% - akcent 5 104 3" xfId="8209"/>
    <cellStyle name="20% - akcent 5 105" xfId="1017"/>
    <cellStyle name="20% - akcent 5 105 2" xfId="4865"/>
    <cellStyle name="20% - akcent 5 105 2 2" xfId="11500"/>
    <cellStyle name="20% - akcent 5 105 3" xfId="8210"/>
    <cellStyle name="20% - akcent 5 106" xfId="1018"/>
    <cellStyle name="20% - akcent 5 106 2" xfId="4866"/>
    <cellStyle name="20% - akcent 5 106 2 2" xfId="11501"/>
    <cellStyle name="20% - akcent 5 106 3" xfId="8211"/>
    <cellStyle name="20% - akcent 5 107" xfId="1019"/>
    <cellStyle name="20% - akcent 5 107 2" xfId="4867"/>
    <cellStyle name="20% - akcent 5 107 2 2" xfId="11502"/>
    <cellStyle name="20% - akcent 5 107 3" xfId="8212"/>
    <cellStyle name="20% - akcent 5 108" xfId="1020"/>
    <cellStyle name="20% - akcent 5 108 2" xfId="4868"/>
    <cellStyle name="20% - akcent 5 108 2 2" xfId="11503"/>
    <cellStyle name="20% - akcent 5 108 3" xfId="8213"/>
    <cellStyle name="20% - akcent 5 109" xfId="1021"/>
    <cellStyle name="20% - akcent 5 109 2" xfId="4869"/>
    <cellStyle name="20% - akcent 5 109 2 2" xfId="11504"/>
    <cellStyle name="20% - akcent 5 109 3" xfId="8214"/>
    <cellStyle name="20% - akcent 5 11" xfId="1022"/>
    <cellStyle name="20% - akcent 5 11 2" xfId="1023"/>
    <cellStyle name="20% - akcent 5 11 2 2" xfId="4871"/>
    <cellStyle name="20% - akcent 5 11 2 2 2" xfId="11506"/>
    <cellStyle name="20% - akcent 5 11 2 3" xfId="8216"/>
    <cellStyle name="20% - akcent 5 11 3" xfId="4870"/>
    <cellStyle name="20% - akcent 5 11 3 2" xfId="11505"/>
    <cellStyle name="20% - akcent 5 11 4" xfId="8215"/>
    <cellStyle name="20% - akcent 5 110" xfId="1024"/>
    <cellStyle name="20% - akcent 5 110 2" xfId="4872"/>
    <cellStyle name="20% - akcent 5 110 2 2" xfId="11507"/>
    <cellStyle name="20% - akcent 5 110 3" xfId="8217"/>
    <cellStyle name="20% - akcent 5 111" xfId="1025"/>
    <cellStyle name="20% - akcent 5 111 2" xfId="4873"/>
    <cellStyle name="20% - akcent 5 111 2 2" xfId="11508"/>
    <cellStyle name="20% - akcent 5 111 3" xfId="8218"/>
    <cellStyle name="20% - akcent 5 112" xfId="1026"/>
    <cellStyle name="20% - akcent 5 112 2" xfId="4874"/>
    <cellStyle name="20% - akcent 5 112 2 2" xfId="11509"/>
    <cellStyle name="20% - akcent 5 112 3" xfId="8219"/>
    <cellStyle name="20% - akcent 5 113" xfId="1027"/>
    <cellStyle name="20% - akcent 5 113 2" xfId="4875"/>
    <cellStyle name="20% - akcent 5 113 2 2" xfId="11510"/>
    <cellStyle name="20% - akcent 5 113 3" xfId="8220"/>
    <cellStyle name="20% - akcent 5 114" xfId="1028"/>
    <cellStyle name="20% - akcent 5 114 2" xfId="4876"/>
    <cellStyle name="20% - akcent 5 114 2 2" xfId="11511"/>
    <cellStyle name="20% - akcent 5 114 3" xfId="8221"/>
    <cellStyle name="20% - akcent 5 115" xfId="1029"/>
    <cellStyle name="20% - akcent 5 115 2" xfId="4877"/>
    <cellStyle name="20% - akcent 5 115 2 2" xfId="11512"/>
    <cellStyle name="20% - akcent 5 115 3" xfId="8222"/>
    <cellStyle name="20% - akcent 5 116" xfId="1030"/>
    <cellStyle name="20% - akcent 5 116 2" xfId="4878"/>
    <cellStyle name="20% - akcent 5 116 2 2" xfId="11513"/>
    <cellStyle name="20% - akcent 5 116 3" xfId="8223"/>
    <cellStyle name="20% - akcent 5 117" xfId="1031"/>
    <cellStyle name="20% - akcent 5 117 2" xfId="4879"/>
    <cellStyle name="20% - akcent 5 117 2 2" xfId="11514"/>
    <cellStyle name="20% - akcent 5 117 3" xfId="8224"/>
    <cellStyle name="20% - akcent 5 118" xfId="1032"/>
    <cellStyle name="20% - akcent 5 118 2" xfId="4880"/>
    <cellStyle name="20% - akcent 5 118 2 2" xfId="11515"/>
    <cellStyle name="20% - akcent 5 118 3" xfId="8225"/>
    <cellStyle name="20% - akcent 5 119" xfId="1033"/>
    <cellStyle name="20% - akcent 5 119 2" xfId="4881"/>
    <cellStyle name="20% - akcent 5 119 2 2" xfId="11516"/>
    <cellStyle name="20% - akcent 5 119 3" xfId="8226"/>
    <cellStyle name="20% - akcent 5 12" xfId="1034"/>
    <cellStyle name="20% - akcent 5 12 2" xfId="1035"/>
    <cellStyle name="20% - akcent 5 12 2 2" xfId="4883"/>
    <cellStyle name="20% - akcent 5 12 2 2 2" xfId="11518"/>
    <cellStyle name="20% - akcent 5 12 2 3" xfId="8228"/>
    <cellStyle name="20% - akcent 5 12 3" xfId="4882"/>
    <cellStyle name="20% - akcent 5 12 3 2" xfId="11517"/>
    <cellStyle name="20% - akcent 5 12 4" xfId="8227"/>
    <cellStyle name="20% - akcent 5 120" xfId="1036"/>
    <cellStyle name="20% - akcent 5 120 2" xfId="4884"/>
    <cellStyle name="20% - akcent 5 120 2 2" xfId="11519"/>
    <cellStyle name="20% - akcent 5 120 3" xfId="8229"/>
    <cellStyle name="20% - akcent 5 121" xfId="1037"/>
    <cellStyle name="20% - akcent 5 121 2" xfId="4885"/>
    <cellStyle name="20% - akcent 5 121 2 2" xfId="11520"/>
    <cellStyle name="20% - akcent 5 121 3" xfId="8230"/>
    <cellStyle name="20% - akcent 5 122" xfId="1038"/>
    <cellStyle name="20% - akcent 5 122 2" xfId="4886"/>
    <cellStyle name="20% - akcent 5 122 2 2" xfId="11521"/>
    <cellStyle name="20% - akcent 5 122 3" xfId="8231"/>
    <cellStyle name="20% - akcent 5 123" xfId="1039"/>
    <cellStyle name="20% - akcent 5 123 2" xfId="4887"/>
    <cellStyle name="20% - akcent 5 123 2 2" xfId="11522"/>
    <cellStyle name="20% - akcent 5 123 3" xfId="8232"/>
    <cellStyle name="20% - akcent 5 124" xfId="1040"/>
    <cellStyle name="20% - akcent 5 124 2" xfId="4888"/>
    <cellStyle name="20% - akcent 5 124 2 2" xfId="11523"/>
    <cellStyle name="20% - akcent 5 124 3" xfId="8233"/>
    <cellStyle name="20% - akcent 5 125" xfId="1041"/>
    <cellStyle name="20% - akcent 5 125 2" xfId="4889"/>
    <cellStyle name="20% - akcent 5 125 2 2" xfId="11524"/>
    <cellStyle name="20% - akcent 5 125 3" xfId="8234"/>
    <cellStyle name="20% - akcent 5 126" xfId="1042"/>
    <cellStyle name="20% - akcent 5 126 2" xfId="4890"/>
    <cellStyle name="20% - akcent 5 126 2 2" xfId="11525"/>
    <cellStyle name="20% - akcent 5 126 3" xfId="8235"/>
    <cellStyle name="20% - akcent 5 127" xfId="1043"/>
    <cellStyle name="20% - akcent 5 127 2" xfId="4891"/>
    <cellStyle name="20% - akcent 5 127 2 2" xfId="11526"/>
    <cellStyle name="20% - akcent 5 127 3" xfId="8236"/>
    <cellStyle name="20% - akcent 5 128" xfId="1044"/>
    <cellStyle name="20% - akcent 5 128 2" xfId="4892"/>
    <cellStyle name="20% - akcent 5 128 2 2" xfId="11527"/>
    <cellStyle name="20% - akcent 5 128 3" xfId="8237"/>
    <cellStyle name="20% - akcent 5 129" xfId="1045"/>
    <cellStyle name="20% - akcent 5 129 2" xfId="4893"/>
    <cellStyle name="20% - akcent 5 129 2 2" xfId="11528"/>
    <cellStyle name="20% - akcent 5 129 3" xfId="8238"/>
    <cellStyle name="20% - akcent 5 13" xfId="1046"/>
    <cellStyle name="20% - akcent 5 13 2" xfId="1047"/>
    <cellStyle name="20% - akcent 5 13 2 2" xfId="4895"/>
    <cellStyle name="20% - akcent 5 13 2 2 2" xfId="11530"/>
    <cellStyle name="20% - akcent 5 13 2 3" xfId="8240"/>
    <cellStyle name="20% - akcent 5 13 3" xfId="4894"/>
    <cellStyle name="20% - akcent 5 13 3 2" xfId="11529"/>
    <cellStyle name="20% - akcent 5 13 4" xfId="8239"/>
    <cellStyle name="20% - akcent 5 130" xfId="1048"/>
    <cellStyle name="20% - akcent 5 130 2" xfId="4896"/>
    <cellStyle name="20% - akcent 5 130 2 2" xfId="11531"/>
    <cellStyle name="20% - akcent 5 130 3" xfId="8241"/>
    <cellStyle name="20% - akcent 5 131" xfId="1049"/>
    <cellStyle name="20% - akcent 5 131 2" xfId="4897"/>
    <cellStyle name="20% - akcent 5 131 2 2" xfId="11532"/>
    <cellStyle name="20% - akcent 5 131 3" xfId="8242"/>
    <cellStyle name="20% - akcent 5 132" xfId="1050"/>
    <cellStyle name="20% - akcent 5 132 2" xfId="4898"/>
    <cellStyle name="20% - akcent 5 132 2 2" xfId="11533"/>
    <cellStyle name="20% - akcent 5 132 3" xfId="8243"/>
    <cellStyle name="20% - akcent 5 133" xfId="1051"/>
    <cellStyle name="20% - akcent 5 133 2" xfId="4899"/>
    <cellStyle name="20% - akcent 5 133 2 2" xfId="11534"/>
    <cellStyle name="20% - akcent 5 133 3" xfId="8244"/>
    <cellStyle name="20% - akcent 5 134" xfId="1052"/>
    <cellStyle name="20% - akcent 5 134 2" xfId="4900"/>
    <cellStyle name="20% - akcent 5 134 2 2" xfId="11535"/>
    <cellStyle name="20% - akcent 5 134 3" xfId="8245"/>
    <cellStyle name="20% - akcent 5 135" xfId="1053"/>
    <cellStyle name="20% - akcent 5 135 2" xfId="4901"/>
    <cellStyle name="20% - akcent 5 135 2 2" xfId="11536"/>
    <cellStyle name="20% - akcent 5 135 3" xfId="8246"/>
    <cellStyle name="20% - akcent 5 136" xfId="1054"/>
    <cellStyle name="20% - akcent 5 136 2" xfId="4902"/>
    <cellStyle name="20% - akcent 5 136 2 2" xfId="11537"/>
    <cellStyle name="20% - akcent 5 136 3" xfId="8247"/>
    <cellStyle name="20% - akcent 5 137" xfId="1055"/>
    <cellStyle name="20% - akcent 5 137 2" xfId="4903"/>
    <cellStyle name="20% - akcent 5 137 2 2" xfId="11538"/>
    <cellStyle name="20% - akcent 5 137 3" xfId="8248"/>
    <cellStyle name="20% - akcent 5 138" xfId="1056"/>
    <cellStyle name="20% - akcent 5 138 2" xfId="4904"/>
    <cellStyle name="20% - akcent 5 138 2 2" xfId="11539"/>
    <cellStyle name="20% - akcent 5 138 3" xfId="8249"/>
    <cellStyle name="20% - akcent 5 139" xfId="1057"/>
    <cellStyle name="20% - akcent 5 139 2" xfId="4905"/>
    <cellStyle name="20% - akcent 5 139 2 2" xfId="11540"/>
    <cellStyle name="20% - akcent 5 139 3" xfId="8250"/>
    <cellStyle name="20% - akcent 5 14" xfId="1058"/>
    <cellStyle name="20% - akcent 5 14 2" xfId="1059"/>
    <cellStyle name="20% - akcent 5 14 2 2" xfId="4907"/>
    <cellStyle name="20% - akcent 5 14 2 2 2" xfId="11542"/>
    <cellStyle name="20% - akcent 5 14 2 3" xfId="8252"/>
    <cellStyle name="20% - akcent 5 14 3" xfId="4906"/>
    <cellStyle name="20% - akcent 5 14 3 2" xfId="11541"/>
    <cellStyle name="20% - akcent 5 14 4" xfId="8251"/>
    <cellStyle name="20% - akcent 5 140" xfId="1060"/>
    <cellStyle name="20% - akcent 5 140 2" xfId="4908"/>
    <cellStyle name="20% - akcent 5 140 2 2" xfId="11543"/>
    <cellStyle name="20% - akcent 5 140 3" xfId="8253"/>
    <cellStyle name="20% - akcent 5 141" xfId="1061"/>
    <cellStyle name="20% - akcent 5 141 2" xfId="4909"/>
    <cellStyle name="20% - akcent 5 141 2 2" xfId="11544"/>
    <cellStyle name="20% - akcent 5 141 3" xfId="8254"/>
    <cellStyle name="20% - akcent 5 142" xfId="1062"/>
    <cellStyle name="20% - akcent 5 142 2" xfId="4910"/>
    <cellStyle name="20% - akcent 5 142 2 2" xfId="11545"/>
    <cellStyle name="20% - akcent 5 142 3" xfId="8255"/>
    <cellStyle name="20% - akcent 5 143" xfId="1063"/>
    <cellStyle name="20% - akcent 5 143 2" xfId="4911"/>
    <cellStyle name="20% - akcent 5 143 2 2" xfId="11546"/>
    <cellStyle name="20% - akcent 5 143 3" xfId="8256"/>
    <cellStyle name="20% - akcent 5 144" xfId="1064"/>
    <cellStyle name="20% - akcent 5 144 2" xfId="4912"/>
    <cellStyle name="20% - akcent 5 144 2 2" xfId="11547"/>
    <cellStyle name="20% - akcent 5 144 3" xfId="8257"/>
    <cellStyle name="20% - akcent 5 145" xfId="1065"/>
    <cellStyle name="20% - akcent 5 145 2" xfId="4913"/>
    <cellStyle name="20% - akcent 5 145 2 2" xfId="11548"/>
    <cellStyle name="20% - akcent 5 145 3" xfId="8258"/>
    <cellStyle name="20% - akcent 5 146" xfId="1066"/>
    <cellStyle name="20% - akcent 5 146 2" xfId="4914"/>
    <cellStyle name="20% - akcent 5 146 2 2" xfId="11549"/>
    <cellStyle name="20% - akcent 5 146 3" xfId="8259"/>
    <cellStyle name="20% - akcent 5 147" xfId="1067"/>
    <cellStyle name="20% - akcent 5 147 2" xfId="4915"/>
    <cellStyle name="20% - akcent 5 147 2 2" xfId="11550"/>
    <cellStyle name="20% - akcent 5 147 3" xfId="8260"/>
    <cellStyle name="20% - akcent 5 148" xfId="1068"/>
    <cellStyle name="20% - akcent 5 148 2" xfId="4916"/>
    <cellStyle name="20% - akcent 5 148 2 2" xfId="11551"/>
    <cellStyle name="20% - akcent 5 148 3" xfId="8261"/>
    <cellStyle name="20% - akcent 5 149" xfId="1069"/>
    <cellStyle name="20% - akcent 5 149 2" xfId="4917"/>
    <cellStyle name="20% - akcent 5 149 2 2" xfId="11552"/>
    <cellStyle name="20% - akcent 5 149 3" xfId="8262"/>
    <cellStyle name="20% - akcent 5 15" xfId="1070"/>
    <cellStyle name="20% - akcent 5 15 2" xfId="1071"/>
    <cellStyle name="20% - akcent 5 15 2 2" xfId="4919"/>
    <cellStyle name="20% - akcent 5 15 2 2 2" xfId="11554"/>
    <cellStyle name="20% - akcent 5 15 2 3" xfId="8264"/>
    <cellStyle name="20% - akcent 5 15 3" xfId="4918"/>
    <cellStyle name="20% - akcent 5 15 3 2" xfId="11553"/>
    <cellStyle name="20% - akcent 5 15 4" xfId="8263"/>
    <cellStyle name="20% - akcent 5 150" xfId="1072"/>
    <cellStyle name="20% - akcent 5 150 2" xfId="4920"/>
    <cellStyle name="20% - akcent 5 150 2 2" xfId="11555"/>
    <cellStyle name="20% - akcent 5 150 3" xfId="8265"/>
    <cellStyle name="20% - akcent 5 151" xfId="1073"/>
    <cellStyle name="20% - akcent 5 151 2" xfId="4921"/>
    <cellStyle name="20% - akcent 5 151 2 2" xfId="11556"/>
    <cellStyle name="20% - akcent 5 151 3" xfId="8266"/>
    <cellStyle name="20% - akcent 5 152" xfId="1074"/>
    <cellStyle name="20% - akcent 5 152 2" xfId="4922"/>
    <cellStyle name="20% - akcent 5 152 2 2" xfId="11557"/>
    <cellStyle name="20% - akcent 5 152 3" xfId="8267"/>
    <cellStyle name="20% - akcent 5 153" xfId="1075"/>
    <cellStyle name="20% - akcent 5 153 2" xfId="4923"/>
    <cellStyle name="20% - akcent 5 153 2 2" xfId="11558"/>
    <cellStyle name="20% - akcent 5 153 3" xfId="8268"/>
    <cellStyle name="20% - akcent 5 154" xfId="1076"/>
    <cellStyle name="20% - akcent 5 154 2" xfId="4924"/>
    <cellStyle name="20% - akcent 5 154 2 2" xfId="11559"/>
    <cellStyle name="20% - akcent 5 154 3" xfId="8269"/>
    <cellStyle name="20% - akcent 5 155" xfId="1077"/>
    <cellStyle name="20% - akcent 5 155 2" xfId="4925"/>
    <cellStyle name="20% - akcent 5 155 2 2" xfId="11560"/>
    <cellStyle name="20% - akcent 5 155 3" xfId="8270"/>
    <cellStyle name="20% - akcent 5 156" xfId="1078"/>
    <cellStyle name="20% - akcent 5 156 2" xfId="4926"/>
    <cellStyle name="20% - akcent 5 156 2 2" xfId="11561"/>
    <cellStyle name="20% - akcent 5 156 3" xfId="8271"/>
    <cellStyle name="20% - akcent 5 157" xfId="1079"/>
    <cellStyle name="20% - akcent 5 157 2" xfId="4927"/>
    <cellStyle name="20% - akcent 5 157 2 2" xfId="11562"/>
    <cellStyle name="20% - akcent 5 157 3" xfId="8272"/>
    <cellStyle name="20% - akcent 5 158" xfId="1080"/>
    <cellStyle name="20% - akcent 5 158 2" xfId="4928"/>
    <cellStyle name="20% - akcent 5 158 2 2" xfId="11563"/>
    <cellStyle name="20% - akcent 5 158 3" xfId="8273"/>
    <cellStyle name="20% - akcent 5 159" xfId="1081"/>
    <cellStyle name="20% - akcent 5 159 2" xfId="4929"/>
    <cellStyle name="20% - akcent 5 159 2 2" xfId="11564"/>
    <cellStyle name="20% - akcent 5 159 3" xfId="8274"/>
    <cellStyle name="20% - akcent 5 16" xfId="1082"/>
    <cellStyle name="20% - akcent 5 16 2" xfId="1083"/>
    <cellStyle name="20% - akcent 5 16 2 2" xfId="4931"/>
    <cellStyle name="20% - akcent 5 16 2 2 2" xfId="11566"/>
    <cellStyle name="20% - akcent 5 16 2 3" xfId="8276"/>
    <cellStyle name="20% - akcent 5 16 3" xfId="4930"/>
    <cellStyle name="20% - akcent 5 16 3 2" xfId="11565"/>
    <cellStyle name="20% - akcent 5 16 4" xfId="8275"/>
    <cellStyle name="20% - akcent 5 160" xfId="1084"/>
    <cellStyle name="20% - akcent 5 160 2" xfId="4932"/>
    <cellStyle name="20% - akcent 5 160 2 2" xfId="11567"/>
    <cellStyle name="20% - akcent 5 160 3" xfId="8277"/>
    <cellStyle name="20% - akcent 5 161" xfId="1085"/>
    <cellStyle name="20% - akcent 5 161 2" xfId="4933"/>
    <cellStyle name="20% - akcent 5 161 2 2" xfId="11568"/>
    <cellStyle name="20% - akcent 5 161 3" xfId="8278"/>
    <cellStyle name="20% - akcent 5 162" xfId="1086"/>
    <cellStyle name="20% - akcent 5 162 2" xfId="4934"/>
    <cellStyle name="20% - akcent 5 162 2 2" xfId="11569"/>
    <cellStyle name="20% - akcent 5 162 3" xfId="8279"/>
    <cellStyle name="20% - akcent 5 163" xfId="1087"/>
    <cellStyle name="20% - akcent 5 163 2" xfId="4935"/>
    <cellStyle name="20% - akcent 5 163 2 2" xfId="11570"/>
    <cellStyle name="20% - akcent 5 163 3" xfId="8280"/>
    <cellStyle name="20% - akcent 5 164" xfId="1088"/>
    <cellStyle name="20% - akcent 5 164 2" xfId="4936"/>
    <cellStyle name="20% - akcent 5 164 2 2" xfId="11571"/>
    <cellStyle name="20% - akcent 5 164 3" xfId="8281"/>
    <cellStyle name="20% - akcent 5 165" xfId="1089"/>
    <cellStyle name="20% - akcent 5 165 2" xfId="4937"/>
    <cellStyle name="20% - akcent 5 165 2 2" xfId="11572"/>
    <cellStyle name="20% - akcent 5 165 3" xfId="8282"/>
    <cellStyle name="20% - akcent 5 166" xfId="1090"/>
    <cellStyle name="20% - akcent 5 166 2" xfId="4938"/>
    <cellStyle name="20% - akcent 5 166 2 2" xfId="11573"/>
    <cellStyle name="20% - akcent 5 166 3" xfId="8283"/>
    <cellStyle name="20% - akcent 5 167" xfId="1091"/>
    <cellStyle name="20% - akcent 5 167 2" xfId="4939"/>
    <cellStyle name="20% - akcent 5 167 2 2" xfId="11574"/>
    <cellStyle name="20% - akcent 5 167 3" xfId="8284"/>
    <cellStyle name="20% - akcent 5 168" xfId="1092"/>
    <cellStyle name="20% - akcent 5 168 2" xfId="4940"/>
    <cellStyle name="20% - akcent 5 168 2 2" xfId="11575"/>
    <cellStyle name="20% - akcent 5 168 3" xfId="8285"/>
    <cellStyle name="20% - akcent 5 169" xfId="1093"/>
    <cellStyle name="20% - akcent 5 169 2" xfId="4941"/>
    <cellStyle name="20% - akcent 5 169 2 2" xfId="11576"/>
    <cellStyle name="20% - akcent 5 169 3" xfId="8286"/>
    <cellStyle name="20% - akcent 5 17" xfId="1094"/>
    <cellStyle name="20% - akcent 5 17 2" xfId="1095"/>
    <cellStyle name="20% - akcent 5 17 2 2" xfId="4943"/>
    <cellStyle name="20% - akcent 5 17 2 2 2" xfId="11578"/>
    <cellStyle name="20% - akcent 5 17 2 3" xfId="8288"/>
    <cellStyle name="20% - akcent 5 17 3" xfId="4942"/>
    <cellStyle name="20% - akcent 5 17 3 2" xfId="11577"/>
    <cellStyle name="20% - akcent 5 17 4" xfId="8287"/>
    <cellStyle name="20% - akcent 5 170" xfId="1096"/>
    <cellStyle name="20% - akcent 5 170 2" xfId="4944"/>
    <cellStyle name="20% - akcent 5 170 2 2" xfId="11579"/>
    <cellStyle name="20% - akcent 5 170 3" xfId="8289"/>
    <cellStyle name="20% - akcent 5 171" xfId="1097"/>
    <cellStyle name="20% - akcent 5 171 2" xfId="4945"/>
    <cellStyle name="20% - akcent 5 171 2 2" xfId="11580"/>
    <cellStyle name="20% - akcent 5 171 3" xfId="8290"/>
    <cellStyle name="20% - akcent 5 172" xfId="1098"/>
    <cellStyle name="20% - akcent 5 172 2" xfId="4946"/>
    <cellStyle name="20% - akcent 5 172 2 2" xfId="11581"/>
    <cellStyle name="20% - akcent 5 172 3" xfId="8291"/>
    <cellStyle name="20% - akcent 5 173" xfId="1099"/>
    <cellStyle name="20% - akcent 5 173 2" xfId="4947"/>
    <cellStyle name="20% - akcent 5 173 2 2" xfId="11582"/>
    <cellStyle name="20% - akcent 5 173 3" xfId="8292"/>
    <cellStyle name="20% - akcent 5 174" xfId="1100"/>
    <cellStyle name="20% - akcent 5 174 2" xfId="4948"/>
    <cellStyle name="20% - akcent 5 174 2 2" xfId="11583"/>
    <cellStyle name="20% - akcent 5 174 3" xfId="8293"/>
    <cellStyle name="20% - akcent 5 175" xfId="1101"/>
    <cellStyle name="20% - akcent 5 175 2" xfId="4949"/>
    <cellStyle name="20% - akcent 5 175 2 2" xfId="11584"/>
    <cellStyle name="20% - akcent 5 175 3" xfId="8294"/>
    <cellStyle name="20% - akcent 5 176" xfId="1102"/>
    <cellStyle name="20% - akcent 5 176 2" xfId="4950"/>
    <cellStyle name="20% - akcent 5 176 2 2" xfId="11585"/>
    <cellStyle name="20% - akcent 5 176 3" xfId="8295"/>
    <cellStyle name="20% - akcent 5 177" xfId="1103"/>
    <cellStyle name="20% - akcent 5 177 2" xfId="4951"/>
    <cellStyle name="20% - akcent 5 177 2 2" xfId="11586"/>
    <cellStyle name="20% - akcent 5 177 3" xfId="8296"/>
    <cellStyle name="20% - akcent 5 178" xfId="1104"/>
    <cellStyle name="20% - akcent 5 178 2" xfId="4952"/>
    <cellStyle name="20% - akcent 5 178 2 2" xfId="11587"/>
    <cellStyle name="20% - akcent 5 178 3" xfId="8297"/>
    <cellStyle name="20% - akcent 5 179" xfId="1105"/>
    <cellStyle name="20% - akcent 5 179 2" xfId="4953"/>
    <cellStyle name="20% - akcent 5 179 2 2" xfId="11588"/>
    <cellStyle name="20% - akcent 5 179 3" xfId="8298"/>
    <cellStyle name="20% - akcent 5 18" xfId="1106"/>
    <cellStyle name="20% - akcent 5 18 2" xfId="1107"/>
    <cellStyle name="20% - akcent 5 18 2 2" xfId="4955"/>
    <cellStyle name="20% - akcent 5 18 2 2 2" xfId="11590"/>
    <cellStyle name="20% - akcent 5 18 2 3" xfId="8300"/>
    <cellStyle name="20% - akcent 5 18 3" xfId="4954"/>
    <cellStyle name="20% - akcent 5 18 3 2" xfId="11589"/>
    <cellStyle name="20% - akcent 5 18 4" xfId="8299"/>
    <cellStyle name="20% - akcent 5 180" xfId="1108"/>
    <cellStyle name="20% - akcent 5 180 2" xfId="4956"/>
    <cellStyle name="20% - akcent 5 180 2 2" xfId="11591"/>
    <cellStyle name="20% - akcent 5 180 3" xfId="8301"/>
    <cellStyle name="20% - akcent 5 181" xfId="1109"/>
    <cellStyle name="20% - akcent 5 181 2" xfId="4957"/>
    <cellStyle name="20% - akcent 5 181 2 2" xfId="11592"/>
    <cellStyle name="20% - akcent 5 181 3" xfId="8302"/>
    <cellStyle name="20% - akcent 5 182" xfId="1110"/>
    <cellStyle name="20% - akcent 5 182 2" xfId="4958"/>
    <cellStyle name="20% - akcent 5 182 2 2" xfId="11593"/>
    <cellStyle name="20% - akcent 5 182 3" xfId="8303"/>
    <cellStyle name="20% - akcent 5 183" xfId="1111"/>
    <cellStyle name="20% - akcent 5 183 2" xfId="4959"/>
    <cellStyle name="20% - akcent 5 183 2 2" xfId="11594"/>
    <cellStyle name="20% - akcent 5 183 3" xfId="8304"/>
    <cellStyle name="20% - akcent 5 184" xfId="1112"/>
    <cellStyle name="20% - akcent 5 184 2" xfId="4960"/>
    <cellStyle name="20% - akcent 5 184 2 2" xfId="11595"/>
    <cellStyle name="20% - akcent 5 184 3" xfId="8305"/>
    <cellStyle name="20% - akcent 5 185" xfId="1113"/>
    <cellStyle name="20% - akcent 5 185 2" xfId="4961"/>
    <cellStyle name="20% - akcent 5 185 2 2" xfId="11596"/>
    <cellStyle name="20% - akcent 5 185 3" xfId="8306"/>
    <cellStyle name="20% - akcent 5 186" xfId="1114"/>
    <cellStyle name="20% - akcent 5 186 2" xfId="4962"/>
    <cellStyle name="20% - akcent 5 186 2 2" xfId="11597"/>
    <cellStyle name="20% - akcent 5 186 3" xfId="8307"/>
    <cellStyle name="20% - akcent 5 187" xfId="1115"/>
    <cellStyle name="20% - akcent 5 187 2" xfId="4963"/>
    <cellStyle name="20% - akcent 5 187 2 2" xfId="11598"/>
    <cellStyle name="20% - akcent 5 187 3" xfId="8308"/>
    <cellStyle name="20% - akcent 5 188" xfId="1116"/>
    <cellStyle name="20% - akcent 5 188 2" xfId="4964"/>
    <cellStyle name="20% - akcent 5 188 2 2" xfId="11599"/>
    <cellStyle name="20% - akcent 5 188 3" xfId="8309"/>
    <cellStyle name="20% - akcent 5 189" xfId="1117"/>
    <cellStyle name="20% - akcent 5 189 2" xfId="4965"/>
    <cellStyle name="20% - akcent 5 189 2 2" xfId="11600"/>
    <cellStyle name="20% - akcent 5 189 3" xfId="8310"/>
    <cellStyle name="20% - akcent 5 19" xfId="1118"/>
    <cellStyle name="20% - akcent 5 19 2" xfId="1119"/>
    <cellStyle name="20% - akcent 5 19 2 2" xfId="4967"/>
    <cellStyle name="20% - akcent 5 19 2 2 2" xfId="11602"/>
    <cellStyle name="20% - akcent 5 19 2 3" xfId="8312"/>
    <cellStyle name="20% - akcent 5 19 3" xfId="4966"/>
    <cellStyle name="20% - akcent 5 19 3 2" xfId="11601"/>
    <cellStyle name="20% - akcent 5 19 4" xfId="8311"/>
    <cellStyle name="20% - akcent 5 190" xfId="1120"/>
    <cellStyle name="20% - akcent 5 190 2" xfId="4968"/>
    <cellStyle name="20% - akcent 5 190 2 2" xfId="11603"/>
    <cellStyle name="20% - akcent 5 190 3" xfId="8313"/>
    <cellStyle name="20% - akcent 5 191" xfId="1121"/>
    <cellStyle name="20% - akcent 5 191 2" xfId="4969"/>
    <cellStyle name="20% - akcent 5 191 2 2" xfId="11604"/>
    <cellStyle name="20% - akcent 5 191 3" xfId="8314"/>
    <cellStyle name="20% - akcent 5 192" xfId="1122"/>
    <cellStyle name="20% - akcent 5 192 2" xfId="4970"/>
    <cellStyle name="20% - akcent 5 192 2 2" xfId="11605"/>
    <cellStyle name="20% - akcent 5 192 3" xfId="8315"/>
    <cellStyle name="20% - akcent 5 193" xfId="1123"/>
    <cellStyle name="20% - akcent 5 193 2" xfId="4971"/>
    <cellStyle name="20% - akcent 5 193 2 2" xfId="11606"/>
    <cellStyle name="20% - akcent 5 193 3" xfId="8316"/>
    <cellStyle name="20% - akcent 5 194" xfId="1124"/>
    <cellStyle name="20% - akcent 5 194 2" xfId="4972"/>
    <cellStyle name="20% - akcent 5 194 2 2" xfId="11607"/>
    <cellStyle name="20% - akcent 5 194 3" xfId="8317"/>
    <cellStyle name="20% - akcent 5 195" xfId="3845"/>
    <cellStyle name="20% - akcent 5 195 2" xfId="10480"/>
    <cellStyle name="20% - akcent 5 196" xfId="7121"/>
    <cellStyle name="20% - akcent 5 197" xfId="7194"/>
    <cellStyle name="20% - akcent 5 2" xfId="1125"/>
    <cellStyle name="20% - akcent 5 2 2" xfId="1126"/>
    <cellStyle name="20% - akcent 5 2 2 2" xfId="4974"/>
    <cellStyle name="20% - akcent 5 2 2 2 2" xfId="11609"/>
    <cellStyle name="20% - akcent 5 2 2 3" xfId="8319"/>
    <cellStyle name="20% - akcent 5 2 3" xfId="4973"/>
    <cellStyle name="20% - akcent 5 2 3 2" xfId="11608"/>
    <cellStyle name="20% - akcent 5 2 4" xfId="8318"/>
    <cellStyle name="20% - akcent 5 20" xfId="1127"/>
    <cellStyle name="20% - akcent 5 20 2" xfId="1128"/>
    <cellStyle name="20% - akcent 5 20 2 2" xfId="4976"/>
    <cellStyle name="20% - akcent 5 20 2 2 2" xfId="11611"/>
    <cellStyle name="20% - akcent 5 20 2 3" xfId="8321"/>
    <cellStyle name="20% - akcent 5 20 3" xfId="4975"/>
    <cellStyle name="20% - akcent 5 20 3 2" xfId="11610"/>
    <cellStyle name="20% - akcent 5 20 4" xfId="8320"/>
    <cellStyle name="20% - akcent 5 21" xfId="1129"/>
    <cellStyle name="20% - akcent 5 21 2" xfId="1130"/>
    <cellStyle name="20% - akcent 5 21 2 2" xfId="4978"/>
    <cellStyle name="20% - akcent 5 21 2 2 2" xfId="11613"/>
    <cellStyle name="20% - akcent 5 21 2 3" xfId="8323"/>
    <cellStyle name="20% - akcent 5 21 3" xfId="4977"/>
    <cellStyle name="20% - akcent 5 21 3 2" xfId="11612"/>
    <cellStyle name="20% - akcent 5 21 4" xfId="8322"/>
    <cellStyle name="20% - akcent 5 22" xfId="1131"/>
    <cellStyle name="20% - akcent 5 22 2" xfId="1132"/>
    <cellStyle name="20% - akcent 5 22 2 2" xfId="4980"/>
    <cellStyle name="20% - akcent 5 22 2 2 2" xfId="11615"/>
    <cellStyle name="20% - akcent 5 22 2 3" xfId="8325"/>
    <cellStyle name="20% - akcent 5 22 3" xfId="4979"/>
    <cellStyle name="20% - akcent 5 22 3 2" xfId="11614"/>
    <cellStyle name="20% - akcent 5 22 4" xfId="8324"/>
    <cellStyle name="20% - akcent 5 23" xfId="1133"/>
    <cellStyle name="20% - akcent 5 23 2" xfId="1134"/>
    <cellStyle name="20% - akcent 5 23 2 2" xfId="4982"/>
    <cellStyle name="20% - akcent 5 23 2 2 2" xfId="11617"/>
    <cellStyle name="20% - akcent 5 23 2 3" xfId="8327"/>
    <cellStyle name="20% - akcent 5 23 3" xfId="4981"/>
    <cellStyle name="20% - akcent 5 23 3 2" xfId="11616"/>
    <cellStyle name="20% - akcent 5 23 4" xfId="8326"/>
    <cellStyle name="20% - akcent 5 24" xfId="1135"/>
    <cellStyle name="20% - akcent 5 24 2" xfId="1136"/>
    <cellStyle name="20% - akcent 5 24 2 2" xfId="4984"/>
    <cellStyle name="20% - akcent 5 24 2 2 2" xfId="11619"/>
    <cellStyle name="20% - akcent 5 24 2 3" xfId="8329"/>
    <cellStyle name="20% - akcent 5 24 3" xfId="4983"/>
    <cellStyle name="20% - akcent 5 24 3 2" xfId="11618"/>
    <cellStyle name="20% - akcent 5 24 4" xfId="8328"/>
    <cellStyle name="20% - akcent 5 25" xfId="1137"/>
    <cellStyle name="20% - akcent 5 25 2" xfId="1138"/>
    <cellStyle name="20% - akcent 5 25 2 2" xfId="4986"/>
    <cellStyle name="20% - akcent 5 25 2 2 2" xfId="11621"/>
    <cellStyle name="20% - akcent 5 25 2 3" xfId="8331"/>
    <cellStyle name="20% - akcent 5 25 3" xfId="4985"/>
    <cellStyle name="20% - akcent 5 25 3 2" xfId="11620"/>
    <cellStyle name="20% - akcent 5 25 4" xfId="8330"/>
    <cellStyle name="20% - akcent 5 26" xfId="1139"/>
    <cellStyle name="20% - akcent 5 26 2" xfId="1140"/>
    <cellStyle name="20% - akcent 5 26 2 2" xfId="4988"/>
    <cellStyle name="20% - akcent 5 26 2 2 2" xfId="11623"/>
    <cellStyle name="20% - akcent 5 26 2 3" xfId="8333"/>
    <cellStyle name="20% - akcent 5 26 3" xfId="4987"/>
    <cellStyle name="20% - akcent 5 26 3 2" xfId="11622"/>
    <cellStyle name="20% - akcent 5 26 4" xfId="8332"/>
    <cellStyle name="20% - akcent 5 27" xfId="1141"/>
    <cellStyle name="20% - akcent 5 27 2" xfId="1142"/>
    <cellStyle name="20% - akcent 5 27 2 2" xfId="4990"/>
    <cellStyle name="20% - akcent 5 27 2 2 2" xfId="11625"/>
    <cellStyle name="20% - akcent 5 27 2 3" xfId="8335"/>
    <cellStyle name="20% - akcent 5 27 3" xfId="4989"/>
    <cellStyle name="20% - akcent 5 27 3 2" xfId="11624"/>
    <cellStyle name="20% - akcent 5 27 4" xfId="8334"/>
    <cellStyle name="20% - akcent 5 28" xfId="1143"/>
    <cellStyle name="20% - akcent 5 28 2" xfId="1144"/>
    <cellStyle name="20% - akcent 5 28 2 2" xfId="4992"/>
    <cellStyle name="20% - akcent 5 28 2 2 2" xfId="11627"/>
    <cellStyle name="20% - akcent 5 28 2 3" xfId="8337"/>
    <cellStyle name="20% - akcent 5 28 3" xfId="4991"/>
    <cellStyle name="20% - akcent 5 28 3 2" xfId="11626"/>
    <cellStyle name="20% - akcent 5 28 4" xfId="8336"/>
    <cellStyle name="20% - akcent 5 29" xfId="1145"/>
    <cellStyle name="20% - akcent 5 29 2" xfId="1146"/>
    <cellStyle name="20% - akcent 5 29 2 2" xfId="4994"/>
    <cellStyle name="20% - akcent 5 29 2 2 2" xfId="11629"/>
    <cellStyle name="20% - akcent 5 29 2 3" xfId="8339"/>
    <cellStyle name="20% - akcent 5 29 3" xfId="4993"/>
    <cellStyle name="20% - akcent 5 29 3 2" xfId="11628"/>
    <cellStyle name="20% - akcent 5 29 4" xfId="8338"/>
    <cellStyle name="20% - akcent 5 3" xfId="1147"/>
    <cellStyle name="20% - akcent 5 3 2" xfId="1148"/>
    <cellStyle name="20% - akcent 5 3 2 2" xfId="4996"/>
    <cellStyle name="20% - akcent 5 3 2 2 2" xfId="11631"/>
    <cellStyle name="20% - akcent 5 3 2 3" xfId="8341"/>
    <cellStyle name="20% - akcent 5 3 3" xfId="4995"/>
    <cellStyle name="20% - akcent 5 3 3 2" xfId="11630"/>
    <cellStyle name="20% - akcent 5 3 4" xfId="8340"/>
    <cellStyle name="20% - akcent 5 30" xfId="1149"/>
    <cellStyle name="20% - akcent 5 30 2" xfId="1150"/>
    <cellStyle name="20% - akcent 5 30 2 2" xfId="4998"/>
    <cellStyle name="20% - akcent 5 30 2 2 2" xfId="11633"/>
    <cellStyle name="20% - akcent 5 30 2 3" xfId="8343"/>
    <cellStyle name="20% - akcent 5 30 3" xfId="4997"/>
    <cellStyle name="20% - akcent 5 30 3 2" xfId="11632"/>
    <cellStyle name="20% - akcent 5 30 4" xfId="8342"/>
    <cellStyle name="20% - akcent 5 31" xfId="1151"/>
    <cellStyle name="20% - akcent 5 31 2" xfId="1152"/>
    <cellStyle name="20% - akcent 5 31 2 2" xfId="5000"/>
    <cellStyle name="20% - akcent 5 31 2 2 2" xfId="11635"/>
    <cellStyle name="20% - akcent 5 31 2 3" xfId="8345"/>
    <cellStyle name="20% - akcent 5 31 3" xfId="4999"/>
    <cellStyle name="20% - akcent 5 31 3 2" xfId="11634"/>
    <cellStyle name="20% - akcent 5 31 4" xfId="8344"/>
    <cellStyle name="20% - akcent 5 32" xfId="1153"/>
    <cellStyle name="20% - akcent 5 32 2" xfId="1154"/>
    <cellStyle name="20% - akcent 5 32 2 2" xfId="5002"/>
    <cellStyle name="20% - akcent 5 32 2 2 2" xfId="11637"/>
    <cellStyle name="20% - akcent 5 32 2 3" xfId="8347"/>
    <cellStyle name="20% - akcent 5 32 3" xfId="5001"/>
    <cellStyle name="20% - akcent 5 32 3 2" xfId="11636"/>
    <cellStyle name="20% - akcent 5 32 4" xfId="8346"/>
    <cellStyle name="20% - akcent 5 33" xfId="1155"/>
    <cellStyle name="20% - akcent 5 33 2" xfId="1156"/>
    <cellStyle name="20% - akcent 5 33 2 2" xfId="5004"/>
    <cellStyle name="20% - akcent 5 33 2 2 2" xfId="11639"/>
    <cellStyle name="20% - akcent 5 33 2 3" xfId="8349"/>
    <cellStyle name="20% - akcent 5 33 3" xfId="5003"/>
    <cellStyle name="20% - akcent 5 33 3 2" xfId="11638"/>
    <cellStyle name="20% - akcent 5 33 4" xfId="8348"/>
    <cellStyle name="20% - akcent 5 34" xfId="1157"/>
    <cellStyle name="20% - akcent 5 34 2" xfId="1158"/>
    <cellStyle name="20% - akcent 5 34 2 2" xfId="5006"/>
    <cellStyle name="20% - akcent 5 34 2 2 2" xfId="11641"/>
    <cellStyle name="20% - akcent 5 34 2 3" xfId="8351"/>
    <cellStyle name="20% - akcent 5 34 3" xfId="5005"/>
    <cellStyle name="20% - akcent 5 34 3 2" xfId="11640"/>
    <cellStyle name="20% - akcent 5 34 4" xfId="8350"/>
    <cellStyle name="20% - akcent 5 35" xfId="1159"/>
    <cellStyle name="20% - akcent 5 35 2" xfId="1160"/>
    <cellStyle name="20% - akcent 5 35 2 2" xfId="5008"/>
    <cellStyle name="20% - akcent 5 35 2 2 2" xfId="11643"/>
    <cellStyle name="20% - akcent 5 35 2 3" xfId="8353"/>
    <cellStyle name="20% - akcent 5 35 3" xfId="5007"/>
    <cellStyle name="20% - akcent 5 35 3 2" xfId="11642"/>
    <cellStyle name="20% - akcent 5 35 4" xfId="8352"/>
    <cellStyle name="20% - akcent 5 36" xfId="1161"/>
    <cellStyle name="20% - akcent 5 36 2" xfId="1162"/>
    <cellStyle name="20% - akcent 5 36 2 2" xfId="5010"/>
    <cellStyle name="20% - akcent 5 36 2 2 2" xfId="11645"/>
    <cellStyle name="20% - akcent 5 36 2 3" xfId="8355"/>
    <cellStyle name="20% - akcent 5 36 3" xfId="5009"/>
    <cellStyle name="20% - akcent 5 36 3 2" xfId="11644"/>
    <cellStyle name="20% - akcent 5 36 4" xfId="8354"/>
    <cellStyle name="20% - akcent 5 37" xfId="1163"/>
    <cellStyle name="20% - akcent 5 37 2" xfId="1164"/>
    <cellStyle name="20% - akcent 5 37 2 2" xfId="5012"/>
    <cellStyle name="20% - akcent 5 37 2 2 2" xfId="11647"/>
    <cellStyle name="20% - akcent 5 37 2 3" xfId="8357"/>
    <cellStyle name="20% - akcent 5 37 3" xfId="5011"/>
    <cellStyle name="20% - akcent 5 37 3 2" xfId="11646"/>
    <cellStyle name="20% - akcent 5 37 4" xfId="8356"/>
    <cellStyle name="20% - akcent 5 38" xfId="1165"/>
    <cellStyle name="20% - akcent 5 38 2" xfId="1166"/>
    <cellStyle name="20% - akcent 5 38 2 2" xfId="5014"/>
    <cellStyle name="20% - akcent 5 38 2 2 2" xfId="11649"/>
    <cellStyle name="20% - akcent 5 38 2 3" xfId="8359"/>
    <cellStyle name="20% - akcent 5 38 3" xfId="5013"/>
    <cellStyle name="20% - akcent 5 38 3 2" xfId="11648"/>
    <cellStyle name="20% - akcent 5 38 4" xfId="8358"/>
    <cellStyle name="20% - akcent 5 39" xfId="1167"/>
    <cellStyle name="20% - akcent 5 39 2" xfId="1168"/>
    <cellStyle name="20% - akcent 5 39 2 2" xfId="5016"/>
    <cellStyle name="20% - akcent 5 39 2 2 2" xfId="11651"/>
    <cellStyle name="20% - akcent 5 39 2 3" xfId="8361"/>
    <cellStyle name="20% - akcent 5 39 3" xfId="5015"/>
    <cellStyle name="20% - akcent 5 39 3 2" xfId="11650"/>
    <cellStyle name="20% - akcent 5 39 4" xfId="8360"/>
    <cellStyle name="20% - akcent 5 4" xfId="1169"/>
    <cellStyle name="20% - akcent 5 4 2" xfId="1170"/>
    <cellStyle name="20% - akcent 5 4 2 2" xfId="5018"/>
    <cellStyle name="20% - akcent 5 4 2 2 2" xfId="11653"/>
    <cellStyle name="20% - akcent 5 4 2 3" xfId="8363"/>
    <cellStyle name="20% - akcent 5 4 3" xfId="5017"/>
    <cellStyle name="20% - akcent 5 4 3 2" xfId="11652"/>
    <cellStyle name="20% - akcent 5 4 4" xfId="8362"/>
    <cellStyle name="20% - akcent 5 40" xfId="1171"/>
    <cellStyle name="20% - akcent 5 40 2" xfId="1172"/>
    <cellStyle name="20% - akcent 5 40 2 2" xfId="5020"/>
    <cellStyle name="20% - akcent 5 40 2 2 2" xfId="11655"/>
    <cellStyle name="20% - akcent 5 40 2 3" xfId="8365"/>
    <cellStyle name="20% - akcent 5 40 3" xfId="5019"/>
    <cellStyle name="20% - akcent 5 40 3 2" xfId="11654"/>
    <cellStyle name="20% - akcent 5 40 4" xfId="8364"/>
    <cellStyle name="20% - akcent 5 41" xfId="1173"/>
    <cellStyle name="20% - akcent 5 41 2" xfId="1174"/>
    <cellStyle name="20% - akcent 5 41 2 2" xfId="5022"/>
    <cellStyle name="20% - akcent 5 41 2 2 2" xfId="11657"/>
    <cellStyle name="20% - akcent 5 41 2 3" xfId="8367"/>
    <cellStyle name="20% - akcent 5 41 3" xfId="5021"/>
    <cellStyle name="20% - akcent 5 41 3 2" xfId="11656"/>
    <cellStyle name="20% - akcent 5 41 4" xfId="8366"/>
    <cellStyle name="20% - akcent 5 42" xfId="1175"/>
    <cellStyle name="20% - akcent 5 42 2" xfId="1176"/>
    <cellStyle name="20% - akcent 5 42 2 2" xfId="5024"/>
    <cellStyle name="20% - akcent 5 42 2 2 2" xfId="11659"/>
    <cellStyle name="20% - akcent 5 42 2 3" xfId="8369"/>
    <cellStyle name="20% - akcent 5 42 3" xfId="5023"/>
    <cellStyle name="20% - akcent 5 42 3 2" xfId="11658"/>
    <cellStyle name="20% - akcent 5 42 4" xfId="8368"/>
    <cellStyle name="20% - akcent 5 43" xfId="1177"/>
    <cellStyle name="20% - akcent 5 43 2" xfId="1178"/>
    <cellStyle name="20% - akcent 5 43 2 2" xfId="5026"/>
    <cellStyle name="20% - akcent 5 43 2 2 2" xfId="11661"/>
    <cellStyle name="20% - akcent 5 43 2 3" xfId="8371"/>
    <cellStyle name="20% - akcent 5 43 3" xfId="5025"/>
    <cellStyle name="20% - akcent 5 43 3 2" xfId="11660"/>
    <cellStyle name="20% - akcent 5 43 4" xfId="8370"/>
    <cellStyle name="20% - akcent 5 44" xfId="1179"/>
    <cellStyle name="20% - akcent 5 44 2" xfId="1180"/>
    <cellStyle name="20% - akcent 5 44 2 2" xfId="5028"/>
    <cellStyle name="20% - akcent 5 44 2 2 2" xfId="11663"/>
    <cellStyle name="20% - akcent 5 44 2 3" xfId="8373"/>
    <cellStyle name="20% - akcent 5 44 3" xfId="5027"/>
    <cellStyle name="20% - akcent 5 44 3 2" xfId="11662"/>
    <cellStyle name="20% - akcent 5 44 4" xfId="8372"/>
    <cellStyle name="20% - akcent 5 45" xfId="1181"/>
    <cellStyle name="20% - akcent 5 45 2" xfId="1182"/>
    <cellStyle name="20% - akcent 5 45 2 2" xfId="5030"/>
    <cellStyle name="20% - akcent 5 45 2 2 2" xfId="11665"/>
    <cellStyle name="20% - akcent 5 45 2 3" xfId="8375"/>
    <cellStyle name="20% - akcent 5 45 3" xfId="5029"/>
    <cellStyle name="20% - akcent 5 45 3 2" xfId="11664"/>
    <cellStyle name="20% - akcent 5 45 4" xfId="8374"/>
    <cellStyle name="20% - akcent 5 46" xfId="1183"/>
    <cellStyle name="20% - akcent 5 46 2" xfId="1184"/>
    <cellStyle name="20% - akcent 5 46 2 2" xfId="5032"/>
    <cellStyle name="20% - akcent 5 46 2 2 2" xfId="11667"/>
    <cellStyle name="20% - akcent 5 46 2 3" xfId="8377"/>
    <cellStyle name="20% - akcent 5 46 3" xfId="5031"/>
    <cellStyle name="20% - akcent 5 46 3 2" xfId="11666"/>
    <cellStyle name="20% - akcent 5 46 4" xfId="8376"/>
    <cellStyle name="20% - akcent 5 47" xfId="1185"/>
    <cellStyle name="20% - akcent 5 47 2" xfId="1186"/>
    <cellStyle name="20% - akcent 5 47 2 2" xfId="5034"/>
    <cellStyle name="20% - akcent 5 47 2 2 2" xfId="11669"/>
    <cellStyle name="20% - akcent 5 47 2 3" xfId="8379"/>
    <cellStyle name="20% - akcent 5 47 3" xfId="5033"/>
    <cellStyle name="20% - akcent 5 47 3 2" xfId="11668"/>
    <cellStyle name="20% - akcent 5 47 4" xfId="8378"/>
    <cellStyle name="20% - akcent 5 48" xfId="1187"/>
    <cellStyle name="20% - akcent 5 48 2" xfId="1188"/>
    <cellStyle name="20% - akcent 5 48 2 2" xfId="5036"/>
    <cellStyle name="20% - akcent 5 48 2 2 2" xfId="11671"/>
    <cellStyle name="20% - akcent 5 48 2 3" xfId="8381"/>
    <cellStyle name="20% - akcent 5 48 3" xfId="5035"/>
    <cellStyle name="20% - akcent 5 48 3 2" xfId="11670"/>
    <cellStyle name="20% - akcent 5 48 4" xfId="8380"/>
    <cellStyle name="20% - akcent 5 49" xfId="1189"/>
    <cellStyle name="20% - akcent 5 49 2" xfId="1190"/>
    <cellStyle name="20% - akcent 5 49 2 2" xfId="5038"/>
    <cellStyle name="20% - akcent 5 49 2 2 2" xfId="11673"/>
    <cellStyle name="20% - akcent 5 49 2 3" xfId="8383"/>
    <cellStyle name="20% - akcent 5 49 3" xfId="5037"/>
    <cellStyle name="20% - akcent 5 49 3 2" xfId="11672"/>
    <cellStyle name="20% - akcent 5 49 4" xfId="8382"/>
    <cellStyle name="20% - akcent 5 5" xfId="1191"/>
    <cellStyle name="20% - akcent 5 5 2" xfId="1192"/>
    <cellStyle name="20% - akcent 5 5 2 2" xfId="5040"/>
    <cellStyle name="20% - akcent 5 5 2 2 2" xfId="11675"/>
    <cellStyle name="20% - akcent 5 5 2 3" xfId="8385"/>
    <cellStyle name="20% - akcent 5 5 3" xfId="5039"/>
    <cellStyle name="20% - akcent 5 5 3 2" xfId="11674"/>
    <cellStyle name="20% - akcent 5 5 4" xfId="8384"/>
    <cellStyle name="20% - akcent 5 50" xfId="1193"/>
    <cellStyle name="20% - akcent 5 50 2" xfId="1194"/>
    <cellStyle name="20% - akcent 5 50 2 2" xfId="5042"/>
    <cellStyle name="20% - akcent 5 50 2 2 2" xfId="11677"/>
    <cellStyle name="20% - akcent 5 50 2 3" xfId="8387"/>
    <cellStyle name="20% - akcent 5 50 3" xfId="5041"/>
    <cellStyle name="20% - akcent 5 50 3 2" xfId="11676"/>
    <cellStyle name="20% - akcent 5 50 4" xfId="8386"/>
    <cellStyle name="20% - akcent 5 51" xfId="1195"/>
    <cellStyle name="20% - akcent 5 51 2" xfId="1196"/>
    <cellStyle name="20% - akcent 5 51 2 2" xfId="5044"/>
    <cellStyle name="20% - akcent 5 51 2 2 2" xfId="11679"/>
    <cellStyle name="20% - akcent 5 51 2 3" xfId="8389"/>
    <cellStyle name="20% - akcent 5 51 3" xfId="5043"/>
    <cellStyle name="20% - akcent 5 51 3 2" xfId="11678"/>
    <cellStyle name="20% - akcent 5 51 4" xfId="8388"/>
    <cellStyle name="20% - akcent 5 52" xfId="1197"/>
    <cellStyle name="20% - akcent 5 52 2" xfId="1198"/>
    <cellStyle name="20% - akcent 5 52 2 2" xfId="5046"/>
    <cellStyle name="20% - akcent 5 52 2 2 2" xfId="11681"/>
    <cellStyle name="20% - akcent 5 52 2 3" xfId="8391"/>
    <cellStyle name="20% - akcent 5 52 3" xfId="5045"/>
    <cellStyle name="20% - akcent 5 52 3 2" xfId="11680"/>
    <cellStyle name="20% - akcent 5 52 4" xfId="8390"/>
    <cellStyle name="20% - akcent 5 53" xfId="1199"/>
    <cellStyle name="20% - akcent 5 53 2" xfId="1200"/>
    <cellStyle name="20% - akcent 5 53 2 2" xfId="5048"/>
    <cellStyle name="20% - akcent 5 53 2 2 2" xfId="11683"/>
    <cellStyle name="20% - akcent 5 53 2 3" xfId="8393"/>
    <cellStyle name="20% - akcent 5 53 3" xfId="5047"/>
    <cellStyle name="20% - akcent 5 53 3 2" xfId="11682"/>
    <cellStyle name="20% - akcent 5 53 4" xfId="8392"/>
    <cellStyle name="20% - akcent 5 54" xfId="1201"/>
    <cellStyle name="20% - akcent 5 54 2" xfId="1202"/>
    <cellStyle name="20% - akcent 5 54 2 2" xfId="5050"/>
    <cellStyle name="20% - akcent 5 54 2 2 2" xfId="11685"/>
    <cellStyle name="20% - akcent 5 54 2 3" xfId="8395"/>
    <cellStyle name="20% - akcent 5 54 3" xfId="5049"/>
    <cellStyle name="20% - akcent 5 54 3 2" xfId="11684"/>
    <cellStyle name="20% - akcent 5 54 4" xfId="8394"/>
    <cellStyle name="20% - akcent 5 55" xfId="1203"/>
    <cellStyle name="20% - akcent 5 55 2" xfId="1204"/>
    <cellStyle name="20% - akcent 5 55 2 2" xfId="5052"/>
    <cellStyle name="20% - akcent 5 55 2 2 2" xfId="11687"/>
    <cellStyle name="20% - akcent 5 55 2 3" xfId="8397"/>
    <cellStyle name="20% - akcent 5 55 3" xfId="5051"/>
    <cellStyle name="20% - akcent 5 55 3 2" xfId="11686"/>
    <cellStyle name="20% - akcent 5 55 4" xfId="8396"/>
    <cellStyle name="20% - akcent 5 56" xfId="1205"/>
    <cellStyle name="20% - akcent 5 56 2" xfId="1206"/>
    <cellStyle name="20% - akcent 5 56 2 2" xfId="5054"/>
    <cellStyle name="20% - akcent 5 56 2 2 2" xfId="11689"/>
    <cellStyle name="20% - akcent 5 56 2 3" xfId="8399"/>
    <cellStyle name="20% - akcent 5 56 3" xfId="5053"/>
    <cellStyle name="20% - akcent 5 56 3 2" xfId="11688"/>
    <cellStyle name="20% - akcent 5 56 4" xfId="8398"/>
    <cellStyle name="20% - akcent 5 57" xfId="1207"/>
    <cellStyle name="20% - akcent 5 57 2" xfId="1208"/>
    <cellStyle name="20% - akcent 5 57 2 2" xfId="5056"/>
    <cellStyle name="20% - akcent 5 57 2 2 2" xfId="11691"/>
    <cellStyle name="20% - akcent 5 57 2 3" xfId="8401"/>
    <cellStyle name="20% - akcent 5 57 3" xfId="5055"/>
    <cellStyle name="20% - akcent 5 57 3 2" xfId="11690"/>
    <cellStyle name="20% - akcent 5 57 4" xfId="8400"/>
    <cellStyle name="20% - akcent 5 58" xfId="1209"/>
    <cellStyle name="20% - akcent 5 58 2" xfId="1210"/>
    <cellStyle name="20% - akcent 5 58 2 2" xfId="5058"/>
    <cellStyle name="20% - akcent 5 58 2 2 2" xfId="11693"/>
    <cellStyle name="20% - akcent 5 58 2 3" xfId="8403"/>
    <cellStyle name="20% - akcent 5 58 3" xfId="5057"/>
    <cellStyle name="20% - akcent 5 58 3 2" xfId="11692"/>
    <cellStyle name="20% - akcent 5 58 4" xfId="8402"/>
    <cellStyle name="20% - akcent 5 59" xfId="1211"/>
    <cellStyle name="20% - akcent 5 59 2" xfId="1212"/>
    <cellStyle name="20% - akcent 5 59 2 2" xfId="5060"/>
    <cellStyle name="20% - akcent 5 59 2 2 2" xfId="11695"/>
    <cellStyle name="20% - akcent 5 59 2 3" xfId="8405"/>
    <cellStyle name="20% - akcent 5 59 3" xfId="5059"/>
    <cellStyle name="20% - akcent 5 59 3 2" xfId="11694"/>
    <cellStyle name="20% - akcent 5 59 4" xfId="8404"/>
    <cellStyle name="20% - akcent 5 6" xfId="1213"/>
    <cellStyle name="20% - akcent 5 6 2" xfId="1214"/>
    <cellStyle name="20% - akcent 5 6 2 2" xfId="5062"/>
    <cellStyle name="20% - akcent 5 6 2 2 2" xfId="11697"/>
    <cellStyle name="20% - akcent 5 6 2 3" xfId="8407"/>
    <cellStyle name="20% - akcent 5 6 3" xfId="5061"/>
    <cellStyle name="20% - akcent 5 6 3 2" xfId="11696"/>
    <cellStyle name="20% - akcent 5 6 4" xfId="8406"/>
    <cellStyle name="20% - akcent 5 60" xfId="1215"/>
    <cellStyle name="20% - akcent 5 60 2" xfId="5063"/>
    <cellStyle name="20% - akcent 5 60 2 2" xfId="11698"/>
    <cellStyle name="20% - akcent 5 60 3" xfId="8408"/>
    <cellStyle name="20% - akcent 5 61" xfId="1216"/>
    <cellStyle name="20% - akcent 5 61 2" xfId="5064"/>
    <cellStyle name="20% - akcent 5 61 2 2" xfId="11699"/>
    <cellStyle name="20% - akcent 5 61 3" xfId="8409"/>
    <cellStyle name="20% - akcent 5 62" xfId="1217"/>
    <cellStyle name="20% - akcent 5 62 2" xfId="5065"/>
    <cellStyle name="20% - akcent 5 62 2 2" xfId="11700"/>
    <cellStyle name="20% - akcent 5 62 3" xfId="8410"/>
    <cellStyle name="20% - akcent 5 63" xfId="1218"/>
    <cellStyle name="20% - akcent 5 63 2" xfId="5066"/>
    <cellStyle name="20% - akcent 5 63 2 2" xfId="11701"/>
    <cellStyle name="20% - akcent 5 63 3" xfId="8411"/>
    <cellStyle name="20% - akcent 5 64" xfId="1219"/>
    <cellStyle name="20% - akcent 5 64 2" xfId="5067"/>
    <cellStyle name="20% - akcent 5 64 2 2" xfId="11702"/>
    <cellStyle name="20% - akcent 5 64 3" xfId="8412"/>
    <cellStyle name="20% - akcent 5 65" xfId="1220"/>
    <cellStyle name="20% - akcent 5 65 2" xfId="5068"/>
    <cellStyle name="20% - akcent 5 65 2 2" xfId="11703"/>
    <cellStyle name="20% - akcent 5 65 3" xfId="8413"/>
    <cellStyle name="20% - akcent 5 66" xfId="1221"/>
    <cellStyle name="20% - akcent 5 66 2" xfId="5069"/>
    <cellStyle name="20% - akcent 5 66 2 2" xfId="11704"/>
    <cellStyle name="20% - akcent 5 66 3" xfId="8414"/>
    <cellStyle name="20% - akcent 5 67" xfId="1222"/>
    <cellStyle name="20% - akcent 5 67 2" xfId="5070"/>
    <cellStyle name="20% - akcent 5 67 2 2" xfId="11705"/>
    <cellStyle name="20% - akcent 5 67 3" xfId="8415"/>
    <cellStyle name="20% - akcent 5 68" xfId="1223"/>
    <cellStyle name="20% - akcent 5 68 2" xfId="5071"/>
    <cellStyle name="20% - akcent 5 68 2 2" xfId="11706"/>
    <cellStyle name="20% - akcent 5 68 3" xfId="8416"/>
    <cellStyle name="20% - akcent 5 69" xfId="1224"/>
    <cellStyle name="20% - akcent 5 69 2" xfId="5072"/>
    <cellStyle name="20% - akcent 5 69 2 2" xfId="11707"/>
    <cellStyle name="20% - akcent 5 69 3" xfId="8417"/>
    <cellStyle name="20% - akcent 5 7" xfId="1225"/>
    <cellStyle name="20% - akcent 5 7 2" xfId="1226"/>
    <cellStyle name="20% - akcent 5 7 2 2" xfId="5074"/>
    <cellStyle name="20% - akcent 5 7 2 2 2" xfId="11709"/>
    <cellStyle name="20% - akcent 5 7 2 3" xfId="8419"/>
    <cellStyle name="20% - akcent 5 7 3" xfId="5073"/>
    <cellStyle name="20% - akcent 5 7 3 2" xfId="11708"/>
    <cellStyle name="20% - akcent 5 7 4" xfId="8418"/>
    <cellStyle name="20% - akcent 5 70" xfId="1227"/>
    <cellStyle name="20% - akcent 5 70 2" xfId="5075"/>
    <cellStyle name="20% - akcent 5 70 2 2" xfId="11710"/>
    <cellStyle name="20% - akcent 5 70 3" xfId="8420"/>
    <cellStyle name="20% - akcent 5 71" xfId="1228"/>
    <cellStyle name="20% - akcent 5 71 2" xfId="5076"/>
    <cellStyle name="20% - akcent 5 71 2 2" xfId="11711"/>
    <cellStyle name="20% - akcent 5 71 3" xfId="8421"/>
    <cellStyle name="20% - akcent 5 72" xfId="1229"/>
    <cellStyle name="20% - akcent 5 72 2" xfId="5077"/>
    <cellStyle name="20% - akcent 5 72 2 2" xfId="11712"/>
    <cellStyle name="20% - akcent 5 72 3" xfId="8422"/>
    <cellStyle name="20% - akcent 5 73" xfId="1230"/>
    <cellStyle name="20% - akcent 5 73 2" xfId="5078"/>
    <cellStyle name="20% - akcent 5 73 2 2" xfId="11713"/>
    <cellStyle name="20% - akcent 5 73 3" xfId="8423"/>
    <cellStyle name="20% - akcent 5 74" xfId="1231"/>
    <cellStyle name="20% - akcent 5 74 2" xfId="5079"/>
    <cellStyle name="20% - akcent 5 74 2 2" xfId="11714"/>
    <cellStyle name="20% - akcent 5 74 3" xfId="8424"/>
    <cellStyle name="20% - akcent 5 75" xfId="1232"/>
    <cellStyle name="20% - akcent 5 75 2" xfId="5080"/>
    <cellStyle name="20% - akcent 5 75 2 2" xfId="11715"/>
    <cellStyle name="20% - akcent 5 75 3" xfId="8425"/>
    <cellStyle name="20% - akcent 5 76" xfId="1233"/>
    <cellStyle name="20% - akcent 5 76 2" xfId="5081"/>
    <cellStyle name="20% - akcent 5 76 2 2" xfId="11716"/>
    <cellStyle name="20% - akcent 5 76 3" xfId="8426"/>
    <cellStyle name="20% - akcent 5 77" xfId="1234"/>
    <cellStyle name="20% - akcent 5 77 2" xfId="5082"/>
    <cellStyle name="20% - akcent 5 77 2 2" xfId="11717"/>
    <cellStyle name="20% - akcent 5 77 3" xfId="8427"/>
    <cellStyle name="20% - akcent 5 78" xfId="1235"/>
    <cellStyle name="20% - akcent 5 78 2" xfId="5083"/>
    <cellStyle name="20% - akcent 5 78 2 2" xfId="11718"/>
    <cellStyle name="20% - akcent 5 78 3" xfId="8428"/>
    <cellStyle name="20% - akcent 5 79" xfId="1236"/>
    <cellStyle name="20% - akcent 5 79 2" xfId="5084"/>
    <cellStyle name="20% - akcent 5 79 2 2" xfId="11719"/>
    <cellStyle name="20% - akcent 5 79 3" xfId="8429"/>
    <cellStyle name="20% - akcent 5 8" xfId="1237"/>
    <cellStyle name="20% - akcent 5 8 2" xfId="1238"/>
    <cellStyle name="20% - akcent 5 8 2 2" xfId="5086"/>
    <cellStyle name="20% - akcent 5 8 2 2 2" xfId="11721"/>
    <cellStyle name="20% - akcent 5 8 2 3" xfId="8431"/>
    <cellStyle name="20% - akcent 5 8 3" xfId="5085"/>
    <cellStyle name="20% - akcent 5 8 3 2" xfId="11720"/>
    <cellStyle name="20% - akcent 5 8 4" xfId="8430"/>
    <cellStyle name="20% - akcent 5 80" xfId="1239"/>
    <cellStyle name="20% - akcent 5 80 2" xfId="5087"/>
    <cellStyle name="20% - akcent 5 80 2 2" xfId="11722"/>
    <cellStyle name="20% - akcent 5 80 3" xfId="8432"/>
    <cellStyle name="20% - akcent 5 81" xfId="1240"/>
    <cellStyle name="20% - akcent 5 81 2" xfId="5088"/>
    <cellStyle name="20% - akcent 5 81 2 2" xfId="11723"/>
    <cellStyle name="20% - akcent 5 81 3" xfId="8433"/>
    <cellStyle name="20% - akcent 5 82" xfId="1241"/>
    <cellStyle name="20% - akcent 5 82 2" xfId="5089"/>
    <cellStyle name="20% - akcent 5 82 2 2" xfId="11724"/>
    <cellStyle name="20% - akcent 5 82 3" xfId="8434"/>
    <cellStyle name="20% - akcent 5 83" xfId="1242"/>
    <cellStyle name="20% - akcent 5 83 2" xfId="5090"/>
    <cellStyle name="20% - akcent 5 83 2 2" xfId="11725"/>
    <cellStyle name="20% - akcent 5 83 3" xfId="8435"/>
    <cellStyle name="20% - akcent 5 84" xfId="1243"/>
    <cellStyle name="20% - akcent 5 84 2" xfId="5091"/>
    <cellStyle name="20% - akcent 5 84 2 2" xfId="11726"/>
    <cellStyle name="20% - akcent 5 84 3" xfId="8436"/>
    <cellStyle name="20% - akcent 5 85" xfId="1244"/>
    <cellStyle name="20% - akcent 5 85 2" xfId="5092"/>
    <cellStyle name="20% - akcent 5 85 2 2" xfId="11727"/>
    <cellStyle name="20% - akcent 5 85 3" xfId="8437"/>
    <cellStyle name="20% - akcent 5 86" xfId="1245"/>
    <cellStyle name="20% - akcent 5 86 2" xfId="5093"/>
    <cellStyle name="20% - akcent 5 86 2 2" xfId="11728"/>
    <cellStyle name="20% - akcent 5 86 3" xfId="8438"/>
    <cellStyle name="20% - akcent 5 87" xfId="1246"/>
    <cellStyle name="20% - akcent 5 87 2" xfId="5094"/>
    <cellStyle name="20% - akcent 5 87 2 2" xfId="11729"/>
    <cellStyle name="20% - akcent 5 87 3" xfId="8439"/>
    <cellStyle name="20% - akcent 5 88" xfId="1247"/>
    <cellStyle name="20% - akcent 5 88 2" xfId="5095"/>
    <cellStyle name="20% - akcent 5 88 2 2" xfId="11730"/>
    <cellStyle name="20% - akcent 5 88 3" xfId="8440"/>
    <cellStyle name="20% - akcent 5 89" xfId="1248"/>
    <cellStyle name="20% - akcent 5 89 2" xfId="5096"/>
    <cellStyle name="20% - akcent 5 89 2 2" xfId="11731"/>
    <cellStyle name="20% - akcent 5 89 3" xfId="8441"/>
    <cellStyle name="20% - akcent 5 9" xfId="1249"/>
    <cellStyle name="20% - akcent 5 9 2" xfId="1250"/>
    <cellStyle name="20% - akcent 5 9 2 2" xfId="5098"/>
    <cellStyle name="20% - akcent 5 9 2 2 2" xfId="11733"/>
    <cellStyle name="20% - akcent 5 9 2 3" xfId="8443"/>
    <cellStyle name="20% - akcent 5 9 3" xfId="5097"/>
    <cellStyle name="20% - akcent 5 9 3 2" xfId="11732"/>
    <cellStyle name="20% - akcent 5 9 4" xfId="8442"/>
    <cellStyle name="20% - akcent 5 90" xfId="1251"/>
    <cellStyle name="20% - akcent 5 90 2" xfId="5099"/>
    <cellStyle name="20% - akcent 5 90 2 2" xfId="11734"/>
    <cellStyle name="20% - akcent 5 90 3" xfId="8444"/>
    <cellStyle name="20% - akcent 5 91" xfId="1252"/>
    <cellStyle name="20% - akcent 5 91 2" xfId="5100"/>
    <cellStyle name="20% - akcent 5 91 2 2" xfId="11735"/>
    <cellStyle name="20% - akcent 5 91 3" xfId="8445"/>
    <cellStyle name="20% - akcent 5 92" xfId="1253"/>
    <cellStyle name="20% - akcent 5 92 2" xfId="5101"/>
    <cellStyle name="20% - akcent 5 92 2 2" xfId="11736"/>
    <cellStyle name="20% - akcent 5 92 3" xfId="8446"/>
    <cellStyle name="20% - akcent 5 93" xfId="1254"/>
    <cellStyle name="20% - akcent 5 93 2" xfId="5102"/>
    <cellStyle name="20% - akcent 5 93 2 2" xfId="11737"/>
    <cellStyle name="20% - akcent 5 93 3" xfId="8447"/>
    <cellStyle name="20% - akcent 5 94" xfId="1255"/>
    <cellStyle name="20% - akcent 5 94 2" xfId="5103"/>
    <cellStyle name="20% - akcent 5 94 2 2" xfId="11738"/>
    <cellStyle name="20% - akcent 5 94 3" xfId="8448"/>
    <cellStyle name="20% - akcent 5 95" xfId="1256"/>
    <cellStyle name="20% - akcent 5 95 2" xfId="5104"/>
    <cellStyle name="20% - akcent 5 95 2 2" xfId="11739"/>
    <cellStyle name="20% - akcent 5 95 3" xfId="8449"/>
    <cellStyle name="20% - akcent 5 96" xfId="1257"/>
    <cellStyle name="20% - akcent 5 96 2" xfId="5105"/>
    <cellStyle name="20% - akcent 5 96 2 2" xfId="11740"/>
    <cellStyle name="20% - akcent 5 96 3" xfId="8450"/>
    <cellStyle name="20% - akcent 5 97" xfId="1258"/>
    <cellStyle name="20% - akcent 5 97 2" xfId="5106"/>
    <cellStyle name="20% - akcent 5 97 2 2" xfId="11741"/>
    <cellStyle name="20% - akcent 5 97 3" xfId="8451"/>
    <cellStyle name="20% - akcent 5 98" xfId="1259"/>
    <cellStyle name="20% - akcent 5 98 2" xfId="5107"/>
    <cellStyle name="20% - akcent 5 98 2 2" xfId="11742"/>
    <cellStyle name="20% - akcent 5 98 3" xfId="8452"/>
    <cellStyle name="20% - akcent 5 99" xfId="1260"/>
    <cellStyle name="20% - akcent 5 99 2" xfId="5108"/>
    <cellStyle name="20% - akcent 5 99 2 2" xfId="11743"/>
    <cellStyle name="20% - akcent 5 99 3" xfId="8453"/>
    <cellStyle name="20% - akcent 6" xfId="1261" builtinId="50" customBuiltin="1"/>
    <cellStyle name="20% - akcent 6 10" xfId="1262"/>
    <cellStyle name="20% - akcent 6 10 2" xfId="1263"/>
    <cellStyle name="20% - akcent 6 10 2 2" xfId="5110"/>
    <cellStyle name="20% - akcent 6 10 2 2 2" xfId="11745"/>
    <cellStyle name="20% - akcent 6 10 2 3" xfId="8455"/>
    <cellStyle name="20% - akcent 6 10 3" xfId="5109"/>
    <cellStyle name="20% - akcent 6 10 3 2" xfId="11744"/>
    <cellStyle name="20% - akcent 6 10 4" xfId="8454"/>
    <cellStyle name="20% - akcent 6 100" xfId="1264"/>
    <cellStyle name="20% - akcent 6 100 2" xfId="5111"/>
    <cellStyle name="20% - akcent 6 100 2 2" xfId="11746"/>
    <cellStyle name="20% - akcent 6 100 3" xfId="8456"/>
    <cellStyle name="20% - akcent 6 101" xfId="1265"/>
    <cellStyle name="20% - akcent 6 101 2" xfId="5112"/>
    <cellStyle name="20% - akcent 6 101 2 2" xfId="11747"/>
    <cellStyle name="20% - akcent 6 101 3" xfId="8457"/>
    <cellStyle name="20% - akcent 6 102" xfId="1266"/>
    <cellStyle name="20% - akcent 6 102 2" xfId="5113"/>
    <cellStyle name="20% - akcent 6 102 2 2" xfId="11748"/>
    <cellStyle name="20% - akcent 6 102 3" xfId="8458"/>
    <cellStyle name="20% - akcent 6 103" xfId="1267"/>
    <cellStyle name="20% - akcent 6 103 2" xfId="5114"/>
    <cellStyle name="20% - akcent 6 103 2 2" xfId="11749"/>
    <cellStyle name="20% - akcent 6 103 3" xfId="8459"/>
    <cellStyle name="20% - akcent 6 104" xfId="1268"/>
    <cellStyle name="20% - akcent 6 104 2" xfId="5115"/>
    <cellStyle name="20% - akcent 6 104 2 2" xfId="11750"/>
    <cellStyle name="20% - akcent 6 104 3" xfId="8460"/>
    <cellStyle name="20% - akcent 6 105" xfId="1269"/>
    <cellStyle name="20% - akcent 6 105 2" xfId="5116"/>
    <cellStyle name="20% - akcent 6 105 2 2" xfId="11751"/>
    <cellStyle name="20% - akcent 6 105 3" xfId="8461"/>
    <cellStyle name="20% - akcent 6 106" xfId="1270"/>
    <cellStyle name="20% - akcent 6 106 2" xfId="5117"/>
    <cellStyle name="20% - akcent 6 106 2 2" xfId="11752"/>
    <cellStyle name="20% - akcent 6 106 3" xfId="8462"/>
    <cellStyle name="20% - akcent 6 107" xfId="1271"/>
    <cellStyle name="20% - akcent 6 107 2" xfId="5118"/>
    <cellStyle name="20% - akcent 6 107 2 2" xfId="11753"/>
    <cellStyle name="20% - akcent 6 107 3" xfId="8463"/>
    <cellStyle name="20% - akcent 6 108" xfId="1272"/>
    <cellStyle name="20% - akcent 6 108 2" xfId="5119"/>
    <cellStyle name="20% - akcent 6 108 2 2" xfId="11754"/>
    <cellStyle name="20% - akcent 6 108 3" xfId="8464"/>
    <cellStyle name="20% - akcent 6 109" xfId="1273"/>
    <cellStyle name="20% - akcent 6 109 2" xfId="5120"/>
    <cellStyle name="20% - akcent 6 109 2 2" xfId="11755"/>
    <cellStyle name="20% - akcent 6 109 3" xfId="8465"/>
    <cellStyle name="20% - akcent 6 11" xfId="1274"/>
    <cellStyle name="20% - akcent 6 11 2" xfId="1275"/>
    <cellStyle name="20% - akcent 6 11 2 2" xfId="5122"/>
    <cellStyle name="20% - akcent 6 11 2 2 2" xfId="11757"/>
    <cellStyle name="20% - akcent 6 11 2 3" xfId="8467"/>
    <cellStyle name="20% - akcent 6 11 3" xfId="5121"/>
    <cellStyle name="20% - akcent 6 11 3 2" xfId="11756"/>
    <cellStyle name="20% - akcent 6 11 4" xfId="8466"/>
    <cellStyle name="20% - akcent 6 110" xfId="1276"/>
    <cellStyle name="20% - akcent 6 110 2" xfId="5123"/>
    <cellStyle name="20% - akcent 6 110 2 2" xfId="11758"/>
    <cellStyle name="20% - akcent 6 110 3" xfId="8468"/>
    <cellStyle name="20% - akcent 6 111" xfId="1277"/>
    <cellStyle name="20% - akcent 6 111 2" xfId="5124"/>
    <cellStyle name="20% - akcent 6 111 2 2" xfId="11759"/>
    <cellStyle name="20% - akcent 6 111 3" xfId="8469"/>
    <cellStyle name="20% - akcent 6 112" xfId="1278"/>
    <cellStyle name="20% - akcent 6 112 2" xfId="5125"/>
    <cellStyle name="20% - akcent 6 112 2 2" xfId="11760"/>
    <cellStyle name="20% - akcent 6 112 3" xfId="8470"/>
    <cellStyle name="20% - akcent 6 113" xfId="1279"/>
    <cellStyle name="20% - akcent 6 113 2" xfId="5126"/>
    <cellStyle name="20% - akcent 6 113 2 2" xfId="11761"/>
    <cellStyle name="20% - akcent 6 113 3" xfId="8471"/>
    <cellStyle name="20% - akcent 6 114" xfId="1280"/>
    <cellStyle name="20% - akcent 6 114 2" xfId="5127"/>
    <cellStyle name="20% - akcent 6 114 2 2" xfId="11762"/>
    <cellStyle name="20% - akcent 6 114 3" xfId="8472"/>
    <cellStyle name="20% - akcent 6 115" xfId="1281"/>
    <cellStyle name="20% - akcent 6 115 2" xfId="5128"/>
    <cellStyle name="20% - akcent 6 115 2 2" xfId="11763"/>
    <cellStyle name="20% - akcent 6 115 3" xfId="8473"/>
    <cellStyle name="20% - akcent 6 116" xfId="1282"/>
    <cellStyle name="20% - akcent 6 116 2" xfId="5129"/>
    <cellStyle name="20% - akcent 6 116 2 2" xfId="11764"/>
    <cellStyle name="20% - akcent 6 116 3" xfId="8474"/>
    <cellStyle name="20% - akcent 6 117" xfId="1283"/>
    <cellStyle name="20% - akcent 6 117 2" xfId="5130"/>
    <cellStyle name="20% - akcent 6 117 2 2" xfId="11765"/>
    <cellStyle name="20% - akcent 6 117 3" xfId="8475"/>
    <cellStyle name="20% - akcent 6 118" xfId="1284"/>
    <cellStyle name="20% - akcent 6 118 2" xfId="5131"/>
    <cellStyle name="20% - akcent 6 118 2 2" xfId="11766"/>
    <cellStyle name="20% - akcent 6 118 3" xfId="8476"/>
    <cellStyle name="20% - akcent 6 119" xfId="1285"/>
    <cellStyle name="20% - akcent 6 119 2" xfId="5132"/>
    <cellStyle name="20% - akcent 6 119 2 2" xfId="11767"/>
    <cellStyle name="20% - akcent 6 119 3" xfId="8477"/>
    <cellStyle name="20% - akcent 6 12" xfId="1286"/>
    <cellStyle name="20% - akcent 6 12 2" xfId="1287"/>
    <cellStyle name="20% - akcent 6 12 2 2" xfId="5134"/>
    <cellStyle name="20% - akcent 6 12 2 2 2" xfId="11769"/>
    <cellStyle name="20% - akcent 6 12 2 3" xfId="8479"/>
    <cellStyle name="20% - akcent 6 12 3" xfId="5133"/>
    <cellStyle name="20% - akcent 6 12 3 2" xfId="11768"/>
    <cellStyle name="20% - akcent 6 12 4" xfId="8478"/>
    <cellStyle name="20% - akcent 6 120" xfId="1288"/>
    <cellStyle name="20% - akcent 6 120 2" xfId="5135"/>
    <cellStyle name="20% - akcent 6 120 2 2" xfId="11770"/>
    <cellStyle name="20% - akcent 6 120 3" xfId="8480"/>
    <cellStyle name="20% - akcent 6 121" xfId="1289"/>
    <cellStyle name="20% - akcent 6 121 2" xfId="5136"/>
    <cellStyle name="20% - akcent 6 121 2 2" xfId="11771"/>
    <cellStyle name="20% - akcent 6 121 3" xfId="8481"/>
    <cellStyle name="20% - akcent 6 122" xfId="1290"/>
    <cellStyle name="20% - akcent 6 122 2" xfId="5137"/>
    <cellStyle name="20% - akcent 6 122 2 2" xfId="11772"/>
    <cellStyle name="20% - akcent 6 122 3" xfId="8482"/>
    <cellStyle name="20% - akcent 6 123" xfId="1291"/>
    <cellStyle name="20% - akcent 6 123 2" xfId="5138"/>
    <cellStyle name="20% - akcent 6 123 2 2" xfId="11773"/>
    <cellStyle name="20% - akcent 6 123 3" xfId="8483"/>
    <cellStyle name="20% - akcent 6 124" xfId="1292"/>
    <cellStyle name="20% - akcent 6 124 2" xfId="5139"/>
    <cellStyle name="20% - akcent 6 124 2 2" xfId="11774"/>
    <cellStyle name="20% - akcent 6 124 3" xfId="8484"/>
    <cellStyle name="20% - akcent 6 125" xfId="1293"/>
    <cellStyle name="20% - akcent 6 125 2" xfId="5140"/>
    <cellStyle name="20% - akcent 6 125 2 2" xfId="11775"/>
    <cellStyle name="20% - akcent 6 125 3" xfId="8485"/>
    <cellStyle name="20% - akcent 6 126" xfId="1294"/>
    <cellStyle name="20% - akcent 6 126 2" xfId="5141"/>
    <cellStyle name="20% - akcent 6 126 2 2" xfId="11776"/>
    <cellStyle name="20% - akcent 6 126 3" xfId="8486"/>
    <cellStyle name="20% - akcent 6 127" xfId="1295"/>
    <cellStyle name="20% - akcent 6 127 2" xfId="5142"/>
    <cellStyle name="20% - akcent 6 127 2 2" xfId="11777"/>
    <cellStyle name="20% - akcent 6 127 3" xfId="8487"/>
    <cellStyle name="20% - akcent 6 128" xfId="1296"/>
    <cellStyle name="20% - akcent 6 128 2" xfId="5143"/>
    <cellStyle name="20% - akcent 6 128 2 2" xfId="11778"/>
    <cellStyle name="20% - akcent 6 128 3" xfId="8488"/>
    <cellStyle name="20% - akcent 6 129" xfId="1297"/>
    <cellStyle name="20% - akcent 6 129 2" xfId="5144"/>
    <cellStyle name="20% - akcent 6 129 2 2" xfId="11779"/>
    <cellStyle name="20% - akcent 6 129 3" xfId="8489"/>
    <cellStyle name="20% - akcent 6 13" xfId="1298"/>
    <cellStyle name="20% - akcent 6 13 2" xfId="1299"/>
    <cellStyle name="20% - akcent 6 13 2 2" xfId="5146"/>
    <cellStyle name="20% - akcent 6 13 2 2 2" xfId="11781"/>
    <cellStyle name="20% - akcent 6 13 2 3" xfId="8491"/>
    <cellStyle name="20% - akcent 6 13 3" xfId="5145"/>
    <cellStyle name="20% - akcent 6 13 3 2" xfId="11780"/>
    <cellStyle name="20% - akcent 6 13 4" xfId="8490"/>
    <cellStyle name="20% - akcent 6 130" xfId="1300"/>
    <cellStyle name="20% - akcent 6 130 2" xfId="5147"/>
    <cellStyle name="20% - akcent 6 130 2 2" xfId="11782"/>
    <cellStyle name="20% - akcent 6 130 3" xfId="8492"/>
    <cellStyle name="20% - akcent 6 131" xfId="1301"/>
    <cellStyle name="20% - akcent 6 131 2" xfId="5148"/>
    <cellStyle name="20% - akcent 6 131 2 2" xfId="11783"/>
    <cellStyle name="20% - akcent 6 131 3" xfId="8493"/>
    <cellStyle name="20% - akcent 6 132" xfId="1302"/>
    <cellStyle name="20% - akcent 6 132 2" xfId="5149"/>
    <cellStyle name="20% - akcent 6 132 2 2" xfId="11784"/>
    <cellStyle name="20% - akcent 6 132 3" xfId="8494"/>
    <cellStyle name="20% - akcent 6 133" xfId="1303"/>
    <cellStyle name="20% - akcent 6 133 2" xfId="5150"/>
    <cellStyle name="20% - akcent 6 133 2 2" xfId="11785"/>
    <cellStyle name="20% - akcent 6 133 3" xfId="8495"/>
    <cellStyle name="20% - akcent 6 134" xfId="1304"/>
    <cellStyle name="20% - akcent 6 134 2" xfId="5151"/>
    <cellStyle name="20% - akcent 6 134 2 2" xfId="11786"/>
    <cellStyle name="20% - akcent 6 134 3" xfId="8496"/>
    <cellStyle name="20% - akcent 6 135" xfId="1305"/>
    <cellStyle name="20% - akcent 6 135 2" xfId="5152"/>
    <cellStyle name="20% - akcent 6 135 2 2" xfId="11787"/>
    <cellStyle name="20% - akcent 6 135 3" xfId="8497"/>
    <cellStyle name="20% - akcent 6 136" xfId="1306"/>
    <cellStyle name="20% - akcent 6 136 2" xfId="5153"/>
    <cellStyle name="20% - akcent 6 136 2 2" xfId="11788"/>
    <cellStyle name="20% - akcent 6 136 3" xfId="8498"/>
    <cellStyle name="20% - akcent 6 137" xfId="1307"/>
    <cellStyle name="20% - akcent 6 137 2" xfId="5154"/>
    <cellStyle name="20% - akcent 6 137 2 2" xfId="11789"/>
    <cellStyle name="20% - akcent 6 137 3" xfId="8499"/>
    <cellStyle name="20% - akcent 6 138" xfId="1308"/>
    <cellStyle name="20% - akcent 6 138 2" xfId="5155"/>
    <cellStyle name="20% - akcent 6 138 2 2" xfId="11790"/>
    <cellStyle name="20% - akcent 6 138 3" xfId="8500"/>
    <cellStyle name="20% - akcent 6 139" xfId="1309"/>
    <cellStyle name="20% - akcent 6 139 2" xfId="5156"/>
    <cellStyle name="20% - akcent 6 139 2 2" xfId="11791"/>
    <cellStyle name="20% - akcent 6 139 3" xfId="8501"/>
    <cellStyle name="20% - akcent 6 14" xfId="1310"/>
    <cellStyle name="20% - akcent 6 14 2" xfId="1311"/>
    <cellStyle name="20% - akcent 6 14 2 2" xfId="5158"/>
    <cellStyle name="20% - akcent 6 14 2 2 2" xfId="11793"/>
    <cellStyle name="20% - akcent 6 14 2 3" xfId="8503"/>
    <cellStyle name="20% - akcent 6 14 3" xfId="5157"/>
    <cellStyle name="20% - akcent 6 14 3 2" xfId="11792"/>
    <cellStyle name="20% - akcent 6 14 4" xfId="8502"/>
    <cellStyle name="20% - akcent 6 140" xfId="1312"/>
    <cellStyle name="20% - akcent 6 140 2" xfId="5159"/>
    <cellStyle name="20% - akcent 6 140 2 2" xfId="11794"/>
    <cellStyle name="20% - akcent 6 140 3" xfId="8504"/>
    <cellStyle name="20% - akcent 6 141" xfId="1313"/>
    <cellStyle name="20% - akcent 6 141 2" xfId="5160"/>
    <cellStyle name="20% - akcent 6 141 2 2" xfId="11795"/>
    <cellStyle name="20% - akcent 6 141 3" xfId="8505"/>
    <cellStyle name="20% - akcent 6 142" xfId="1314"/>
    <cellStyle name="20% - akcent 6 142 2" xfId="5161"/>
    <cellStyle name="20% - akcent 6 142 2 2" xfId="11796"/>
    <cellStyle name="20% - akcent 6 142 3" xfId="8506"/>
    <cellStyle name="20% - akcent 6 143" xfId="1315"/>
    <cellStyle name="20% - akcent 6 143 2" xfId="5162"/>
    <cellStyle name="20% - akcent 6 143 2 2" xfId="11797"/>
    <cellStyle name="20% - akcent 6 143 3" xfId="8507"/>
    <cellStyle name="20% - akcent 6 144" xfId="1316"/>
    <cellStyle name="20% - akcent 6 144 2" xfId="5163"/>
    <cellStyle name="20% - akcent 6 144 2 2" xfId="11798"/>
    <cellStyle name="20% - akcent 6 144 3" xfId="8508"/>
    <cellStyle name="20% - akcent 6 145" xfId="1317"/>
    <cellStyle name="20% - akcent 6 145 2" xfId="5164"/>
    <cellStyle name="20% - akcent 6 145 2 2" xfId="11799"/>
    <cellStyle name="20% - akcent 6 145 3" xfId="8509"/>
    <cellStyle name="20% - akcent 6 146" xfId="1318"/>
    <cellStyle name="20% - akcent 6 146 2" xfId="5165"/>
    <cellStyle name="20% - akcent 6 146 2 2" xfId="11800"/>
    <cellStyle name="20% - akcent 6 146 3" xfId="8510"/>
    <cellStyle name="20% - akcent 6 147" xfId="1319"/>
    <cellStyle name="20% - akcent 6 147 2" xfId="5166"/>
    <cellStyle name="20% - akcent 6 147 2 2" xfId="11801"/>
    <cellStyle name="20% - akcent 6 147 3" xfId="8511"/>
    <cellStyle name="20% - akcent 6 148" xfId="1320"/>
    <cellStyle name="20% - akcent 6 148 2" xfId="5167"/>
    <cellStyle name="20% - akcent 6 148 2 2" xfId="11802"/>
    <cellStyle name="20% - akcent 6 148 3" xfId="8512"/>
    <cellStyle name="20% - akcent 6 149" xfId="1321"/>
    <cellStyle name="20% - akcent 6 149 2" xfId="5168"/>
    <cellStyle name="20% - akcent 6 149 2 2" xfId="11803"/>
    <cellStyle name="20% - akcent 6 149 3" xfId="8513"/>
    <cellStyle name="20% - akcent 6 15" xfId="1322"/>
    <cellStyle name="20% - akcent 6 15 2" xfId="1323"/>
    <cellStyle name="20% - akcent 6 15 2 2" xfId="5170"/>
    <cellStyle name="20% - akcent 6 15 2 2 2" xfId="11805"/>
    <cellStyle name="20% - akcent 6 15 2 3" xfId="8515"/>
    <cellStyle name="20% - akcent 6 15 3" xfId="5169"/>
    <cellStyle name="20% - akcent 6 15 3 2" xfId="11804"/>
    <cellStyle name="20% - akcent 6 15 4" xfId="8514"/>
    <cellStyle name="20% - akcent 6 150" xfId="1324"/>
    <cellStyle name="20% - akcent 6 150 2" xfId="5171"/>
    <cellStyle name="20% - akcent 6 150 2 2" xfId="11806"/>
    <cellStyle name="20% - akcent 6 150 3" xfId="8516"/>
    <cellStyle name="20% - akcent 6 151" xfId="1325"/>
    <cellStyle name="20% - akcent 6 151 2" xfId="5172"/>
    <cellStyle name="20% - akcent 6 151 2 2" xfId="11807"/>
    <cellStyle name="20% - akcent 6 151 3" xfId="8517"/>
    <cellStyle name="20% - akcent 6 152" xfId="1326"/>
    <cellStyle name="20% - akcent 6 152 2" xfId="5173"/>
    <cellStyle name="20% - akcent 6 152 2 2" xfId="11808"/>
    <cellStyle name="20% - akcent 6 152 3" xfId="8518"/>
    <cellStyle name="20% - akcent 6 153" xfId="1327"/>
    <cellStyle name="20% - akcent 6 153 2" xfId="5174"/>
    <cellStyle name="20% - akcent 6 153 2 2" xfId="11809"/>
    <cellStyle name="20% - akcent 6 153 3" xfId="8519"/>
    <cellStyle name="20% - akcent 6 154" xfId="1328"/>
    <cellStyle name="20% - akcent 6 154 2" xfId="5175"/>
    <cellStyle name="20% - akcent 6 154 2 2" xfId="11810"/>
    <cellStyle name="20% - akcent 6 154 3" xfId="8520"/>
    <cellStyle name="20% - akcent 6 155" xfId="1329"/>
    <cellStyle name="20% - akcent 6 155 2" xfId="5176"/>
    <cellStyle name="20% - akcent 6 155 2 2" xfId="11811"/>
    <cellStyle name="20% - akcent 6 155 3" xfId="8521"/>
    <cellStyle name="20% - akcent 6 156" xfId="1330"/>
    <cellStyle name="20% - akcent 6 156 2" xfId="5177"/>
    <cellStyle name="20% - akcent 6 156 2 2" xfId="11812"/>
    <cellStyle name="20% - akcent 6 156 3" xfId="8522"/>
    <cellStyle name="20% - akcent 6 157" xfId="1331"/>
    <cellStyle name="20% - akcent 6 157 2" xfId="5178"/>
    <cellStyle name="20% - akcent 6 157 2 2" xfId="11813"/>
    <cellStyle name="20% - akcent 6 157 3" xfId="8523"/>
    <cellStyle name="20% - akcent 6 158" xfId="1332"/>
    <cellStyle name="20% - akcent 6 158 2" xfId="5179"/>
    <cellStyle name="20% - akcent 6 158 2 2" xfId="11814"/>
    <cellStyle name="20% - akcent 6 158 3" xfId="8524"/>
    <cellStyle name="20% - akcent 6 159" xfId="1333"/>
    <cellStyle name="20% - akcent 6 159 2" xfId="5180"/>
    <cellStyle name="20% - akcent 6 159 2 2" xfId="11815"/>
    <cellStyle name="20% - akcent 6 159 3" xfId="8525"/>
    <cellStyle name="20% - akcent 6 16" xfId="1334"/>
    <cellStyle name="20% - akcent 6 16 2" xfId="1335"/>
    <cellStyle name="20% - akcent 6 16 2 2" xfId="5182"/>
    <cellStyle name="20% - akcent 6 16 2 2 2" xfId="11817"/>
    <cellStyle name="20% - akcent 6 16 2 3" xfId="8527"/>
    <cellStyle name="20% - akcent 6 16 3" xfId="5181"/>
    <cellStyle name="20% - akcent 6 16 3 2" xfId="11816"/>
    <cellStyle name="20% - akcent 6 16 4" xfId="8526"/>
    <cellStyle name="20% - akcent 6 160" xfId="1336"/>
    <cellStyle name="20% - akcent 6 160 2" xfId="5183"/>
    <cellStyle name="20% - akcent 6 160 2 2" xfId="11818"/>
    <cellStyle name="20% - akcent 6 160 3" xfId="8528"/>
    <cellStyle name="20% - akcent 6 161" xfId="1337"/>
    <cellStyle name="20% - akcent 6 161 2" xfId="5184"/>
    <cellStyle name="20% - akcent 6 161 2 2" xfId="11819"/>
    <cellStyle name="20% - akcent 6 161 3" xfId="8529"/>
    <cellStyle name="20% - akcent 6 162" xfId="1338"/>
    <cellStyle name="20% - akcent 6 162 2" xfId="5185"/>
    <cellStyle name="20% - akcent 6 162 2 2" xfId="11820"/>
    <cellStyle name="20% - akcent 6 162 3" xfId="8530"/>
    <cellStyle name="20% - akcent 6 163" xfId="1339"/>
    <cellStyle name="20% - akcent 6 163 2" xfId="5186"/>
    <cellStyle name="20% - akcent 6 163 2 2" xfId="11821"/>
    <cellStyle name="20% - akcent 6 163 3" xfId="8531"/>
    <cellStyle name="20% - akcent 6 164" xfId="1340"/>
    <cellStyle name="20% - akcent 6 164 2" xfId="5187"/>
    <cellStyle name="20% - akcent 6 164 2 2" xfId="11822"/>
    <cellStyle name="20% - akcent 6 164 3" xfId="8532"/>
    <cellStyle name="20% - akcent 6 165" xfId="1341"/>
    <cellStyle name="20% - akcent 6 165 2" xfId="5188"/>
    <cellStyle name="20% - akcent 6 165 2 2" xfId="11823"/>
    <cellStyle name="20% - akcent 6 165 3" xfId="8533"/>
    <cellStyle name="20% - akcent 6 166" xfId="1342"/>
    <cellStyle name="20% - akcent 6 166 2" xfId="5189"/>
    <cellStyle name="20% - akcent 6 166 2 2" xfId="11824"/>
    <cellStyle name="20% - akcent 6 166 3" xfId="8534"/>
    <cellStyle name="20% - akcent 6 167" xfId="1343"/>
    <cellStyle name="20% - akcent 6 167 2" xfId="5190"/>
    <cellStyle name="20% - akcent 6 167 2 2" xfId="11825"/>
    <cellStyle name="20% - akcent 6 167 3" xfId="8535"/>
    <cellStyle name="20% - akcent 6 168" xfId="1344"/>
    <cellStyle name="20% - akcent 6 168 2" xfId="5191"/>
    <cellStyle name="20% - akcent 6 168 2 2" xfId="11826"/>
    <cellStyle name="20% - akcent 6 168 3" xfId="8536"/>
    <cellStyle name="20% - akcent 6 169" xfId="1345"/>
    <cellStyle name="20% - akcent 6 169 2" xfId="5192"/>
    <cellStyle name="20% - akcent 6 169 2 2" xfId="11827"/>
    <cellStyle name="20% - akcent 6 169 3" xfId="8537"/>
    <cellStyle name="20% - akcent 6 17" xfId="1346"/>
    <cellStyle name="20% - akcent 6 17 2" xfId="1347"/>
    <cellStyle name="20% - akcent 6 17 2 2" xfId="5194"/>
    <cellStyle name="20% - akcent 6 17 2 2 2" xfId="11829"/>
    <cellStyle name="20% - akcent 6 17 2 3" xfId="8539"/>
    <cellStyle name="20% - akcent 6 17 3" xfId="5193"/>
    <cellStyle name="20% - akcent 6 17 3 2" xfId="11828"/>
    <cellStyle name="20% - akcent 6 17 4" xfId="8538"/>
    <cellStyle name="20% - akcent 6 170" xfId="1348"/>
    <cellStyle name="20% - akcent 6 170 2" xfId="5195"/>
    <cellStyle name="20% - akcent 6 170 2 2" xfId="11830"/>
    <cellStyle name="20% - akcent 6 170 3" xfId="8540"/>
    <cellStyle name="20% - akcent 6 171" xfId="1349"/>
    <cellStyle name="20% - akcent 6 171 2" xfId="5196"/>
    <cellStyle name="20% - akcent 6 171 2 2" xfId="11831"/>
    <cellStyle name="20% - akcent 6 171 3" xfId="8541"/>
    <cellStyle name="20% - akcent 6 172" xfId="1350"/>
    <cellStyle name="20% - akcent 6 172 2" xfId="5197"/>
    <cellStyle name="20% - akcent 6 172 2 2" xfId="11832"/>
    <cellStyle name="20% - akcent 6 172 3" xfId="8542"/>
    <cellStyle name="20% - akcent 6 173" xfId="1351"/>
    <cellStyle name="20% - akcent 6 173 2" xfId="5198"/>
    <cellStyle name="20% - akcent 6 173 2 2" xfId="11833"/>
    <cellStyle name="20% - akcent 6 173 3" xfId="8543"/>
    <cellStyle name="20% - akcent 6 174" xfId="1352"/>
    <cellStyle name="20% - akcent 6 174 2" xfId="5199"/>
    <cellStyle name="20% - akcent 6 174 2 2" xfId="11834"/>
    <cellStyle name="20% - akcent 6 174 3" xfId="8544"/>
    <cellStyle name="20% - akcent 6 175" xfId="1353"/>
    <cellStyle name="20% - akcent 6 175 2" xfId="5200"/>
    <cellStyle name="20% - akcent 6 175 2 2" xfId="11835"/>
    <cellStyle name="20% - akcent 6 175 3" xfId="8545"/>
    <cellStyle name="20% - akcent 6 176" xfId="1354"/>
    <cellStyle name="20% - akcent 6 176 2" xfId="5201"/>
    <cellStyle name="20% - akcent 6 176 2 2" xfId="11836"/>
    <cellStyle name="20% - akcent 6 176 3" xfId="8546"/>
    <cellStyle name="20% - akcent 6 177" xfId="1355"/>
    <cellStyle name="20% - akcent 6 177 2" xfId="5202"/>
    <cellStyle name="20% - akcent 6 177 2 2" xfId="11837"/>
    <cellStyle name="20% - akcent 6 177 3" xfId="8547"/>
    <cellStyle name="20% - akcent 6 178" xfId="1356"/>
    <cellStyle name="20% - akcent 6 178 2" xfId="5203"/>
    <cellStyle name="20% - akcent 6 178 2 2" xfId="11838"/>
    <cellStyle name="20% - akcent 6 178 3" xfId="8548"/>
    <cellStyle name="20% - akcent 6 179" xfId="1357"/>
    <cellStyle name="20% - akcent 6 179 2" xfId="5204"/>
    <cellStyle name="20% - akcent 6 179 2 2" xfId="11839"/>
    <cellStyle name="20% - akcent 6 179 3" xfId="8549"/>
    <cellStyle name="20% - akcent 6 18" xfId="1358"/>
    <cellStyle name="20% - akcent 6 18 2" xfId="1359"/>
    <cellStyle name="20% - akcent 6 18 2 2" xfId="5206"/>
    <cellStyle name="20% - akcent 6 18 2 2 2" xfId="11841"/>
    <cellStyle name="20% - akcent 6 18 2 3" xfId="8551"/>
    <cellStyle name="20% - akcent 6 18 3" xfId="5205"/>
    <cellStyle name="20% - akcent 6 18 3 2" xfId="11840"/>
    <cellStyle name="20% - akcent 6 18 4" xfId="8550"/>
    <cellStyle name="20% - akcent 6 180" xfId="1360"/>
    <cellStyle name="20% - akcent 6 180 2" xfId="5207"/>
    <cellStyle name="20% - akcent 6 180 2 2" xfId="11842"/>
    <cellStyle name="20% - akcent 6 180 3" xfId="8552"/>
    <cellStyle name="20% - akcent 6 181" xfId="1361"/>
    <cellStyle name="20% - akcent 6 181 2" xfId="5208"/>
    <cellStyle name="20% - akcent 6 181 2 2" xfId="11843"/>
    <cellStyle name="20% - akcent 6 181 3" xfId="8553"/>
    <cellStyle name="20% - akcent 6 182" xfId="1362"/>
    <cellStyle name="20% - akcent 6 182 2" xfId="5209"/>
    <cellStyle name="20% - akcent 6 182 2 2" xfId="11844"/>
    <cellStyle name="20% - akcent 6 182 3" xfId="8554"/>
    <cellStyle name="20% - akcent 6 183" xfId="1363"/>
    <cellStyle name="20% - akcent 6 183 2" xfId="5210"/>
    <cellStyle name="20% - akcent 6 183 2 2" xfId="11845"/>
    <cellStyle name="20% - akcent 6 183 3" xfId="8555"/>
    <cellStyle name="20% - akcent 6 184" xfId="1364"/>
    <cellStyle name="20% - akcent 6 184 2" xfId="5211"/>
    <cellStyle name="20% - akcent 6 184 2 2" xfId="11846"/>
    <cellStyle name="20% - akcent 6 184 3" xfId="8556"/>
    <cellStyle name="20% - akcent 6 185" xfId="1365"/>
    <cellStyle name="20% - akcent 6 185 2" xfId="5212"/>
    <cellStyle name="20% - akcent 6 185 2 2" xfId="11847"/>
    <cellStyle name="20% - akcent 6 185 3" xfId="8557"/>
    <cellStyle name="20% - akcent 6 186" xfId="1366"/>
    <cellStyle name="20% - akcent 6 186 2" xfId="5213"/>
    <cellStyle name="20% - akcent 6 186 2 2" xfId="11848"/>
    <cellStyle name="20% - akcent 6 186 3" xfId="8558"/>
    <cellStyle name="20% - akcent 6 187" xfId="1367"/>
    <cellStyle name="20% - akcent 6 187 2" xfId="5214"/>
    <cellStyle name="20% - akcent 6 187 2 2" xfId="11849"/>
    <cellStyle name="20% - akcent 6 187 3" xfId="8559"/>
    <cellStyle name="20% - akcent 6 188" xfId="1368"/>
    <cellStyle name="20% - akcent 6 188 2" xfId="5215"/>
    <cellStyle name="20% - akcent 6 188 2 2" xfId="11850"/>
    <cellStyle name="20% - akcent 6 188 3" xfId="8560"/>
    <cellStyle name="20% - akcent 6 189" xfId="1369"/>
    <cellStyle name="20% - akcent 6 189 2" xfId="5216"/>
    <cellStyle name="20% - akcent 6 189 2 2" xfId="11851"/>
    <cellStyle name="20% - akcent 6 189 3" xfId="8561"/>
    <cellStyle name="20% - akcent 6 19" xfId="1370"/>
    <cellStyle name="20% - akcent 6 19 2" xfId="1371"/>
    <cellStyle name="20% - akcent 6 19 2 2" xfId="5218"/>
    <cellStyle name="20% - akcent 6 19 2 2 2" xfId="11853"/>
    <cellStyle name="20% - akcent 6 19 2 3" xfId="8563"/>
    <cellStyle name="20% - akcent 6 19 3" xfId="5217"/>
    <cellStyle name="20% - akcent 6 19 3 2" xfId="11852"/>
    <cellStyle name="20% - akcent 6 19 4" xfId="8562"/>
    <cellStyle name="20% - akcent 6 190" xfId="1372"/>
    <cellStyle name="20% - akcent 6 190 2" xfId="5219"/>
    <cellStyle name="20% - akcent 6 190 2 2" xfId="11854"/>
    <cellStyle name="20% - akcent 6 190 3" xfId="8564"/>
    <cellStyle name="20% - akcent 6 191" xfId="1373"/>
    <cellStyle name="20% - akcent 6 191 2" xfId="5220"/>
    <cellStyle name="20% - akcent 6 191 2 2" xfId="11855"/>
    <cellStyle name="20% - akcent 6 191 3" xfId="8565"/>
    <cellStyle name="20% - akcent 6 192" xfId="1374"/>
    <cellStyle name="20% - akcent 6 192 2" xfId="5221"/>
    <cellStyle name="20% - akcent 6 192 2 2" xfId="11856"/>
    <cellStyle name="20% - akcent 6 192 3" xfId="8566"/>
    <cellStyle name="20% - akcent 6 193" xfId="1375"/>
    <cellStyle name="20% - akcent 6 193 2" xfId="5222"/>
    <cellStyle name="20% - akcent 6 193 2 2" xfId="11857"/>
    <cellStyle name="20% - akcent 6 193 3" xfId="8567"/>
    <cellStyle name="20% - akcent 6 194" xfId="1376"/>
    <cellStyle name="20% - akcent 6 194 2" xfId="5223"/>
    <cellStyle name="20% - akcent 6 194 2 2" xfId="11858"/>
    <cellStyle name="20% - akcent 6 194 3" xfId="8568"/>
    <cellStyle name="20% - akcent 6 195" xfId="3847"/>
    <cellStyle name="20% - akcent 6 195 2" xfId="10482"/>
    <cellStyle name="20% - akcent 6 196" xfId="7122"/>
    <cellStyle name="20% - akcent 6 197" xfId="7196"/>
    <cellStyle name="20% - akcent 6 2" xfId="1377"/>
    <cellStyle name="20% - akcent 6 2 2" xfId="1378"/>
    <cellStyle name="20% - akcent 6 2 2 2" xfId="5225"/>
    <cellStyle name="20% - akcent 6 2 2 2 2" xfId="11860"/>
    <cellStyle name="20% - akcent 6 2 2 3" xfId="8570"/>
    <cellStyle name="20% - akcent 6 2 3" xfId="5224"/>
    <cellStyle name="20% - akcent 6 2 3 2" xfId="11859"/>
    <cellStyle name="20% - akcent 6 2 4" xfId="8569"/>
    <cellStyle name="20% - akcent 6 20" xfId="1379"/>
    <cellStyle name="20% - akcent 6 20 2" xfId="1380"/>
    <cellStyle name="20% - akcent 6 20 2 2" xfId="5227"/>
    <cellStyle name="20% - akcent 6 20 2 2 2" xfId="11862"/>
    <cellStyle name="20% - akcent 6 20 2 3" xfId="8572"/>
    <cellStyle name="20% - akcent 6 20 3" xfId="5226"/>
    <cellStyle name="20% - akcent 6 20 3 2" xfId="11861"/>
    <cellStyle name="20% - akcent 6 20 4" xfId="8571"/>
    <cellStyle name="20% - akcent 6 21" xfId="1381"/>
    <cellStyle name="20% - akcent 6 21 2" xfId="1382"/>
    <cellStyle name="20% - akcent 6 21 2 2" xfId="5229"/>
    <cellStyle name="20% - akcent 6 21 2 2 2" xfId="11864"/>
    <cellStyle name="20% - akcent 6 21 2 3" xfId="8574"/>
    <cellStyle name="20% - akcent 6 21 3" xfId="5228"/>
    <cellStyle name="20% - akcent 6 21 3 2" xfId="11863"/>
    <cellStyle name="20% - akcent 6 21 4" xfId="8573"/>
    <cellStyle name="20% - akcent 6 22" xfId="1383"/>
    <cellStyle name="20% - akcent 6 22 2" xfId="1384"/>
    <cellStyle name="20% - akcent 6 22 2 2" xfId="5231"/>
    <cellStyle name="20% - akcent 6 22 2 2 2" xfId="11866"/>
    <cellStyle name="20% - akcent 6 22 2 3" xfId="8576"/>
    <cellStyle name="20% - akcent 6 22 3" xfId="5230"/>
    <cellStyle name="20% - akcent 6 22 3 2" xfId="11865"/>
    <cellStyle name="20% - akcent 6 22 4" xfId="8575"/>
    <cellStyle name="20% - akcent 6 23" xfId="1385"/>
    <cellStyle name="20% - akcent 6 23 2" xfId="1386"/>
    <cellStyle name="20% - akcent 6 23 2 2" xfId="5233"/>
    <cellStyle name="20% - akcent 6 23 2 2 2" xfId="11868"/>
    <cellStyle name="20% - akcent 6 23 2 3" xfId="8578"/>
    <cellStyle name="20% - akcent 6 23 3" xfId="5232"/>
    <cellStyle name="20% - akcent 6 23 3 2" xfId="11867"/>
    <cellStyle name="20% - akcent 6 23 4" xfId="8577"/>
    <cellStyle name="20% - akcent 6 24" xfId="1387"/>
    <cellStyle name="20% - akcent 6 24 2" xfId="1388"/>
    <cellStyle name="20% - akcent 6 24 2 2" xfId="5235"/>
    <cellStyle name="20% - akcent 6 24 2 2 2" xfId="11870"/>
    <cellStyle name="20% - akcent 6 24 2 3" xfId="8580"/>
    <cellStyle name="20% - akcent 6 24 3" xfId="5234"/>
    <cellStyle name="20% - akcent 6 24 3 2" xfId="11869"/>
    <cellStyle name="20% - akcent 6 24 4" xfId="8579"/>
    <cellStyle name="20% - akcent 6 25" xfId="1389"/>
    <cellStyle name="20% - akcent 6 25 2" xfId="1390"/>
    <cellStyle name="20% - akcent 6 25 2 2" xfId="5237"/>
    <cellStyle name="20% - akcent 6 25 2 2 2" xfId="11872"/>
    <cellStyle name="20% - akcent 6 25 2 3" xfId="8582"/>
    <cellStyle name="20% - akcent 6 25 3" xfId="5236"/>
    <cellStyle name="20% - akcent 6 25 3 2" xfId="11871"/>
    <cellStyle name="20% - akcent 6 25 4" xfId="8581"/>
    <cellStyle name="20% - akcent 6 26" xfId="1391"/>
    <cellStyle name="20% - akcent 6 26 2" xfId="1392"/>
    <cellStyle name="20% - akcent 6 26 2 2" xfId="5239"/>
    <cellStyle name="20% - akcent 6 26 2 2 2" xfId="11874"/>
    <cellStyle name="20% - akcent 6 26 2 3" xfId="8584"/>
    <cellStyle name="20% - akcent 6 26 3" xfId="5238"/>
    <cellStyle name="20% - akcent 6 26 3 2" xfId="11873"/>
    <cellStyle name="20% - akcent 6 26 4" xfId="8583"/>
    <cellStyle name="20% - akcent 6 27" xfId="1393"/>
    <cellStyle name="20% - akcent 6 27 2" xfId="1394"/>
    <cellStyle name="20% - akcent 6 27 2 2" xfId="5241"/>
    <cellStyle name="20% - akcent 6 27 2 2 2" xfId="11876"/>
    <cellStyle name="20% - akcent 6 27 2 3" xfId="8586"/>
    <cellStyle name="20% - akcent 6 27 3" xfId="5240"/>
    <cellStyle name="20% - akcent 6 27 3 2" xfId="11875"/>
    <cellStyle name="20% - akcent 6 27 4" xfId="8585"/>
    <cellStyle name="20% - akcent 6 28" xfId="1395"/>
    <cellStyle name="20% - akcent 6 28 2" xfId="1396"/>
    <cellStyle name="20% - akcent 6 28 2 2" xfId="5243"/>
    <cellStyle name="20% - akcent 6 28 2 2 2" xfId="11878"/>
    <cellStyle name="20% - akcent 6 28 2 3" xfId="8588"/>
    <cellStyle name="20% - akcent 6 28 3" xfId="5242"/>
    <cellStyle name="20% - akcent 6 28 3 2" xfId="11877"/>
    <cellStyle name="20% - akcent 6 28 4" xfId="8587"/>
    <cellStyle name="20% - akcent 6 29" xfId="1397"/>
    <cellStyle name="20% - akcent 6 29 2" xfId="1398"/>
    <cellStyle name="20% - akcent 6 29 2 2" xfId="5245"/>
    <cellStyle name="20% - akcent 6 29 2 2 2" xfId="11880"/>
    <cellStyle name="20% - akcent 6 29 2 3" xfId="8590"/>
    <cellStyle name="20% - akcent 6 29 3" xfId="5244"/>
    <cellStyle name="20% - akcent 6 29 3 2" xfId="11879"/>
    <cellStyle name="20% - akcent 6 29 4" xfId="8589"/>
    <cellStyle name="20% - akcent 6 3" xfId="1399"/>
    <cellStyle name="20% - akcent 6 3 2" xfId="1400"/>
    <cellStyle name="20% - akcent 6 3 2 2" xfId="5247"/>
    <cellStyle name="20% - akcent 6 3 2 2 2" xfId="11882"/>
    <cellStyle name="20% - akcent 6 3 2 3" xfId="8592"/>
    <cellStyle name="20% - akcent 6 3 3" xfId="5246"/>
    <cellStyle name="20% - akcent 6 3 3 2" xfId="11881"/>
    <cellStyle name="20% - akcent 6 3 4" xfId="8591"/>
    <cellStyle name="20% - akcent 6 30" xfId="1401"/>
    <cellStyle name="20% - akcent 6 30 2" xfId="1402"/>
    <cellStyle name="20% - akcent 6 30 2 2" xfId="5249"/>
    <cellStyle name="20% - akcent 6 30 2 2 2" xfId="11884"/>
    <cellStyle name="20% - akcent 6 30 2 3" xfId="8594"/>
    <cellStyle name="20% - akcent 6 30 3" xfId="5248"/>
    <cellStyle name="20% - akcent 6 30 3 2" xfId="11883"/>
    <cellStyle name="20% - akcent 6 30 4" xfId="8593"/>
    <cellStyle name="20% - akcent 6 31" xfId="1403"/>
    <cellStyle name="20% - akcent 6 31 2" xfId="1404"/>
    <cellStyle name="20% - akcent 6 31 2 2" xfId="5251"/>
    <cellStyle name="20% - akcent 6 31 2 2 2" xfId="11886"/>
    <cellStyle name="20% - akcent 6 31 2 3" xfId="8596"/>
    <cellStyle name="20% - akcent 6 31 3" xfId="5250"/>
    <cellStyle name="20% - akcent 6 31 3 2" xfId="11885"/>
    <cellStyle name="20% - akcent 6 31 4" xfId="8595"/>
    <cellStyle name="20% - akcent 6 32" xfId="1405"/>
    <cellStyle name="20% - akcent 6 32 2" xfId="1406"/>
    <cellStyle name="20% - akcent 6 32 2 2" xfId="5253"/>
    <cellStyle name="20% - akcent 6 32 2 2 2" xfId="11888"/>
    <cellStyle name="20% - akcent 6 32 2 3" xfId="8598"/>
    <cellStyle name="20% - akcent 6 32 3" xfId="5252"/>
    <cellStyle name="20% - akcent 6 32 3 2" xfId="11887"/>
    <cellStyle name="20% - akcent 6 32 4" xfId="8597"/>
    <cellStyle name="20% - akcent 6 33" xfId="1407"/>
    <cellStyle name="20% - akcent 6 33 2" xfId="1408"/>
    <cellStyle name="20% - akcent 6 33 2 2" xfId="5255"/>
    <cellStyle name="20% - akcent 6 33 2 2 2" xfId="11890"/>
    <cellStyle name="20% - akcent 6 33 2 3" xfId="8600"/>
    <cellStyle name="20% - akcent 6 33 3" xfId="5254"/>
    <cellStyle name="20% - akcent 6 33 3 2" xfId="11889"/>
    <cellStyle name="20% - akcent 6 33 4" xfId="8599"/>
    <cellStyle name="20% - akcent 6 34" xfId="1409"/>
    <cellStyle name="20% - akcent 6 34 2" xfId="1410"/>
    <cellStyle name="20% - akcent 6 34 2 2" xfId="5257"/>
    <cellStyle name="20% - akcent 6 34 2 2 2" xfId="11892"/>
    <cellStyle name="20% - akcent 6 34 2 3" xfId="8602"/>
    <cellStyle name="20% - akcent 6 34 3" xfId="5256"/>
    <cellStyle name="20% - akcent 6 34 3 2" xfId="11891"/>
    <cellStyle name="20% - akcent 6 34 4" xfId="8601"/>
    <cellStyle name="20% - akcent 6 35" xfId="1411"/>
    <cellStyle name="20% - akcent 6 35 2" xfId="1412"/>
    <cellStyle name="20% - akcent 6 35 2 2" xfId="5259"/>
    <cellStyle name="20% - akcent 6 35 2 2 2" xfId="11894"/>
    <cellStyle name="20% - akcent 6 35 2 3" xfId="8604"/>
    <cellStyle name="20% - akcent 6 35 3" xfId="5258"/>
    <cellStyle name="20% - akcent 6 35 3 2" xfId="11893"/>
    <cellStyle name="20% - akcent 6 35 4" xfId="8603"/>
    <cellStyle name="20% - akcent 6 36" xfId="1413"/>
    <cellStyle name="20% - akcent 6 36 2" xfId="1414"/>
    <cellStyle name="20% - akcent 6 36 2 2" xfId="5261"/>
    <cellStyle name="20% - akcent 6 36 2 2 2" xfId="11896"/>
    <cellStyle name="20% - akcent 6 36 2 3" xfId="8606"/>
    <cellStyle name="20% - akcent 6 36 3" xfId="5260"/>
    <cellStyle name="20% - akcent 6 36 3 2" xfId="11895"/>
    <cellStyle name="20% - akcent 6 36 4" xfId="8605"/>
    <cellStyle name="20% - akcent 6 37" xfId="1415"/>
    <cellStyle name="20% - akcent 6 37 2" xfId="1416"/>
    <cellStyle name="20% - akcent 6 37 2 2" xfId="5263"/>
    <cellStyle name="20% - akcent 6 37 2 2 2" xfId="11898"/>
    <cellStyle name="20% - akcent 6 37 2 3" xfId="8608"/>
    <cellStyle name="20% - akcent 6 37 3" xfId="5262"/>
    <cellStyle name="20% - akcent 6 37 3 2" xfId="11897"/>
    <cellStyle name="20% - akcent 6 37 4" xfId="8607"/>
    <cellStyle name="20% - akcent 6 38" xfId="1417"/>
    <cellStyle name="20% - akcent 6 38 2" xfId="1418"/>
    <cellStyle name="20% - akcent 6 38 2 2" xfId="5265"/>
    <cellStyle name="20% - akcent 6 38 2 2 2" xfId="11900"/>
    <cellStyle name="20% - akcent 6 38 2 3" xfId="8610"/>
    <cellStyle name="20% - akcent 6 38 3" xfId="5264"/>
    <cellStyle name="20% - akcent 6 38 3 2" xfId="11899"/>
    <cellStyle name="20% - akcent 6 38 4" xfId="8609"/>
    <cellStyle name="20% - akcent 6 39" xfId="1419"/>
    <cellStyle name="20% - akcent 6 39 2" xfId="1420"/>
    <cellStyle name="20% - akcent 6 39 2 2" xfId="5267"/>
    <cellStyle name="20% - akcent 6 39 2 2 2" xfId="11902"/>
    <cellStyle name="20% - akcent 6 39 2 3" xfId="8612"/>
    <cellStyle name="20% - akcent 6 39 3" xfId="5266"/>
    <cellStyle name="20% - akcent 6 39 3 2" xfId="11901"/>
    <cellStyle name="20% - akcent 6 39 4" xfId="8611"/>
    <cellStyle name="20% - akcent 6 4" xfId="1421"/>
    <cellStyle name="20% - akcent 6 4 2" xfId="1422"/>
    <cellStyle name="20% - akcent 6 4 2 2" xfId="5269"/>
    <cellStyle name="20% - akcent 6 4 2 2 2" xfId="11904"/>
    <cellStyle name="20% - akcent 6 4 2 3" xfId="8614"/>
    <cellStyle name="20% - akcent 6 4 3" xfId="5268"/>
    <cellStyle name="20% - akcent 6 4 3 2" xfId="11903"/>
    <cellStyle name="20% - akcent 6 4 4" xfId="8613"/>
    <cellStyle name="20% - akcent 6 40" xfId="1423"/>
    <cellStyle name="20% - akcent 6 40 2" xfId="1424"/>
    <cellStyle name="20% - akcent 6 40 2 2" xfId="5271"/>
    <cellStyle name="20% - akcent 6 40 2 2 2" xfId="11906"/>
    <cellStyle name="20% - akcent 6 40 2 3" xfId="8616"/>
    <cellStyle name="20% - akcent 6 40 3" xfId="5270"/>
    <cellStyle name="20% - akcent 6 40 3 2" xfId="11905"/>
    <cellStyle name="20% - akcent 6 40 4" xfId="8615"/>
    <cellStyle name="20% - akcent 6 41" xfId="1425"/>
    <cellStyle name="20% - akcent 6 41 2" xfId="1426"/>
    <cellStyle name="20% - akcent 6 41 2 2" xfId="5273"/>
    <cellStyle name="20% - akcent 6 41 2 2 2" xfId="11908"/>
    <cellStyle name="20% - akcent 6 41 2 3" xfId="8618"/>
    <cellStyle name="20% - akcent 6 41 3" xfId="5272"/>
    <cellStyle name="20% - akcent 6 41 3 2" xfId="11907"/>
    <cellStyle name="20% - akcent 6 41 4" xfId="8617"/>
    <cellStyle name="20% - akcent 6 42" xfId="1427"/>
    <cellStyle name="20% - akcent 6 42 2" xfId="1428"/>
    <cellStyle name="20% - akcent 6 42 2 2" xfId="5275"/>
    <cellStyle name="20% - akcent 6 42 2 2 2" xfId="11910"/>
    <cellStyle name="20% - akcent 6 42 2 3" xfId="8620"/>
    <cellStyle name="20% - akcent 6 42 3" xfId="5274"/>
    <cellStyle name="20% - akcent 6 42 3 2" xfId="11909"/>
    <cellStyle name="20% - akcent 6 42 4" xfId="8619"/>
    <cellStyle name="20% - akcent 6 43" xfId="1429"/>
    <cellStyle name="20% - akcent 6 43 2" xfId="1430"/>
    <cellStyle name="20% - akcent 6 43 2 2" xfId="5277"/>
    <cellStyle name="20% - akcent 6 43 2 2 2" xfId="11912"/>
    <cellStyle name="20% - akcent 6 43 2 3" xfId="8622"/>
    <cellStyle name="20% - akcent 6 43 3" xfId="5276"/>
    <cellStyle name="20% - akcent 6 43 3 2" xfId="11911"/>
    <cellStyle name="20% - akcent 6 43 4" xfId="8621"/>
    <cellStyle name="20% - akcent 6 44" xfId="1431"/>
    <cellStyle name="20% - akcent 6 44 2" xfId="1432"/>
    <cellStyle name="20% - akcent 6 44 2 2" xfId="5279"/>
    <cellStyle name="20% - akcent 6 44 2 2 2" xfId="11914"/>
    <cellStyle name="20% - akcent 6 44 2 3" xfId="8624"/>
    <cellStyle name="20% - akcent 6 44 3" xfId="5278"/>
    <cellStyle name="20% - akcent 6 44 3 2" xfId="11913"/>
    <cellStyle name="20% - akcent 6 44 4" xfId="8623"/>
    <cellStyle name="20% - akcent 6 45" xfId="1433"/>
    <cellStyle name="20% - akcent 6 45 2" xfId="1434"/>
    <cellStyle name="20% - akcent 6 45 2 2" xfId="5281"/>
    <cellStyle name="20% - akcent 6 45 2 2 2" xfId="11916"/>
    <cellStyle name="20% - akcent 6 45 2 3" xfId="8626"/>
    <cellStyle name="20% - akcent 6 45 3" xfId="5280"/>
    <cellStyle name="20% - akcent 6 45 3 2" xfId="11915"/>
    <cellStyle name="20% - akcent 6 45 4" xfId="8625"/>
    <cellStyle name="20% - akcent 6 46" xfId="1435"/>
    <cellStyle name="20% - akcent 6 46 2" xfId="1436"/>
    <cellStyle name="20% - akcent 6 46 2 2" xfId="5283"/>
    <cellStyle name="20% - akcent 6 46 2 2 2" xfId="11918"/>
    <cellStyle name="20% - akcent 6 46 2 3" xfId="8628"/>
    <cellStyle name="20% - akcent 6 46 3" xfId="5282"/>
    <cellStyle name="20% - akcent 6 46 3 2" xfId="11917"/>
    <cellStyle name="20% - akcent 6 46 4" xfId="8627"/>
    <cellStyle name="20% - akcent 6 47" xfId="1437"/>
    <cellStyle name="20% - akcent 6 47 2" xfId="1438"/>
    <cellStyle name="20% - akcent 6 47 2 2" xfId="5285"/>
    <cellStyle name="20% - akcent 6 47 2 2 2" xfId="11920"/>
    <cellStyle name="20% - akcent 6 47 2 3" xfId="8630"/>
    <cellStyle name="20% - akcent 6 47 3" xfId="5284"/>
    <cellStyle name="20% - akcent 6 47 3 2" xfId="11919"/>
    <cellStyle name="20% - akcent 6 47 4" xfId="8629"/>
    <cellStyle name="20% - akcent 6 48" xfId="1439"/>
    <cellStyle name="20% - akcent 6 48 2" xfId="1440"/>
    <cellStyle name="20% - akcent 6 48 2 2" xfId="5287"/>
    <cellStyle name="20% - akcent 6 48 2 2 2" xfId="11922"/>
    <cellStyle name="20% - akcent 6 48 2 3" xfId="8632"/>
    <cellStyle name="20% - akcent 6 48 3" xfId="5286"/>
    <cellStyle name="20% - akcent 6 48 3 2" xfId="11921"/>
    <cellStyle name="20% - akcent 6 48 4" xfId="8631"/>
    <cellStyle name="20% - akcent 6 49" xfId="1441"/>
    <cellStyle name="20% - akcent 6 49 2" xfId="1442"/>
    <cellStyle name="20% - akcent 6 49 2 2" xfId="5289"/>
    <cellStyle name="20% - akcent 6 49 2 2 2" xfId="11924"/>
    <cellStyle name="20% - akcent 6 49 2 3" xfId="8634"/>
    <cellStyle name="20% - akcent 6 49 3" xfId="5288"/>
    <cellStyle name="20% - akcent 6 49 3 2" xfId="11923"/>
    <cellStyle name="20% - akcent 6 49 4" xfId="8633"/>
    <cellStyle name="20% - akcent 6 5" xfId="1443"/>
    <cellStyle name="20% - akcent 6 5 2" xfId="1444"/>
    <cellStyle name="20% - akcent 6 5 2 2" xfId="5291"/>
    <cellStyle name="20% - akcent 6 5 2 2 2" xfId="11926"/>
    <cellStyle name="20% - akcent 6 5 2 3" xfId="8636"/>
    <cellStyle name="20% - akcent 6 5 3" xfId="5290"/>
    <cellStyle name="20% - akcent 6 5 3 2" xfId="11925"/>
    <cellStyle name="20% - akcent 6 5 4" xfId="8635"/>
    <cellStyle name="20% - akcent 6 50" xfId="1445"/>
    <cellStyle name="20% - akcent 6 50 2" xfId="1446"/>
    <cellStyle name="20% - akcent 6 50 2 2" xfId="5293"/>
    <cellStyle name="20% - akcent 6 50 2 2 2" xfId="11928"/>
    <cellStyle name="20% - akcent 6 50 2 3" xfId="8638"/>
    <cellStyle name="20% - akcent 6 50 3" xfId="5292"/>
    <cellStyle name="20% - akcent 6 50 3 2" xfId="11927"/>
    <cellStyle name="20% - akcent 6 50 4" xfId="8637"/>
    <cellStyle name="20% - akcent 6 51" xfId="1447"/>
    <cellStyle name="20% - akcent 6 51 2" xfId="1448"/>
    <cellStyle name="20% - akcent 6 51 2 2" xfId="5295"/>
    <cellStyle name="20% - akcent 6 51 2 2 2" xfId="11930"/>
    <cellStyle name="20% - akcent 6 51 2 3" xfId="8640"/>
    <cellStyle name="20% - akcent 6 51 3" xfId="5294"/>
    <cellStyle name="20% - akcent 6 51 3 2" xfId="11929"/>
    <cellStyle name="20% - akcent 6 51 4" xfId="8639"/>
    <cellStyle name="20% - akcent 6 52" xfId="1449"/>
    <cellStyle name="20% - akcent 6 52 2" xfId="1450"/>
    <cellStyle name="20% - akcent 6 52 2 2" xfId="5297"/>
    <cellStyle name="20% - akcent 6 52 2 2 2" xfId="11932"/>
    <cellStyle name="20% - akcent 6 52 2 3" xfId="8642"/>
    <cellStyle name="20% - akcent 6 52 3" xfId="5296"/>
    <cellStyle name="20% - akcent 6 52 3 2" xfId="11931"/>
    <cellStyle name="20% - akcent 6 52 4" xfId="8641"/>
    <cellStyle name="20% - akcent 6 53" xfId="1451"/>
    <cellStyle name="20% - akcent 6 53 2" xfId="1452"/>
    <cellStyle name="20% - akcent 6 53 2 2" xfId="5299"/>
    <cellStyle name="20% - akcent 6 53 2 2 2" xfId="11934"/>
    <cellStyle name="20% - akcent 6 53 2 3" xfId="8644"/>
    <cellStyle name="20% - akcent 6 53 3" xfId="5298"/>
    <cellStyle name="20% - akcent 6 53 3 2" xfId="11933"/>
    <cellStyle name="20% - akcent 6 53 4" xfId="8643"/>
    <cellStyle name="20% - akcent 6 54" xfId="1453"/>
    <cellStyle name="20% - akcent 6 54 2" xfId="1454"/>
    <cellStyle name="20% - akcent 6 54 2 2" xfId="5301"/>
    <cellStyle name="20% - akcent 6 54 2 2 2" xfId="11936"/>
    <cellStyle name="20% - akcent 6 54 2 3" xfId="8646"/>
    <cellStyle name="20% - akcent 6 54 3" xfId="5300"/>
    <cellStyle name="20% - akcent 6 54 3 2" xfId="11935"/>
    <cellStyle name="20% - akcent 6 54 4" xfId="8645"/>
    <cellStyle name="20% - akcent 6 55" xfId="1455"/>
    <cellStyle name="20% - akcent 6 55 2" xfId="1456"/>
    <cellStyle name="20% - akcent 6 55 2 2" xfId="5303"/>
    <cellStyle name="20% - akcent 6 55 2 2 2" xfId="11938"/>
    <cellStyle name="20% - akcent 6 55 2 3" xfId="8648"/>
    <cellStyle name="20% - akcent 6 55 3" xfId="5302"/>
    <cellStyle name="20% - akcent 6 55 3 2" xfId="11937"/>
    <cellStyle name="20% - akcent 6 55 4" xfId="8647"/>
    <cellStyle name="20% - akcent 6 56" xfId="1457"/>
    <cellStyle name="20% - akcent 6 56 2" xfId="1458"/>
    <cellStyle name="20% - akcent 6 56 2 2" xfId="5305"/>
    <cellStyle name="20% - akcent 6 56 2 2 2" xfId="11940"/>
    <cellStyle name="20% - akcent 6 56 2 3" xfId="8650"/>
    <cellStyle name="20% - akcent 6 56 3" xfId="5304"/>
    <cellStyle name="20% - akcent 6 56 3 2" xfId="11939"/>
    <cellStyle name="20% - akcent 6 56 4" xfId="8649"/>
    <cellStyle name="20% - akcent 6 57" xfId="1459"/>
    <cellStyle name="20% - akcent 6 57 2" xfId="1460"/>
    <cellStyle name="20% - akcent 6 57 2 2" xfId="5307"/>
    <cellStyle name="20% - akcent 6 57 2 2 2" xfId="11942"/>
    <cellStyle name="20% - akcent 6 57 2 3" xfId="8652"/>
    <cellStyle name="20% - akcent 6 57 3" xfId="5306"/>
    <cellStyle name="20% - akcent 6 57 3 2" xfId="11941"/>
    <cellStyle name="20% - akcent 6 57 4" xfId="8651"/>
    <cellStyle name="20% - akcent 6 58" xfId="1461"/>
    <cellStyle name="20% - akcent 6 58 2" xfId="1462"/>
    <cellStyle name="20% - akcent 6 58 2 2" xfId="5309"/>
    <cellStyle name="20% - akcent 6 58 2 2 2" xfId="11944"/>
    <cellStyle name="20% - akcent 6 58 2 3" xfId="8654"/>
    <cellStyle name="20% - akcent 6 58 3" xfId="5308"/>
    <cellStyle name="20% - akcent 6 58 3 2" xfId="11943"/>
    <cellStyle name="20% - akcent 6 58 4" xfId="8653"/>
    <cellStyle name="20% - akcent 6 59" xfId="1463"/>
    <cellStyle name="20% - akcent 6 59 2" xfId="1464"/>
    <cellStyle name="20% - akcent 6 59 2 2" xfId="5311"/>
    <cellStyle name="20% - akcent 6 59 2 2 2" xfId="11946"/>
    <cellStyle name="20% - akcent 6 59 2 3" xfId="8656"/>
    <cellStyle name="20% - akcent 6 59 3" xfId="5310"/>
    <cellStyle name="20% - akcent 6 59 3 2" xfId="11945"/>
    <cellStyle name="20% - akcent 6 59 4" xfId="8655"/>
    <cellStyle name="20% - akcent 6 6" xfId="1465"/>
    <cellStyle name="20% - akcent 6 6 2" xfId="1466"/>
    <cellStyle name="20% - akcent 6 6 2 2" xfId="5313"/>
    <cellStyle name="20% - akcent 6 6 2 2 2" xfId="11948"/>
    <cellStyle name="20% - akcent 6 6 2 3" xfId="8658"/>
    <cellStyle name="20% - akcent 6 6 3" xfId="5312"/>
    <cellStyle name="20% - akcent 6 6 3 2" xfId="11947"/>
    <cellStyle name="20% - akcent 6 6 4" xfId="8657"/>
    <cellStyle name="20% - akcent 6 60" xfId="1467"/>
    <cellStyle name="20% - akcent 6 60 2" xfId="5314"/>
    <cellStyle name="20% - akcent 6 60 2 2" xfId="11949"/>
    <cellStyle name="20% - akcent 6 60 3" xfId="8659"/>
    <cellStyle name="20% - akcent 6 61" xfId="1468"/>
    <cellStyle name="20% - akcent 6 61 2" xfId="5315"/>
    <cellStyle name="20% - akcent 6 61 2 2" xfId="11950"/>
    <cellStyle name="20% - akcent 6 61 3" xfId="8660"/>
    <cellStyle name="20% - akcent 6 62" xfId="1469"/>
    <cellStyle name="20% - akcent 6 62 2" xfId="5316"/>
    <cellStyle name="20% - akcent 6 62 2 2" xfId="11951"/>
    <cellStyle name="20% - akcent 6 62 3" xfId="8661"/>
    <cellStyle name="20% - akcent 6 63" xfId="1470"/>
    <cellStyle name="20% - akcent 6 63 2" xfId="5317"/>
    <cellStyle name="20% - akcent 6 63 2 2" xfId="11952"/>
    <cellStyle name="20% - akcent 6 63 3" xfId="8662"/>
    <cellStyle name="20% - akcent 6 64" xfId="1471"/>
    <cellStyle name="20% - akcent 6 64 2" xfId="5318"/>
    <cellStyle name="20% - akcent 6 64 2 2" xfId="11953"/>
    <cellStyle name="20% - akcent 6 64 3" xfId="8663"/>
    <cellStyle name="20% - akcent 6 65" xfId="1472"/>
    <cellStyle name="20% - akcent 6 65 2" xfId="5319"/>
    <cellStyle name="20% - akcent 6 65 2 2" xfId="11954"/>
    <cellStyle name="20% - akcent 6 65 3" xfId="8664"/>
    <cellStyle name="20% - akcent 6 66" xfId="1473"/>
    <cellStyle name="20% - akcent 6 66 2" xfId="5320"/>
    <cellStyle name="20% - akcent 6 66 2 2" xfId="11955"/>
    <cellStyle name="20% - akcent 6 66 3" xfId="8665"/>
    <cellStyle name="20% - akcent 6 67" xfId="1474"/>
    <cellStyle name="20% - akcent 6 67 2" xfId="5321"/>
    <cellStyle name="20% - akcent 6 67 2 2" xfId="11956"/>
    <cellStyle name="20% - akcent 6 67 3" xfId="8666"/>
    <cellStyle name="20% - akcent 6 68" xfId="1475"/>
    <cellStyle name="20% - akcent 6 68 2" xfId="5322"/>
    <cellStyle name="20% - akcent 6 68 2 2" xfId="11957"/>
    <cellStyle name="20% - akcent 6 68 3" xfId="8667"/>
    <cellStyle name="20% - akcent 6 69" xfId="1476"/>
    <cellStyle name="20% - akcent 6 69 2" xfId="5323"/>
    <cellStyle name="20% - akcent 6 69 2 2" xfId="11958"/>
    <cellStyle name="20% - akcent 6 69 3" xfId="8668"/>
    <cellStyle name="20% - akcent 6 7" xfId="1477"/>
    <cellStyle name="20% - akcent 6 7 2" xfId="1478"/>
    <cellStyle name="20% - akcent 6 7 2 2" xfId="5325"/>
    <cellStyle name="20% - akcent 6 7 2 2 2" xfId="11960"/>
    <cellStyle name="20% - akcent 6 7 2 3" xfId="8670"/>
    <cellStyle name="20% - akcent 6 7 3" xfId="5324"/>
    <cellStyle name="20% - akcent 6 7 3 2" xfId="11959"/>
    <cellStyle name="20% - akcent 6 7 4" xfId="8669"/>
    <cellStyle name="20% - akcent 6 70" xfId="1479"/>
    <cellStyle name="20% - akcent 6 70 2" xfId="5326"/>
    <cellStyle name="20% - akcent 6 70 2 2" xfId="11961"/>
    <cellStyle name="20% - akcent 6 70 3" xfId="8671"/>
    <cellStyle name="20% - akcent 6 71" xfId="1480"/>
    <cellStyle name="20% - akcent 6 71 2" xfId="5327"/>
    <cellStyle name="20% - akcent 6 71 2 2" xfId="11962"/>
    <cellStyle name="20% - akcent 6 71 3" xfId="8672"/>
    <cellStyle name="20% - akcent 6 72" xfId="1481"/>
    <cellStyle name="20% - akcent 6 72 2" xfId="5328"/>
    <cellStyle name="20% - akcent 6 72 2 2" xfId="11963"/>
    <cellStyle name="20% - akcent 6 72 3" xfId="8673"/>
    <cellStyle name="20% - akcent 6 73" xfId="1482"/>
    <cellStyle name="20% - akcent 6 73 2" xfId="5329"/>
    <cellStyle name="20% - akcent 6 73 2 2" xfId="11964"/>
    <cellStyle name="20% - akcent 6 73 3" xfId="8674"/>
    <cellStyle name="20% - akcent 6 74" xfId="1483"/>
    <cellStyle name="20% - akcent 6 74 2" xfId="5330"/>
    <cellStyle name="20% - akcent 6 74 2 2" xfId="11965"/>
    <cellStyle name="20% - akcent 6 74 3" xfId="8675"/>
    <cellStyle name="20% - akcent 6 75" xfId="1484"/>
    <cellStyle name="20% - akcent 6 75 2" xfId="5331"/>
    <cellStyle name="20% - akcent 6 75 2 2" xfId="11966"/>
    <cellStyle name="20% - akcent 6 75 3" xfId="8676"/>
    <cellStyle name="20% - akcent 6 76" xfId="1485"/>
    <cellStyle name="20% - akcent 6 76 2" xfId="5332"/>
    <cellStyle name="20% - akcent 6 76 2 2" xfId="11967"/>
    <cellStyle name="20% - akcent 6 76 3" xfId="8677"/>
    <cellStyle name="20% - akcent 6 77" xfId="1486"/>
    <cellStyle name="20% - akcent 6 77 2" xfId="5333"/>
    <cellStyle name="20% - akcent 6 77 2 2" xfId="11968"/>
    <cellStyle name="20% - akcent 6 77 3" xfId="8678"/>
    <cellStyle name="20% - akcent 6 78" xfId="1487"/>
    <cellStyle name="20% - akcent 6 78 2" xfId="5334"/>
    <cellStyle name="20% - akcent 6 78 2 2" xfId="11969"/>
    <cellStyle name="20% - akcent 6 78 3" xfId="8679"/>
    <cellStyle name="20% - akcent 6 79" xfId="1488"/>
    <cellStyle name="20% - akcent 6 79 2" xfId="5335"/>
    <cellStyle name="20% - akcent 6 79 2 2" xfId="11970"/>
    <cellStyle name="20% - akcent 6 79 3" xfId="8680"/>
    <cellStyle name="20% - akcent 6 8" xfId="1489"/>
    <cellStyle name="20% - akcent 6 8 2" xfId="1490"/>
    <cellStyle name="20% - akcent 6 8 2 2" xfId="5337"/>
    <cellStyle name="20% - akcent 6 8 2 2 2" xfId="11972"/>
    <cellStyle name="20% - akcent 6 8 2 3" xfId="8682"/>
    <cellStyle name="20% - akcent 6 8 3" xfId="5336"/>
    <cellStyle name="20% - akcent 6 8 3 2" xfId="11971"/>
    <cellStyle name="20% - akcent 6 8 4" xfId="8681"/>
    <cellStyle name="20% - akcent 6 80" xfId="1491"/>
    <cellStyle name="20% - akcent 6 80 2" xfId="5338"/>
    <cellStyle name="20% - akcent 6 80 2 2" xfId="11973"/>
    <cellStyle name="20% - akcent 6 80 3" xfId="8683"/>
    <cellStyle name="20% - akcent 6 81" xfId="1492"/>
    <cellStyle name="20% - akcent 6 81 2" xfId="5339"/>
    <cellStyle name="20% - akcent 6 81 2 2" xfId="11974"/>
    <cellStyle name="20% - akcent 6 81 3" xfId="8684"/>
    <cellStyle name="20% - akcent 6 82" xfId="1493"/>
    <cellStyle name="20% - akcent 6 82 2" xfId="5340"/>
    <cellStyle name="20% - akcent 6 82 2 2" xfId="11975"/>
    <cellStyle name="20% - akcent 6 82 3" xfId="8685"/>
    <cellStyle name="20% - akcent 6 83" xfId="1494"/>
    <cellStyle name="20% - akcent 6 83 2" xfId="5341"/>
    <cellStyle name="20% - akcent 6 83 2 2" xfId="11976"/>
    <cellStyle name="20% - akcent 6 83 3" xfId="8686"/>
    <cellStyle name="20% - akcent 6 84" xfId="1495"/>
    <cellStyle name="20% - akcent 6 84 2" xfId="5342"/>
    <cellStyle name="20% - akcent 6 84 2 2" xfId="11977"/>
    <cellStyle name="20% - akcent 6 84 3" xfId="8687"/>
    <cellStyle name="20% - akcent 6 85" xfId="1496"/>
    <cellStyle name="20% - akcent 6 85 2" xfId="5343"/>
    <cellStyle name="20% - akcent 6 85 2 2" xfId="11978"/>
    <cellStyle name="20% - akcent 6 85 3" xfId="8688"/>
    <cellStyle name="20% - akcent 6 86" xfId="1497"/>
    <cellStyle name="20% - akcent 6 86 2" xfId="5344"/>
    <cellStyle name="20% - akcent 6 86 2 2" xfId="11979"/>
    <cellStyle name="20% - akcent 6 86 3" xfId="8689"/>
    <cellStyle name="20% - akcent 6 87" xfId="1498"/>
    <cellStyle name="20% - akcent 6 87 2" xfId="5345"/>
    <cellStyle name="20% - akcent 6 87 2 2" xfId="11980"/>
    <cellStyle name="20% - akcent 6 87 3" xfId="8690"/>
    <cellStyle name="20% - akcent 6 88" xfId="1499"/>
    <cellStyle name="20% - akcent 6 88 2" xfId="5346"/>
    <cellStyle name="20% - akcent 6 88 2 2" xfId="11981"/>
    <cellStyle name="20% - akcent 6 88 3" xfId="8691"/>
    <cellStyle name="20% - akcent 6 89" xfId="1500"/>
    <cellStyle name="20% - akcent 6 89 2" xfId="5347"/>
    <cellStyle name="20% - akcent 6 89 2 2" xfId="11982"/>
    <cellStyle name="20% - akcent 6 89 3" xfId="8692"/>
    <cellStyle name="20% - akcent 6 9" xfId="1501"/>
    <cellStyle name="20% - akcent 6 9 2" xfId="1502"/>
    <cellStyle name="20% - akcent 6 9 2 2" xfId="5349"/>
    <cellStyle name="20% - akcent 6 9 2 2 2" xfId="11984"/>
    <cellStyle name="20% - akcent 6 9 2 3" xfId="8694"/>
    <cellStyle name="20% - akcent 6 9 3" xfId="5348"/>
    <cellStyle name="20% - akcent 6 9 3 2" xfId="11983"/>
    <cellStyle name="20% - akcent 6 9 4" xfId="8693"/>
    <cellStyle name="20% - akcent 6 90" xfId="1503"/>
    <cellStyle name="20% - akcent 6 90 2" xfId="5350"/>
    <cellStyle name="20% - akcent 6 90 2 2" xfId="11985"/>
    <cellStyle name="20% - akcent 6 90 3" xfId="8695"/>
    <cellStyle name="20% - akcent 6 91" xfId="1504"/>
    <cellStyle name="20% - akcent 6 91 2" xfId="5351"/>
    <cellStyle name="20% - akcent 6 91 2 2" xfId="11986"/>
    <cellStyle name="20% - akcent 6 91 3" xfId="8696"/>
    <cellStyle name="20% - akcent 6 92" xfId="1505"/>
    <cellStyle name="20% - akcent 6 92 2" xfId="5352"/>
    <cellStyle name="20% - akcent 6 92 2 2" xfId="11987"/>
    <cellStyle name="20% - akcent 6 92 3" xfId="8697"/>
    <cellStyle name="20% - akcent 6 93" xfId="1506"/>
    <cellStyle name="20% - akcent 6 93 2" xfId="5353"/>
    <cellStyle name="20% - akcent 6 93 2 2" xfId="11988"/>
    <cellStyle name="20% - akcent 6 93 3" xfId="8698"/>
    <cellStyle name="20% - akcent 6 94" xfId="1507"/>
    <cellStyle name="20% - akcent 6 94 2" xfId="5354"/>
    <cellStyle name="20% - akcent 6 94 2 2" xfId="11989"/>
    <cellStyle name="20% - akcent 6 94 3" xfId="8699"/>
    <cellStyle name="20% - akcent 6 95" xfId="1508"/>
    <cellStyle name="20% - akcent 6 95 2" xfId="5355"/>
    <cellStyle name="20% - akcent 6 95 2 2" xfId="11990"/>
    <cellStyle name="20% - akcent 6 95 3" xfId="8700"/>
    <cellStyle name="20% - akcent 6 96" xfId="1509"/>
    <cellStyle name="20% - akcent 6 96 2" xfId="5356"/>
    <cellStyle name="20% - akcent 6 96 2 2" xfId="11991"/>
    <cellStyle name="20% - akcent 6 96 3" xfId="8701"/>
    <cellStyle name="20% - akcent 6 97" xfId="1510"/>
    <cellStyle name="20% - akcent 6 97 2" xfId="5357"/>
    <cellStyle name="20% - akcent 6 97 2 2" xfId="11992"/>
    <cellStyle name="20% - akcent 6 97 3" xfId="8702"/>
    <cellStyle name="20% - akcent 6 98" xfId="1511"/>
    <cellStyle name="20% - akcent 6 98 2" xfId="5358"/>
    <cellStyle name="20% - akcent 6 98 2 2" xfId="11993"/>
    <cellStyle name="20% - akcent 6 98 3" xfId="8703"/>
    <cellStyle name="20% - akcent 6 99" xfId="1512"/>
    <cellStyle name="20% - akcent 6 99 2" xfId="5359"/>
    <cellStyle name="20% - akcent 6 99 2 2" xfId="11994"/>
    <cellStyle name="20% - akcent 6 99 3" xfId="8704"/>
    <cellStyle name="40% - akcent 1" xfId="1513" builtinId="31" customBuiltin="1"/>
    <cellStyle name="40% - akcent 1 10" xfId="1514"/>
    <cellStyle name="40% - akcent 1 10 2" xfId="1515"/>
    <cellStyle name="40% - akcent 1 10 2 2" xfId="5361"/>
    <cellStyle name="40% - akcent 1 10 2 2 2" xfId="11996"/>
    <cellStyle name="40% - akcent 1 10 2 3" xfId="8706"/>
    <cellStyle name="40% - akcent 1 10 3" xfId="5360"/>
    <cellStyle name="40% - akcent 1 10 3 2" xfId="11995"/>
    <cellStyle name="40% - akcent 1 10 4" xfId="8705"/>
    <cellStyle name="40% - akcent 1 100" xfId="1516"/>
    <cellStyle name="40% - akcent 1 100 2" xfId="5362"/>
    <cellStyle name="40% - akcent 1 100 2 2" xfId="11997"/>
    <cellStyle name="40% - akcent 1 100 3" xfId="8707"/>
    <cellStyle name="40% - akcent 1 101" xfId="1517"/>
    <cellStyle name="40% - akcent 1 101 2" xfId="5363"/>
    <cellStyle name="40% - akcent 1 101 2 2" xfId="11998"/>
    <cellStyle name="40% - akcent 1 101 3" xfId="8708"/>
    <cellStyle name="40% - akcent 1 102" xfId="1518"/>
    <cellStyle name="40% - akcent 1 102 2" xfId="5364"/>
    <cellStyle name="40% - akcent 1 102 2 2" xfId="11999"/>
    <cellStyle name="40% - akcent 1 102 3" xfId="8709"/>
    <cellStyle name="40% - akcent 1 103" xfId="1519"/>
    <cellStyle name="40% - akcent 1 103 2" xfId="5365"/>
    <cellStyle name="40% - akcent 1 103 2 2" xfId="12000"/>
    <cellStyle name="40% - akcent 1 103 3" xfId="8710"/>
    <cellStyle name="40% - akcent 1 104" xfId="1520"/>
    <cellStyle name="40% - akcent 1 104 2" xfId="5366"/>
    <cellStyle name="40% - akcent 1 104 2 2" xfId="12001"/>
    <cellStyle name="40% - akcent 1 104 3" xfId="8711"/>
    <cellStyle name="40% - akcent 1 105" xfId="1521"/>
    <cellStyle name="40% - akcent 1 105 2" xfId="5367"/>
    <cellStyle name="40% - akcent 1 105 2 2" xfId="12002"/>
    <cellStyle name="40% - akcent 1 105 3" xfId="8712"/>
    <cellStyle name="40% - akcent 1 106" xfId="1522"/>
    <cellStyle name="40% - akcent 1 106 2" xfId="5368"/>
    <cellStyle name="40% - akcent 1 106 2 2" xfId="12003"/>
    <cellStyle name="40% - akcent 1 106 3" xfId="8713"/>
    <cellStyle name="40% - akcent 1 107" xfId="1523"/>
    <cellStyle name="40% - akcent 1 107 2" xfId="5369"/>
    <cellStyle name="40% - akcent 1 107 2 2" xfId="12004"/>
    <cellStyle name="40% - akcent 1 107 3" xfId="8714"/>
    <cellStyle name="40% - akcent 1 108" xfId="1524"/>
    <cellStyle name="40% - akcent 1 108 2" xfId="5370"/>
    <cellStyle name="40% - akcent 1 108 2 2" xfId="12005"/>
    <cellStyle name="40% - akcent 1 108 3" xfId="8715"/>
    <cellStyle name="40% - akcent 1 109" xfId="1525"/>
    <cellStyle name="40% - akcent 1 109 2" xfId="5371"/>
    <cellStyle name="40% - akcent 1 109 2 2" xfId="12006"/>
    <cellStyle name="40% - akcent 1 109 3" xfId="8716"/>
    <cellStyle name="40% - akcent 1 11" xfId="1526"/>
    <cellStyle name="40% - akcent 1 11 2" xfId="1527"/>
    <cellStyle name="40% - akcent 1 11 2 2" xfId="5373"/>
    <cellStyle name="40% - akcent 1 11 2 2 2" xfId="12008"/>
    <cellStyle name="40% - akcent 1 11 2 3" xfId="8718"/>
    <cellStyle name="40% - akcent 1 11 3" xfId="5372"/>
    <cellStyle name="40% - akcent 1 11 3 2" xfId="12007"/>
    <cellStyle name="40% - akcent 1 11 4" xfId="8717"/>
    <cellStyle name="40% - akcent 1 110" xfId="1528"/>
    <cellStyle name="40% - akcent 1 110 2" xfId="5374"/>
    <cellStyle name="40% - akcent 1 110 2 2" xfId="12009"/>
    <cellStyle name="40% - akcent 1 110 3" xfId="8719"/>
    <cellStyle name="40% - akcent 1 111" xfId="1529"/>
    <cellStyle name="40% - akcent 1 111 2" xfId="5375"/>
    <cellStyle name="40% - akcent 1 111 2 2" xfId="12010"/>
    <cellStyle name="40% - akcent 1 111 3" xfId="8720"/>
    <cellStyle name="40% - akcent 1 112" xfId="1530"/>
    <cellStyle name="40% - akcent 1 112 2" xfId="5376"/>
    <cellStyle name="40% - akcent 1 112 2 2" xfId="12011"/>
    <cellStyle name="40% - akcent 1 112 3" xfId="8721"/>
    <cellStyle name="40% - akcent 1 113" xfId="1531"/>
    <cellStyle name="40% - akcent 1 113 2" xfId="5377"/>
    <cellStyle name="40% - akcent 1 113 2 2" xfId="12012"/>
    <cellStyle name="40% - akcent 1 113 3" xfId="8722"/>
    <cellStyle name="40% - akcent 1 114" xfId="1532"/>
    <cellStyle name="40% - akcent 1 114 2" xfId="5378"/>
    <cellStyle name="40% - akcent 1 114 2 2" xfId="12013"/>
    <cellStyle name="40% - akcent 1 114 3" xfId="8723"/>
    <cellStyle name="40% - akcent 1 115" xfId="1533"/>
    <cellStyle name="40% - akcent 1 115 2" xfId="5379"/>
    <cellStyle name="40% - akcent 1 115 2 2" xfId="12014"/>
    <cellStyle name="40% - akcent 1 115 3" xfId="8724"/>
    <cellStyle name="40% - akcent 1 116" xfId="1534"/>
    <cellStyle name="40% - akcent 1 116 2" xfId="5380"/>
    <cellStyle name="40% - akcent 1 116 2 2" xfId="12015"/>
    <cellStyle name="40% - akcent 1 116 3" xfId="8725"/>
    <cellStyle name="40% - akcent 1 117" xfId="1535"/>
    <cellStyle name="40% - akcent 1 117 2" xfId="5381"/>
    <cellStyle name="40% - akcent 1 117 2 2" xfId="12016"/>
    <cellStyle name="40% - akcent 1 117 3" xfId="8726"/>
    <cellStyle name="40% - akcent 1 118" xfId="1536"/>
    <cellStyle name="40% - akcent 1 118 2" xfId="5382"/>
    <cellStyle name="40% - akcent 1 118 2 2" xfId="12017"/>
    <cellStyle name="40% - akcent 1 118 3" xfId="8727"/>
    <cellStyle name="40% - akcent 1 119" xfId="1537"/>
    <cellStyle name="40% - akcent 1 119 2" xfId="5383"/>
    <cellStyle name="40% - akcent 1 119 2 2" xfId="12018"/>
    <cellStyle name="40% - akcent 1 119 3" xfId="8728"/>
    <cellStyle name="40% - akcent 1 12" xfId="1538"/>
    <cellStyle name="40% - akcent 1 12 2" xfId="1539"/>
    <cellStyle name="40% - akcent 1 12 2 2" xfId="5385"/>
    <cellStyle name="40% - akcent 1 12 2 2 2" xfId="12020"/>
    <cellStyle name="40% - akcent 1 12 2 3" xfId="8730"/>
    <cellStyle name="40% - akcent 1 12 3" xfId="5384"/>
    <cellStyle name="40% - akcent 1 12 3 2" xfId="12019"/>
    <cellStyle name="40% - akcent 1 12 4" xfId="8729"/>
    <cellStyle name="40% - akcent 1 120" xfId="1540"/>
    <cellStyle name="40% - akcent 1 120 2" xfId="5386"/>
    <cellStyle name="40% - akcent 1 120 2 2" xfId="12021"/>
    <cellStyle name="40% - akcent 1 120 3" xfId="8731"/>
    <cellStyle name="40% - akcent 1 121" xfId="1541"/>
    <cellStyle name="40% - akcent 1 121 2" xfId="5387"/>
    <cellStyle name="40% - akcent 1 121 2 2" xfId="12022"/>
    <cellStyle name="40% - akcent 1 121 3" xfId="8732"/>
    <cellStyle name="40% - akcent 1 122" xfId="1542"/>
    <cellStyle name="40% - akcent 1 122 2" xfId="5388"/>
    <cellStyle name="40% - akcent 1 122 2 2" xfId="12023"/>
    <cellStyle name="40% - akcent 1 122 3" xfId="8733"/>
    <cellStyle name="40% - akcent 1 123" xfId="1543"/>
    <cellStyle name="40% - akcent 1 123 2" xfId="5389"/>
    <cellStyle name="40% - akcent 1 123 2 2" xfId="12024"/>
    <cellStyle name="40% - akcent 1 123 3" xfId="8734"/>
    <cellStyle name="40% - akcent 1 124" xfId="1544"/>
    <cellStyle name="40% - akcent 1 124 2" xfId="5390"/>
    <cellStyle name="40% - akcent 1 124 2 2" xfId="12025"/>
    <cellStyle name="40% - akcent 1 124 3" xfId="8735"/>
    <cellStyle name="40% - akcent 1 125" xfId="1545"/>
    <cellStyle name="40% - akcent 1 125 2" xfId="5391"/>
    <cellStyle name="40% - akcent 1 125 2 2" xfId="12026"/>
    <cellStyle name="40% - akcent 1 125 3" xfId="8736"/>
    <cellStyle name="40% - akcent 1 126" xfId="1546"/>
    <cellStyle name="40% - akcent 1 126 2" xfId="5392"/>
    <cellStyle name="40% - akcent 1 126 2 2" xfId="12027"/>
    <cellStyle name="40% - akcent 1 126 3" xfId="8737"/>
    <cellStyle name="40% - akcent 1 127" xfId="1547"/>
    <cellStyle name="40% - akcent 1 127 2" xfId="5393"/>
    <cellStyle name="40% - akcent 1 127 2 2" xfId="12028"/>
    <cellStyle name="40% - akcent 1 127 3" xfId="8738"/>
    <cellStyle name="40% - akcent 1 128" xfId="1548"/>
    <cellStyle name="40% - akcent 1 128 2" xfId="5394"/>
    <cellStyle name="40% - akcent 1 128 2 2" xfId="12029"/>
    <cellStyle name="40% - akcent 1 128 3" xfId="8739"/>
    <cellStyle name="40% - akcent 1 129" xfId="1549"/>
    <cellStyle name="40% - akcent 1 129 2" xfId="5395"/>
    <cellStyle name="40% - akcent 1 129 2 2" xfId="12030"/>
    <cellStyle name="40% - akcent 1 129 3" xfId="8740"/>
    <cellStyle name="40% - akcent 1 13" xfId="1550"/>
    <cellStyle name="40% - akcent 1 13 2" xfId="1551"/>
    <cellStyle name="40% - akcent 1 13 2 2" xfId="5397"/>
    <cellStyle name="40% - akcent 1 13 2 2 2" xfId="12032"/>
    <cellStyle name="40% - akcent 1 13 2 3" xfId="8742"/>
    <cellStyle name="40% - akcent 1 13 3" xfId="5396"/>
    <cellStyle name="40% - akcent 1 13 3 2" xfId="12031"/>
    <cellStyle name="40% - akcent 1 13 4" xfId="8741"/>
    <cellStyle name="40% - akcent 1 130" xfId="1552"/>
    <cellStyle name="40% - akcent 1 130 2" xfId="5398"/>
    <cellStyle name="40% - akcent 1 130 2 2" xfId="12033"/>
    <cellStyle name="40% - akcent 1 130 3" xfId="8743"/>
    <cellStyle name="40% - akcent 1 131" xfId="1553"/>
    <cellStyle name="40% - akcent 1 131 2" xfId="5399"/>
    <cellStyle name="40% - akcent 1 131 2 2" xfId="12034"/>
    <cellStyle name="40% - akcent 1 131 3" xfId="8744"/>
    <cellStyle name="40% - akcent 1 132" xfId="1554"/>
    <cellStyle name="40% - akcent 1 132 2" xfId="5400"/>
    <cellStyle name="40% - akcent 1 132 2 2" xfId="12035"/>
    <cellStyle name="40% - akcent 1 132 3" xfId="8745"/>
    <cellStyle name="40% - akcent 1 133" xfId="1555"/>
    <cellStyle name="40% - akcent 1 133 2" xfId="5401"/>
    <cellStyle name="40% - akcent 1 133 2 2" xfId="12036"/>
    <cellStyle name="40% - akcent 1 133 3" xfId="8746"/>
    <cellStyle name="40% - akcent 1 134" xfId="1556"/>
    <cellStyle name="40% - akcent 1 134 2" xfId="5402"/>
    <cellStyle name="40% - akcent 1 134 2 2" xfId="12037"/>
    <cellStyle name="40% - akcent 1 134 3" xfId="8747"/>
    <cellStyle name="40% - akcent 1 135" xfId="1557"/>
    <cellStyle name="40% - akcent 1 135 2" xfId="5403"/>
    <cellStyle name="40% - akcent 1 135 2 2" xfId="12038"/>
    <cellStyle name="40% - akcent 1 135 3" xfId="8748"/>
    <cellStyle name="40% - akcent 1 136" xfId="1558"/>
    <cellStyle name="40% - akcent 1 136 2" xfId="5404"/>
    <cellStyle name="40% - akcent 1 136 2 2" xfId="12039"/>
    <cellStyle name="40% - akcent 1 136 3" xfId="8749"/>
    <cellStyle name="40% - akcent 1 137" xfId="1559"/>
    <cellStyle name="40% - akcent 1 137 2" xfId="5405"/>
    <cellStyle name="40% - akcent 1 137 2 2" xfId="12040"/>
    <cellStyle name="40% - akcent 1 137 3" xfId="8750"/>
    <cellStyle name="40% - akcent 1 138" xfId="1560"/>
    <cellStyle name="40% - akcent 1 138 2" xfId="5406"/>
    <cellStyle name="40% - akcent 1 138 2 2" xfId="12041"/>
    <cellStyle name="40% - akcent 1 138 3" xfId="8751"/>
    <cellStyle name="40% - akcent 1 139" xfId="1561"/>
    <cellStyle name="40% - akcent 1 139 2" xfId="5407"/>
    <cellStyle name="40% - akcent 1 139 2 2" xfId="12042"/>
    <cellStyle name="40% - akcent 1 139 3" xfId="8752"/>
    <cellStyle name="40% - akcent 1 14" xfId="1562"/>
    <cellStyle name="40% - akcent 1 14 2" xfId="1563"/>
    <cellStyle name="40% - akcent 1 14 2 2" xfId="5409"/>
    <cellStyle name="40% - akcent 1 14 2 2 2" xfId="12044"/>
    <cellStyle name="40% - akcent 1 14 2 3" xfId="8754"/>
    <cellStyle name="40% - akcent 1 14 3" xfId="5408"/>
    <cellStyle name="40% - akcent 1 14 3 2" xfId="12043"/>
    <cellStyle name="40% - akcent 1 14 4" xfId="8753"/>
    <cellStyle name="40% - akcent 1 140" xfId="1564"/>
    <cellStyle name="40% - akcent 1 140 2" xfId="5410"/>
    <cellStyle name="40% - akcent 1 140 2 2" xfId="12045"/>
    <cellStyle name="40% - akcent 1 140 3" xfId="8755"/>
    <cellStyle name="40% - akcent 1 141" xfId="1565"/>
    <cellStyle name="40% - akcent 1 141 2" xfId="5411"/>
    <cellStyle name="40% - akcent 1 141 2 2" xfId="12046"/>
    <cellStyle name="40% - akcent 1 141 3" xfId="8756"/>
    <cellStyle name="40% - akcent 1 142" xfId="1566"/>
    <cellStyle name="40% - akcent 1 142 2" xfId="5412"/>
    <cellStyle name="40% - akcent 1 142 2 2" xfId="12047"/>
    <cellStyle name="40% - akcent 1 142 3" xfId="8757"/>
    <cellStyle name="40% - akcent 1 143" xfId="1567"/>
    <cellStyle name="40% - akcent 1 143 2" xfId="5413"/>
    <cellStyle name="40% - akcent 1 143 2 2" xfId="12048"/>
    <cellStyle name="40% - akcent 1 143 3" xfId="8758"/>
    <cellStyle name="40% - akcent 1 144" xfId="1568"/>
    <cellStyle name="40% - akcent 1 144 2" xfId="5414"/>
    <cellStyle name="40% - akcent 1 144 2 2" xfId="12049"/>
    <cellStyle name="40% - akcent 1 144 3" xfId="8759"/>
    <cellStyle name="40% - akcent 1 145" xfId="1569"/>
    <cellStyle name="40% - akcent 1 145 2" xfId="5415"/>
    <cellStyle name="40% - akcent 1 145 2 2" xfId="12050"/>
    <cellStyle name="40% - akcent 1 145 3" xfId="8760"/>
    <cellStyle name="40% - akcent 1 146" xfId="1570"/>
    <cellStyle name="40% - akcent 1 146 2" xfId="5416"/>
    <cellStyle name="40% - akcent 1 146 2 2" xfId="12051"/>
    <cellStyle name="40% - akcent 1 146 3" xfId="8761"/>
    <cellStyle name="40% - akcent 1 147" xfId="1571"/>
    <cellStyle name="40% - akcent 1 147 2" xfId="5417"/>
    <cellStyle name="40% - akcent 1 147 2 2" xfId="12052"/>
    <cellStyle name="40% - akcent 1 147 3" xfId="8762"/>
    <cellStyle name="40% - akcent 1 148" xfId="1572"/>
    <cellStyle name="40% - akcent 1 148 2" xfId="5418"/>
    <cellStyle name="40% - akcent 1 148 2 2" xfId="12053"/>
    <cellStyle name="40% - akcent 1 148 3" xfId="8763"/>
    <cellStyle name="40% - akcent 1 149" xfId="1573"/>
    <cellStyle name="40% - akcent 1 149 2" xfId="5419"/>
    <cellStyle name="40% - akcent 1 149 2 2" xfId="12054"/>
    <cellStyle name="40% - akcent 1 149 3" xfId="8764"/>
    <cellStyle name="40% - akcent 1 15" xfId="1574"/>
    <cellStyle name="40% - akcent 1 15 2" xfId="1575"/>
    <cellStyle name="40% - akcent 1 15 2 2" xfId="5421"/>
    <cellStyle name="40% - akcent 1 15 2 2 2" xfId="12056"/>
    <cellStyle name="40% - akcent 1 15 2 3" xfId="8766"/>
    <cellStyle name="40% - akcent 1 15 3" xfId="5420"/>
    <cellStyle name="40% - akcent 1 15 3 2" xfId="12055"/>
    <cellStyle name="40% - akcent 1 15 4" xfId="8765"/>
    <cellStyle name="40% - akcent 1 150" xfId="1576"/>
    <cellStyle name="40% - akcent 1 150 2" xfId="5422"/>
    <cellStyle name="40% - akcent 1 150 2 2" xfId="12057"/>
    <cellStyle name="40% - akcent 1 150 3" xfId="8767"/>
    <cellStyle name="40% - akcent 1 151" xfId="1577"/>
    <cellStyle name="40% - akcent 1 151 2" xfId="5423"/>
    <cellStyle name="40% - akcent 1 151 2 2" xfId="12058"/>
    <cellStyle name="40% - akcent 1 151 3" xfId="8768"/>
    <cellStyle name="40% - akcent 1 152" xfId="1578"/>
    <cellStyle name="40% - akcent 1 152 2" xfId="5424"/>
    <cellStyle name="40% - akcent 1 152 2 2" xfId="12059"/>
    <cellStyle name="40% - akcent 1 152 3" xfId="8769"/>
    <cellStyle name="40% - akcent 1 153" xfId="1579"/>
    <cellStyle name="40% - akcent 1 153 2" xfId="5425"/>
    <cellStyle name="40% - akcent 1 153 2 2" xfId="12060"/>
    <cellStyle name="40% - akcent 1 153 3" xfId="8770"/>
    <cellStyle name="40% - akcent 1 154" xfId="1580"/>
    <cellStyle name="40% - akcent 1 154 2" xfId="5426"/>
    <cellStyle name="40% - akcent 1 154 2 2" xfId="12061"/>
    <cellStyle name="40% - akcent 1 154 3" xfId="8771"/>
    <cellStyle name="40% - akcent 1 155" xfId="1581"/>
    <cellStyle name="40% - akcent 1 155 2" xfId="5427"/>
    <cellStyle name="40% - akcent 1 155 2 2" xfId="12062"/>
    <cellStyle name="40% - akcent 1 155 3" xfId="8772"/>
    <cellStyle name="40% - akcent 1 156" xfId="1582"/>
    <cellStyle name="40% - akcent 1 156 2" xfId="5428"/>
    <cellStyle name="40% - akcent 1 156 2 2" xfId="12063"/>
    <cellStyle name="40% - akcent 1 156 3" xfId="8773"/>
    <cellStyle name="40% - akcent 1 157" xfId="1583"/>
    <cellStyle name="40% - akcent 1 157 2" xfId="5429"/>
    <cellStyle name="40% - akcent 1 157 2 2" xfId="12064"/>
    <cellStyle name="40% - akcent 1 157 3" xfId="8774"/>
    <cellStyle name="40% - akcent 1 158" xfId="1584"/>
    <cellStyle name="40% - akcent 1 158 2" xfId="5430"/>
    <cellStyle name="40% - akcent 1 158 2 2" xfId="12065"/>
    <cellStyle name="40% - akcent 1 158 3" xfId="8775"/>
    <cellStyle name="40% - akcent 1 159" xfId="1585"/>
    <cellStyle name="40% - akcent 1 159 2" xfId="5431"/>
    <cellStyle name="40% - akcent 1 159 2 2" xfId="12066"/>
    <cellStyle name="40% - akcent 1 159 3" xfId="8776"/>
    <cellStyle name="40% - akcent 1 16" xfId="1586"/>
    <cellStyle name="40% - akcent 1 16 2" xfId="1587"/>
    <cellStyle name="40% - akcent 1 16 2 2" xfId="5433"/>
    <cellStyle name="40% - akcent 1 16 2 2 2" xfId="12068"/>
    <cellStyle name="40% - akcent 1 16 2 3" xfId="8778"/>
    <cellStyle name="40% - akcent 1 16 3" xfId="5432"/>
    <cellStyle name="40% - akcent 1 16 3 2" xfId="12067"/>
    <cellStyle name="40% - akcent 1 16 4" xfId="8777"/>
    <cellStyle name="40% - akcent 1 160" xfId="1588"/>
    <cellStyle name="40% - akcent 1 160 2" xfId="5434"/>
    <cellStyle name="40% - akcent 1 160 2 2" xfId="12069"/>
    <cellStyle name="40% - akcent 1 160 3" xfId="8779"/>
    <cellStyle name="40% - akcent 1 161" xfId="1589"/>
    <cellStyle name="40% - akcent 1 161 2" xfId="5435"/>
    <cellStyle name="40% - akcent 1 161 2 2" xfId="12070"/>
    <cellStyle name="40% - akcent 1 161 3" xfId="8780"/>
    <cellStyle name="40% - akcent 1 162" xfId="1590"/>
    <cellStyle name="40% - akcent 1 162 2" xfId="5436"/>
    <cellStyle name="40% - akcent 1 162 2 2" xfId="12071"/>
    <cellStyle name="40% - akcent 1 162 3" xfId="8781"/>
    <cellStyle name="40% - akcent 1 163" xfId="1591"/>
    <cellStyle name="40% - akcent 1 163 2" xfId="5437"/>
    <cellStyle name="40% - akcent 1 163 2 2" xfId="12072"/>
    <cellStyle name="40% - akcent 1 163 3" xfId="8782"/>
    <cellStyle name="40% - akcent 1 164" xfId="1592"/>
    <cellStyle name="40% - akcent 1 164 2" xfId="5438"/>
    <cellStyle name="40% - akcent 1 164 2 2" xfId="12073"/>
    <cellStyle name="40% - akcent 1 164 3" xfId="8783"/>
    <cellStyle name="40% - akcent 1 165" xfId="1593"/>
    <cellStyle name="40% - akcent 1 165 2" xfId="5439"/>
    <cellStyle name="40% - akcent 1 165 2 2" xfId="12074"/>
    <cellStyle name="40% - akcent 1 165 3" xfId="8784"/>
    <cellStyle name="40% - akcent 1 166" xfId="1594"/>
    <cellStyle name="40% - akcent 1 166 2" xfId="5440"/>
    <cellStyle name="40% - akcent 1 166 2 2" xfId="12075"/>
    <cellStyle name="40% - akcent 1 166 3" xfId="8785"/>
    <cellStyle name="40% - akcent 1 167" xfId="1595"/>
    <cellStyle name="40% - akcent 1 167 2" xfId="5441"/>
    <cellStyle name="40% - akcent 1 167 2 2" xfId="12076"/>
    <cellStyle name="40% - akcent 1 167 3" xfId="8786"/>
    <cellStyle name="40% - akcent 1 168" xfId="1596"/>
    <cellStyle name="40% - akcent 1 168 2" xfId="5442"/>
    <cellStyle name="40% - akcent 1 168 2 2" xfId="12077"/>
    <cellStyle name="40% - akcent 1 168 3" xfId="8787"/>
    <cellStyle name="40% - akcent 1 169" xfId="1597"/>
    <cellStyle name="40% - akcent 1 169 2" xfId="5443"/>
    <cellStyle name="40% - akcent 1 169 2 2" xfId="12078"/>
    <cellStyle name="40% - akcent 1 169 3" xfId="8788"/>
    <cellStyle name="40% - akcent 1 17" xfId="1598"/>
    <cellStyle name="40% - akcent 1 17 2" xfId="1599"/>
    <cellStyle name="40% - akcent 1 17 2 2" xfId="5445"/>
    <cellStyle name="40% - akcent 1 17 2 2 2" xfId="12080"/>
    <cellStyle name="40% - akcent 1 17 2 3" xfId="8790"/>
    <cellStyle name="40% - akcent 1 17 3" xfId="5444"/>
    <cellStyle name="40% - akcent 1 17 3 2" xfId="12079"/>
    <cellStyle name="40% - akcent 1 17 4" xfId="8789"/>
    <cellStyle name="40% - akcent 1 170" xfId="1600"/>
    <cellStyle name="40% - akcent 1 170 2" xfId="5446"/>
    <cellStyle name="40% - akcent 1 170 2 2" xfId="12081"/>
    <cellStyle name="40% - akcent 1 170 3" xfId="8791"/>
    <cellStyle name="40% - akcent 1 171" xfId="1601"/>
    <cellStyle name="40% - akcent 1 171 2" xfId="5447"/>
    <cellStyle name="40% - akcent 1 171 2 2" xfId="12082"/>
    <cellStyle name="40% - akcent 1 171 3" xfId="8792"/>
    <cellStyle name="40% - akcent 1 172" xfId="1602"/>
    <cellStyle name="40% - akcent 1 172 2" xfId="5448"/>
    <cellStyle name="40% - akcent 1 172 2 2" xfId="12083"/>
    <cellStyle name="40% - akcent 1 172 3" xfId="8793"/>
    <cellStyle name="40% - akcent 1 173" xfId="1603"/>
    <cellStyle name="40% - akcent 1 173 2" xfId="5449"/>
    <cellStyle name="40% - akcent 1 173 2 2" xfId="12084"/>
    <cellStyle name="40% - akcent 1 173 3" xfId="8794"/>
    <cellStyle name="40% - akcent 1 174" xfId="1604"/>
    <cellStyle name="40% - akcent 1 174 2" xfId="5450"/>
    <cellStyle name="40% - akcent 1 174 2 2" xfId="12085"/>
    <cellStyle name="40% - akcent 1 174 3" xfId="8795"/>
    <cellStyle name="40% - akcent 1 175" xfId="1605"/>
    <cellStyle name="40% - akcent 1 175 2" xfId="5451"/>
    <cellStyle name="40% - akcent 1 175 2 2" xfId="12086"/>
    <cellStyle name="40% - akcent 1 175 3" xfId="8796"/>
    <cellStyle name="40% - akcent 1 176" xfId="1606"/>
    <cellStyle name="40% - akcent 1 176 2" xfId="5452"/>
    <cellStyle name="40% - akcent 1 176 2 2" xfId="12087"/>
    <cellStyle name="40% - akcent 1 176 3" xfId="8797"/>
    <cellStyle name="40% - akcent 1 177" xfId="1607"/>
    <cellStyle name="40% - akcent 1 177 2" xfId="5453"/>
    <cellStyle name="40% - akcent 1 177 2 2" xfId="12088"/>
    <cellStyle name="40% - akcent 1 177 3" xfId="8798"/>
    <cellStyle name="40% - akcent 1 178" xfId="1608"/>
    <cellStyle name="40% - akcent 1 178 2" xfId="5454"/>
    <cellStyle name="40% - akcent 1 178 2 2" xfId="12089"/>
    <cellStyle name="40% - akcent 1 178 3" xfId="8799"/>
    <cellStyle name="40% - akcent 1 179" xfId="1609"/>
    <cellStyle name="40% - akcent 1 179 2" xfId="5455"/>
    <cellStyle name="40% - akcent 1 179 2 2" xfId="12090"/>
    <cellStyle name="40% - akcent 1 179 3" xfId="8800"/>
    <cellStyle name="40% - akcent 1 18" xfId="1610"/>
    <cellStyle name="40% - akcent 1 18 2" xfId="1611"/>
    <cellStyle name="40% - akcent 1 18 2 2" xfId="5457"/>
    <cellStyle name="40% - akcent 1 18 2 2 2" xfId="12092"/>
    <cellStyle name="40% - akcent 1 18 2 3" xfId="8802"/>
    <cellStyle name="40% - akcent 1 18 3" xfId="5456"/>
    <cellStyle name="40% - akcent 1 18 3 2" xfId="12091"/>
    <cellStyle name="40% - akcent 1 18 4" xfId="8801"/>
    <cellStyle name="40% - akcent 1 180" xfId="1612"/>
    <cellStyle name="40% - akcent 1 180 2" xfId="5458"/>
    <cellStyle name="40% - akcent 1 180 2 2" xfId="12093"/>
    <cellStyle name="40% - akcent 1 180 3" xfId="8803"/>
    <cellStyle name="40% - akcent 1 181" xfId="1613"/>
    <cellStyle name="40% - akcent 1 181 2" xfId="5459"/>
    <cellStyle name="40% - akcent 1 181 2 2" xfId="12094"/>
    <cellStyle name="40% - akcent 1 181 3" xfId="8804"/>
    <cellStyle name="40% - akcent 1 182" xfId="1614"/>
    <cellStyle name="40% - akcent 1 182 2" xfId="5460"/>
    <cellStyle name="40% - akcent 1 182 2 2" xfId="12095"/>
    <cellStyle name="40% - akcent 1 182 3" xfId="8805"/>
    <cellStyle name="40% - akcent 1 183" xfId="1615"/>
    <cellStyle name="40% - akcent 1 183 2" xfId="5461"/>
    <cellStyle name="40% - akcent 1 183 2 2" xfId="12096"/>
    <cellStyle name="40% - akcent 1 183 3" xfId="8806"/>
    <cellStyle name="40% - akcent 1 184" xfId="1616"/>
    <cellStyle name="40% - akcent 1 184 2" xfId="5462"/>
    <cellStyle name="40% - akcent 1 184 2 2" xfId="12097"/>
    <cellStyle name="40% - akcent 1 184 3" xfId="8807"/>
    <cellStyle name="40% - akcent 1 185" xfId="1617"/>
    <cellStyle name="40% - akcent 1 185 2" xfId="5463"/>
    <cellStyle name="40% - akcent 1 185 2 2" xfId="12098"/>
    <cellStyle name="40% - akcent 1 185 3" xfId="8808"/>
    <cellStyle name="40% - akcent 1 186" xfId="1618"/>
    <cellStyle name="40% - akcent 1 186 2" xfId="5464"/>
    <cellStyle name="40% - akcent 1 186 2 2" xfId="12099"/>
    <cellStyle name="40% - akcent 1 186 3" xfId="8809"/>
    <cellStyle name="40% - akcent 1 187" xfId="1619"/>
    <cellStyle name="40% - akcent 1 187 2" xfId="5465"/>
    <cellStyle name="40% - akcent 1 187 2 2" xfId="12100"/>
    <cellStyle name="40% - akcent 1 187 3" xfId="8810"/>
    <cellStyle name="40% - akcent 1 188" xfId="1620"/>
    <cellStyle name="40% - akcent 1 188 2" xfId="5466"/>
    <cellStyle name="40% - akcent 1 188 2 2" xfId="12101"/>
    <cellStyle name="40% - akcent 1 188 3" xfId="8811"/>
    <cellStyle name="40% - akcent 1 189" xfId="1621"/>
    <cellStyle name="40% - akcent 1 189 2" xfId="5467"/>
    <cellStyle name="40% - akcent 1 189 2 2" xfId="12102"/>
    <cellStyle name="40% - akcent 1 189 3" xfId="8812"/>
    <cellStyle name="40% - akcent 1 19" xfId="1622"/>
    <cellStyle name="40% - akcent 1 19 2" xfId="1623"/>
    <cellStyle name="40% - akcent 1 19 2 2" xfId="5469"/>
    <cellStyle name="40% - akcent 1 19 2 2 2" xfId="12104"/>
    <cellStyle name="40% - akcent 1 19 2 3" xfId="8814"/>
    <cellStyle name="40% - akcent 1 19 3" xfId="5468"/>
    <cellStyle name="40% - akcent 1 19 3 2" xfId="12103"/>
    <cellStyle name="40% - akcent 1 19 4" xfId="8813"/>
    <cellStyle name="40% - akcent 1 190" xfId="1624"/>
    <cellStyle name="40% - akcent 1 190 2" xfId="5470"/>
    <cellStyle name="40% - akcent 1 190 2 2" xfId="12105"/>
    <cellStyle name="40% - akcent 1 190 3" xfId="8815"/>
    <cellStyle name="40% - akcent 1 191" xfId="1625"/>
    <cellStyle name="40% - akcent 1 191 2" xfId="5471"/>
    <cellStyle name="40% - akcent 1 191 2 2" xfId="12106"/>
    <cellStyle name="40% - akcent 1 191 3" xfId="8816"/>
    <cellStyle name="40% - akcent 1 192" xfId="1626"/>
    <cellStyle name="40% - akcent 1 192 2" xfId="5472"/>
    <cellStyle name="40% - akcent 1 192 2 2" xfId="12107"/>
    <cellStyle name="40% - akcent 1 192 3" xfId="8817"/>
    <cellStyle name="40% - akcent 1 193" xfId="1627"/>
    <cellStyle name="40% - akcent 1 193 2" xfId="5473"/>
    <cellStyle name="40% - akcent 1 193 2 2" xfId="12108"/>
    <cellStyle name="40% - akcent 1 193 3" xfId="8818"/>
    <cellStyle name="40% - akcent 1 194" xfId="1628"/>
    <cellStyle name="40% - akcent 1 194 2" xfId="5474"/>
    <cellStyle name="40% - akcent 1 194 2 2" xfId="12109"/>
    <cellStyle name="40% - akcent 1 194 3" xfId="8819"/>
    <cellStyle name="40% - akcent 1 195" xfId="3838"/>
    <cellStyle name="40% - akcent 1 195 2" xfId="10473"/>
    <cellStyle name="40% - akcent 1 196" xfId="7123"/>
    <cellStyle name="40% - akcent 1 197" xfId="7187"/>
    <cellStyle name="40% - akcent 1 2" xfId="1629"/>
    <cellStyle name="40% - akcent 1 2 2" xfId="1630"/>
    <cellStyle name="40% - akcent 1 2 2 2" xfId="5476"/>
    <cellStyle name="40% - akcent 1 2 2 2 2" xfId="12111"/>
    <cellStyle name="40% - akcent 1 2 2 3" xfId="8821"/>
    <cellStyle name="40% - akcent 1 2 3" xfId="5475"/>
    <cellStyle name="40% - akcent 1 2 3 2" xfId="12110"/>
    <cellStyle name="40% - akcent 1 2 4" xfId="8820"/>
    <cellStyle name="40% - akcent 1 20" xfId="1631"/>
    <cellStyle name="40% - akcent 1 20 2" xfId="1632"/>
    <cellStyle name="40% - akcent 1 20 2 2" xfId="5478"/>
    <cellStyle name="40% - akcent 1 20 2 2 2" xfId="12113"/>
    <cellStyle name="40% - akcent 1 20 2 3" xfId="8823"/>
    <cellStyle name="40% - akcent 1 20 3" xfId="5477"/>
    <cellStyle name="40% - akcent 1 20 3 2" xfId="12112"/>
    <cellStyle name="40% - akcent 1 20 4" xfId="8822"/>
    <cellStyle name="40% - akcent 1 21" xfId="1633"/>
    <cellStyle name="40% - akcent 1 21 2" xfId="1634"/>
    <cellStyle name="40% - akcent 1 21 2 2" xfId="5480"/>
    <cellStyle name="40% - akcent 1 21 2 2 2" xfId="12115"/>
    <cellStyle name="40% - akcent 1 21 2 3" xfId="8825"/>
    <cellStyle name="40% - akcent 1 21 3" xfId="5479"/>
    <cellStyle name="40% - akcent 1 21 3 2" xfId="12114"/>
    <cellStyle name="40% - akcent 1 21 4" xfId="8824"/>
    <cellStyle name="40% - akcent 1 22" xfId="1635"/>
    <cellStyle name="40% - akcent 1 22 2" xfId="1636"/>
    <cellStyle name="40% - akcent 1 22 2 2" xfId="5482"/>
    <cellStyle name="40% - akcent 1 22 2 2 2" xfId="12117"/>
    <cellStyle name="40% - akcent 1 22 2 3" xfId="8827"/>
    <cellStyle name="40% - akcent 1 22 3" xfId="5481"/>
    <cellStyle name="40% - akcent 1 22 3 2" xfId="12116"/>
    <cellStyle name="40% - akcent 1 22 4" xfId="8826"/>
    <cellStyle name="40% - akcent 1 23" xfId="1637"/>
    <cellStyle name="40% - akcent 1 23 2" xfId="1638"/>
    <cellStyle name="40% - akcent 1 23 2 2" xfId="5484"/>
    <cellStyle name="40% - akcent 1 23 2 2 2" xfId="12119"/>
    <cellStyle name="40% - akcent 1 23 2 3" xfId="8829"/>
    <cellStyle name="40% - akcent 1 23 3" xfId="5483"/>
    <cellStyle name="40% - akcent 1 23 3 2" xfId="12118"/>
    <cellStyle name="40% - akcent 1 23 4" xfId="8828"/>
    <cellStyle name="40% - akcent 1 24" xfId="1639"/>
    <cellStyle name="40% - akcent 1 24 2" xfId="1640"/>
    <cellStyle name="40% - akcent 1 24 2 2" xfId="5486"/>
    <cellStyle name="40% - akcent 1 24 2 2 2" xfId="12121"/>
    <cellStyle name="40% - akcent 1 24 2 3" xfId="8831"/>
    <cellStyle name="40% - akcent 1 24 3" xfId="5485"/>
    <cellStyle name="40% - akcent 1 24 3 2" xfId="12120"/>
    <cellStyle name="40% - akcent 1 24 4" xfId="8830"/>
    <cellStyle name="40% - akcent 1 25" xfId="1641"/>
    <cellStyle name="40% - akcent 1 25 2" xfId="1642"/>
    <cellStyle name="40% - akcent 1 25 2 2" xfId="5488"/>
    <cellStyle name="40% - akcent 1 25 2 2 2" xfId="12123"/>
    <cellStyle name="40% - akcent 1 25 2 3" xfId="8833"/>
    <cellStyle name="40% - akcent 1 25 3" xfId="5487"/>
    <cellStyle name="40% - akcent 1 25 3 2" xfId="12122"/>
    <cellStyle name="40% - akcent 1 25 4" xfId="8832"/>
    <cellStyle name="40% - akcent 1 26" xfId="1643"/>
    <cellStyle name="40% - akcent 1 26 2" xfId="1644"/>
    <cellStyle name="40% - akcent 1 26 2 2" xfId="5490"/>
    <cellStyle name="40% - akcent 1 26 2 2 2" xfId="12125"/>
    <cellStyle name="40% - akcent 1 26 2 3" xfId="8835"/>
    <cellStyle name="40% - akcent 1 26 3" xfId="5489"/>
    <cellStyle name="40% - akcent 1 26 3 2" xfId="12124"/>
    <cellStyle name="40% - akcent 1 26 4" xfId="8834"/>
    <cellStyle name="40% - akcent 1 27" xfId="1645"/>
    <cellStyle name="40% - akcent 1 27 2" xfId="1646"/>
    <cellStyle name="40% - akcent 1 27 2 2" xfId="5492"/>
    <cellStyle name="40% - akcent 1 27 2 2 2" xfId="12127"/>
    <cellStyle name="40% - akcent 1 27 2 3" xfId="8837"/>
    <cellStyle name="40% - akcent 1 27 3" xfId="5491"/>
    <cellStyle name="40% - akcent 1 27 3 2" xfId="12126"/>
    <cellStyle name="40% - akcent 1 27 4" xfId="8836"/>
    <cellStyle name="40% - akcent 1 28" xfId="1647"/>
    <cellStyle name="40% - akcent 1 28 2" xfId="1648"/>
    <cellStyle name="40% - akcent 1 28 2 2" xfId="5494"/>
    <cellStyle name="40% - akcent 1 28 2 2 2" xfId="12129"/>
    <cellStyle name="40% - akcent 1 28 2 3" xfId="8839"/>
    <cellStyle name="40% - akcent 1 28 3" xfId="5493"/>
    <cellStyle name="40% - akcent 1 28 3 2" xfId="12128"/>
    <cellStyle name="40% - akcent 1 28 4" xfId="8838"/>
    <cellStyle name="40% - akcent 1 29" xfId="1649"/>
    <cellStyle name="40% - akcent 1 29 2" xfId="1650"/>
    <cellStyle name="40% - akcent 1 29 2 2" xfId="5496"/>
    <cellStyle name="40% - akcent 1 29 2 2 2" xfId="12131"/>
    <cellStyle name="40% - akcent 1 29 2 3" xfId="8841"/>
    <cellStyle name="40% - akcent 1 29 3" xfId="5495"/>
    <cellStyle name="40% - akcent 1 29 3 2" xfId="12130"/>
    <cellStyle name="40% - akcent 1 29 4" xfId="8840"/>
    <cellStyle name="40% - akcent 1 3" xfId="1651"/>
    <cellStyle name="40% - akcent 1 3 2" xfId="1652"/>
    <cellStyle name="40% - akcent 1 3 2 2" xfId="5498"/>
    <cellStyle name="40% - akcent 1 3 2 2 2" xfId="12133"/>
    <cellStyle name="40% - akcent 1 3 2 3" xfId="8843"/>
    <cellStyle name="40% - akcent 1 3 3" xfId="5497"/>
    <cellStyle name="40% - akcent 1 3 3 2" xfId="12132"/>
    <cellStyle name="40% - akcent 1 3 4" xfId="8842"/>
    <cellStyle name="40% - akcent 1 30" xfId="1653"/>
    <cellStyle name="40% - akcent 1 30 2" xfId="1654"/>
    <cellStyle name="40% - akcent 1 30 2 2" xfId="5500"/>
    <cellStyle name="40% - akcent 1 30 2 2 2" xfId="12135"/>
    <cellStyle name="40% - akcent 1 30 2 3" xfId="8845"/>
    <cellStyle name="40% - akcent 1 30 3" xfId="5499"/>
    <cellStyle name="40% - akcent 1 30 3 2" xfId="12134"/>
    <cellStyle name="40% - akcent 1 30 4" xfId="8844"/>
    <cellStyle name="40% - akcent 1 31" xfId="1655"/>
    <cellStyle name="40% - akcent 1 31 2" xfId="1656"/>
    <cellStyle name="40% - akcent 1 31 2 2" xfId="5502"/>
    <cellStyle name="40% - akcent 1 31 2 2 2" xfId="12137"/>
    <cellStyle name="40% - akcent 1 31 2 3" xfId="8847"/>
    <cellStyle name="40% - akcent 1 31 3" xfId="5501"/>
    <cellStyle name="40% - akcent 1 31 3 2" xfId="12136"/>
    <cellStyle name="40% - akcent 1 31 4" xfId="8846"/>
    <cellStyle name="40% - akcent 1 32" xfId="1657"/>
    <cellStyle name="40% - akcent 1 32 2" xfId="1658"/>
    <cellStyle name="40% - akcent 1 32 2 2" xfId="5504"/>
    <cellStyle name="40% - akcent 1 32 2 2 2" xfId="12139"/>
    <cellStyle name="40% - akcent 1 32 2 3" xfId="8849"/>
    <cellStyle name="40% - akcent 1 32 3" xfId="5503"/>
    <cellStyle name="40% - akcent 1 32 3 2" xfId="12138"/>
    <cellStyle name="40% - akcent 1 32 4" xfId="8848"/>
    <cellStyle name="40% - akcent 1 33" xfId="1659"/>
    <cellStyle name="40% - akcent 1 33 2" xfId="1660"/>
    <cellStyle name="40% - akcent 1 33 2 2" xfId="5506"/>
    <cellStyle name="40% - akcent 1 33 2 2 2" xfId="12141"/>
    <cellStyle name="40% - akcent 1 33 2 3" xfId="8851"/>
    <cellStyle name="40% - akcent 1 33 3" xfId="5505"/>
    <cellStyle name="40% - akcent 1 33 3 2" xfId="12140"/>
    <cellStyle name="40% - akcent 1 33 4" xfId="8850"/>
    <cellStyle name="40% - akcent 1 34" xfId="1661"/>
    <cellStyle name="40% - akcent 1 34 2" xfId="1662"/>
    <cellStyle name="40% - akcent 1 34 2 2" xfId="5508"/>
    <cellStyle name="40% - akcent 1 34 2 2 2" xfId="12143"/>
    <cellStyle name="40% - akcent 1 34 2 3" xfId="8853"/>
    <cellStyle name="40% - akcent 1 34 3" xfId="5507"/>
    <cellStyle name="40% - akcent 1 34 3 2" xfId="12142"/>
    <cellStyle name="40% - akcent 1 34 4" xfId="8852"/>
    <cellStyle name="40% - akcent 1 35" xfId="1663"/>
    <cellStyle name="40% - akcent 1 35 2" xfId="1664"/>
    <cellStyle name="40% - akcent 1 35 2 2" xfId="5510"/>
    <cellStyle name="40% - akcent 1 35 2 2 2" xfId="12145"/>
    <cellStyle name="40% - akcent 1 35 2 3" xfId="8855"/>
    <cellStyle name="40% - akcent 1 35 3" xfId="5509"/>
    <cellStyle name="40% - akcent 1 35 3 2" xfId="12144"/>
    <cellStyle name="40% - akcent 1 35 4" xfId="8854"/>
    <cellStyle name="40% - akcent 1 36" xfId="1665"/>
    <cellStyle name="40% - akcent 1 36 2" xfId="1666"/>
    <cellStyle name="40% - akcent 1 36 2 2" xfId="5512"/>
    <cellStyle name="40% - akcent 1 36 2 2 2" xfId="12147"/>
    <cellStyle name="40% - akcent 1 36 2 3" xfId="8857"/>
    <cellStyle name="40% - akcent 1 36 3" xfId="5511"/>
    <cellStyle name="40% - akcent 1 36 3 2" xfId="12146"/>
    <cellStyle name="40% - akcent 1 36 4" xfId="8856"/>
    <cellStyle name="40% - akcent 1 37" xfId="1667"/>
    <cellStyle name="40% - akcent 1 37 2" xfId="1668"/>
    <cellStyle name="40% - akcent 1 37 2 2" xfId="5514"/>
    <cellStyle name="40% - akcent 1 37 2 2 2" xfId="12149"/>
    <cellStyle name="40% - akcent 1 37 2 3" xfId="8859"/>
    <cellStyle name="40% - akcent 1 37 3" xfId="5513"/>
    <cellStyle name="40% - akcent 1 37 3 2" xfId="12148"/>
    <cellStyle name="40% - akcent 1 37 4" xfId="8858"/>
    <cellStyle name="40% - akcent 1 38" xfId="1669"/>
    <cellStyle name="40% - akcent 1 38 2" xfId="1670"/>
    <cellStyle name="40% - akcent 1 38 2 2" xfId="5516"/>
    <cellStyle name="40% - akcent 1 38 2 2 2" xfId="12151"/>
    <cellStyle name="40% - akcent 1 38 2 3" xfId="8861"/>
    <cellStyle name="40% - akcent 1 38 3" xfId="5515"/>
    <cellStyle name="40% - akcent 1 38 3 2" xfId="12150"/>
    <cellStyle name="40% - akcent 1 38 4" xfId="8860"/>
    <cellStyle name="40% - akcent 1 39" xfId="1671"/>
    <cellStyle name="40% - akcent 1 39 2" xfId="1672"/>
    <cellStyle name="40% - akcent 1 39 2 2" xfId="5518"/>
    <cellStyle name="40% - akcent 1 39 2 2 2" xfId="12153"/>
    <cellStyle name="40% - akcent 1 39 2 3" xfId="8863"/>
    <cellStyle name="40% - akcent 1 39 3" xfId="5517"/>
    <cellStyle name="40% - akcent 1 39 3 2" xfId="12152"/>
    <cellStyle name="40% - akcent 1 39 4" xfId="8862"/>
    <cellStyle name="40% - akcent 1 4" xfId="1673"/>
    <cellStyle name="40% - akcent 1 4 2" xfId="1674"/>
    <cellStyle name="40% - akcent 1 4 2 2" xfId="5520"/>
    <cellStyle name="40% - akcent 1 4 2 2 2" xfId="12155"/>
    <cellStyle name="40% - akcent 1 4 2 3" xfId="8865"/>
    <cellStyle name="40% - akcent 1 4 3" xfId="5519"/>
    <cellStyle name="40% - akcent 1 4 3 2" xfId="12154"/>
    <cellStyle name="40% - akcent 1 4 4" xfId="8864"/>
    <cellStyle name="40% - akcent 1 40" xfId="1675"/>
    <cellStyle name="40% - akcent 1 40 2" xfId="1676"/>
    <cellStyle name="40% - akcent 1 40 2 2" xfId="5522"/>
    <cellStyle name="40% - akcent 1 40 2 2 2" xfId="12157"/>
    <cellStyle name="40% - akcent 1 40 2 3" xfId="8867"/>
    <cellStyle name="40% - akcent 1 40 3" xfId="5521"/>
    <cellStyle name="40% - akcent 1 40 3 2" xfId="12156"/>
    <cellStyle name="40% - akcent 1 40 4" xfId="8866"/>
    <cellStyle name="40% - akcent 1 41" xfId="1677"/>
    <cellStyle name="40% - akcent 1 41 2" xfId="1678"/>
    <cellStyle name="40% - akcent 1 41 2 2" xfId="5524"/>
    <cellStyle name="40% - akcent 1 41 2 2 2" xfId="12159"/>
    <cellStyle name="40% - akcent 1 41 2 3" xfId="8869"/>
    <cellStyle name="40% - akcent 1 41 3" xfId="5523"/>
    <cellStyle name="40% - akcent 1 41 3 2" xfId="12158"/>
    <cellStyle name="40% - akcent 1 41 4" xfId="8868"/>
    <cellStyle name="40% - akcent 1 42" xfId="1679"/>
    <cellStyle name="40% - akcent 1 42 2" xfId="1680"/>
    <cellStyle name="40% - akcent 1 42 2 2" xfId="5526"/>
    <cellStyle name="40% - akcent 1 42 2 2 2" xfId="12161"/>
    <cellStyle name="40% - akcent 1 42 2 3" xfId="8871"/>
    <cellStyle name="40% - akcent 1 42 3" xfId="5525"/>
    <cellStyle name="40% - akcent 1 42 3 2" xfId="12160"/>
    <cellStyle name="40% - akcent 1 42 4" xfId="8870"/>
    <cellStyle name="40% - akcent 1 43" xfId="1681"/>
    <cellStyle name="40% - akcent 1 43 2" xfId="1682"/>
    <cellStyle name="40% - akcent 1 43 2 2" xfId="5528"/>
    <cellStyle name="40% - akcent 1 43 2 2 2" xfId="12163"/>
    <cellStyle name="40% - akcent 1 43 2 3" xfId="8873"/>
    <cellStyle name="40% - akcent 1 43 3" xfId="5527"/>
    <cellStyle name="40% - akcent 1 43 3 2" xfId="12162"/>
    <cellStyle name="40% - akcent 1 43 4" xfId="8872"/>
    <cellStyle name="40% - akcent 1 44" xfId="1683"/>
    <cellStyle name="40% - akcent 1 44 2" xfId="1684"/>
    <cellStyle name="40% - akcent 1 44 2 2" xfId="5530"/>
    <cellStyle name="40% - akcent 1 44 2 2 2" xfId="12165"/>
    <cellStyle name="40% - akcent 1 44 2 3" xfId="8875"/>
    <cellStyle name="40% - akcent 1 44 3" xfId="5529"/>
    <cellStyle name="40% - akcent 1 44 3 2" xfId="12164"/>
    <cellStyle name="40% - akcent 1 44 4" xfId="8874"/>
    <cellStyle name="40% - akcent 1 45" xfId="1685"/>
    <cellStyle name="40% - akcent 1 45 2" xfId="1686"/>
    <cellStyle name="40% - akcent 1 45 2 2" xfId="5532"/>
    <cellStyle name="40% - akcent 1 45 2 2 2" xfId="12167"/>
    <cellStyle name="40% - akcent 1 45 2 3" xfId="8877"/>
    <cellStyle name="40% - akcent 1 45 3" xfId="5531"/>
    <cellStyle name="40% - akcent 1 45 3 2" xfId="12166"/>
    <cellStyle name="40% - akcent 1 45 4" xfId="8876"/>
    <cellStyle name="40% - akcent 1 46" xfId="1687"/>
    <cellStyle name="40% - akcent 1 46 2" xfId="1688"/>
    <cellStyle name="40% - akcent 1 46 2 2" xfId="5534"/>
    <cellStyle name="40% - akcent 1 46 2 2 2" xfId="12169"/>
    <cellStyle name="40% - akcent 1 46 2 3" xfId="8879"/>
    <cellStyle name="40% - akcent 1 46 3" xfId="5533"/>
    <cellStyle name="40% - akcent 1 46 3 2" xfId="12168"/>
    <cellStyle name="40% - akcent 1 46 4" xfId="8878"/>
    <cellStyle name="40% - akcent 1 47" xfId="1689"/>
    <cellStyle name="40% - akcent 1 47 2" xfId="1690"/>
    <cellStyle name="40% - akcent 1 47 2 2" xfId="5536"/>
    <cellStyle name="40% - akcent 1 47 2 2 2" xfId="12171"/>
    <cellStyle name="40% - akcent 1 47 2 3" xfId="8881"/>
    <cellStyle name="40% - akcent 1 47 3" xfId="5535"/>
    <cellStyle name="40% - akcent 1 47 3 2" xfId="12170"/>
    <cellStyle name="40% - akcent 1 47 4" xfId="8880"/>
    <cellStyle name="40% - akcent 1 48" xfId="1691"/>
    <cellStyle name="40% - akcent 1 48 2" xfId="1692"/>
    <cellStyle name="40% - akcent 1 48 2 2" xfId="5538"/>
    <cellStyle name="40% - akcent 1 48 2 2 2" xfId="12173"/>
    <cellStyle name="40% - akcent 1 48 2 3" xfId="8883"/>
    <cellStyle name="40% - akcent 1 48 3" xfId="5537"/>
    <cellStyle name="40% - akcent 1 48 3 2" xfId="12172"/>
    <cellStyle name="40% - akcent 1 48 4" xfId="8882"/>
    <cellStyle name="40% - akcent 1 49" xfId="1693"/>
    <cellStyle name="40% - akcent 1 49 2" xfId="1694"/>
    <cellStyle name="40% - akcent 1 49 2 2" xfId="5540"/>
    <cellStyle name="40% - akcent 1 49 2 2 2" xfId="12175"/>
    <cellStyle name="40% - akcent 1 49 2 3" xfId="8885"/>
    <cellStyle name="40% - akcent 1 49 3" xfId="5539"/>
    <cellStyle name="40% - akcent 1 49 3 2" xfId="12174"/>
    <cellStyle name="40% - akcent 1 49 4" xfId="8884"/>
    <cellStyle name="40% - akcent 1 5" xfId="1695"/>
    <cellStyle name="40% - akcent 1 5 2" xfId="1696"/>
    <cellStyle name="40% - akcent 1 5 2 2" xfId="5542"/>
    <cellStyle name="40% - akcent 1 5 2 2 2" xfId="12177"/>
    <cellStyle name="40% - akcent 1 5 2 3" xfId="8887"/>
    <cellStyle name="40% - akcent 1 5 3" xfId="5541"/>
    <cellStyle name="40% - akcent 1 5 3 2" xfId="12176"/>
    <cellStyle name="40% - akcent 1 5 4" xfId="8886"/>
    <cellStyle name="40% - akcent 1 50" xfId="1697"/>
    <cellStyle name="40% - akcent 1 50 2" xfId="1698"/>
    <cellStyle name="40% - akcent 1 50 2 2" xfId="5544"/>
    <cellStyle name="40% - akcent 1 50 2 2 2" xfId="12179"/>
    <cellStyle name="40% - akcent 1 50 2 3" xfId="8889"/>
    <cellStyle name="40% - akcent 1 50 3" xfId="5543"/>
    <cellStyle name="40% - akcent 1 50 3 2" xfId="12178"/>
    <cellStyle name="40% - akcent 1 50 4" xfId="8888"/>
    <cellStyle name="40% - akcent 1 51" xfId="1699"/>
    <cellStyle name="40% - akcent 1 51 2" xfId="1700"/>
    <cellStyle name="40% - akcent 1 51 2 2" xfId="5546"/>
    <cellStyle name="40% - akcent 1 51 2 2 2" xfId="12181"/>
    <cellStyle name="40% - akcent 1 51 2 3" xfId="8891"/>
    <cellStyle name="40% - akcent 1 51 3" xfId="5545"/>
    <cellStyle name="40% - akcent 1 51 3 2" xfId="12180"/>
    <cellStyle name="40% - akcent 1 51 4" xfId="8890"/>
    <cellStyle name="40% - akcent 1 52" xfId="1701"/>
    <cellStyle name="40% - akcent 1 52 2" xfId="1702"/>
    <cellStyle name="40% - akcent 1 52 2 2" xfId="5548"/>
    <cellStyle name="40% - akcent 1 52 2 2 2" xfId="12183"/>
    <cellStyle name="40% - akcent 1 52 2 3" xfId="8893"/>
    <cellStyle name="40% - akcent 1 52 3" xfId="5547"/>
    <cellStyle name="40% - akcent 1 52 3 2" xfId="12182"/>
    <cellStyle name="40% - akcent 1 52 4" xfId="8892"/>
    <cellStyle name="40% - akcent 1 53" xfId="1703"/>
    <cellStyle name="40% - akcent 1 53 2" xfId="1704"/>
    <cellStyle name="40% - akcent 1 53 2 2" xfId="5550"/>
    <cellStyle name="40% - akcent 1 53 2 2 2" xfId="12185"/>
    <cellStyle name="40% - akcent 1 53 2 3" xfId="8895"/>
    <cellStyle name="40% - akcent 1 53 3" xfId="5549"/>
    <cellStyle name="40% - akcent 1 53 3 2" xfId="12184"/>
    <cellStyle name="40% - akcent 1 53 4" xfId="8894"/>
    <cellStyle name="40% - akcent 1 54" xfId="1705"/>
    <cellStyle name="40% - akcent 1 54 2" xfId="1706"/>
    <cellStyle name="40% - akcent 1 54 2 2" xfId="5552"/>
    <cellStyle name="40% - akcent 1 54 2 2 2" xfId="12187"/>
    <cellStyle name="40% - akcent 1 54 2 3" xfId="8897"/>
    <cellStyle name="40% - akcent 1 54 3" xfId="5551"/>
    <cellStyle name="40% - akcent 1 54 3 2" xfId="12186"/>
    <cellStyle name="40% - akcent 1 54 4" xfId="8896"/>
    <cellStyle name="40% - akcent 1 55" xfId="1707"/>
    <cellStyle name="40% - akcent 1 55 2" xfId="1708"/>
    <cellStyle name="40% - akcent 1 55 2 2" xfId="5554"/>
    <cellStyle name="40% - akcent 1 55 2 2 2" xfId="12189"/>
    <cellStyle name="40% - akcent 1 55 2 3" xfId="8899"/>
    <cellStyle name="40% - akcent 1 55 3" xfId="5553"/>
    <cellStyle name="40% - akcent 1 55 3 2" xfId="12188"/>
    <cellStyle name="40% - akcent 1 55 4" xfId="8898"/>
    <cellStyle name="40% - akcent 1 56" xfId="1709"/>
    <cellStyle name="40% - akcent 1 56 2" xfId="1710"/>
    <cellStyle name="40% - akcent 1 56 2 2" xfId="5556"/>
    <cellStyle name="40% - akcent 1 56 2 2 2" xfId="12191"/>
    <cellStyle name="40% - akcent 1 56 2 3" xfId="8901"/>
    <cellStyle name="40% - akcent 1 56 3" xfId="5555"/>
    <cellStyle name="40% - akcent 1 56 3 2" xfId="12190"/>
    <cellStyle name="40% - akcent 1 56 4" xfId="8900"/>
    <cellStyle name="40% - akcent 1 57" xfId="1711"/>
    <cellStyle name="40% - akcent 1 57 2" xfId="1712"/>
    <cellStyle name="40% - akcent 1 57 2 2" xfId="5558"/>
    <cellStyle name="40% - akcent 1 57 2 2 2" xfId="12193"/>
    <cellStyle name="40% - akcent 1 57 2 3" xfId="8903"/>
    <cellStyle name="40% - akcent 1 57 3" xfId="5557"/>
    <cellStyle name="40% - akcent 1 57 3 2" xfId="12192"/>
    <cellStyle name="40% - akcent 1 57 4" xfId="8902"/>
    <cellStyle name="40% - akcent 1 58" xfId="1713"/>
    <cellStyle name="40% - akcent 1 58 2" xfId="1714"/>
    <cellStyle name="40% - akcent 1 58 2 2" xfId="5560"/>
    <cellStyle name="40% - akcent 1 58 2 2 2" xfId="12195"/>
    <cellStyle name="40% - akcent 1 58 2 3" xfId="8905"/>
    <cellStyle name="40% - akcent 1 58 3" xfId="5559"/>
    <cellStyle name="40% - akcent 1 58 3 2" xfId="12194"/>
    <cellStyle name="40% - akcent 1 58 4" xfId="8904"/>
    <cellStyle name="40% - akcent 1 59" xfId="1715"/>
    <cellStyle name="40% - akcent 1 59 2" xfId="1716"/>
    <cellStyle name="40% - akcent 1 59 2 2" xfId="5562"/>
    <cellStyle name="40% - akcent 1 59 2 2 2" xfId="12197"/>
    <cellStyle name="40% - akcent 1 59 2 3" xfId="8907"/>
    <cellStyle name="40% - akcent 1 59 3" xfId="5561"/>
    <cellStyle name="40% - akcent 1 59 3 2" xfId="12196"/>
    <cellStyle name="40% - akcent 1 59 4" xfId="8906"/>
    <cellStyle name="40% - akcent 1 6" xfId="1717"/>
    <cellStyle name="40% - akcent 1 6 2" xfId="1718"/>
    <cellStyle name="40% - akcent 1 6 2 2" xfId="5564"/>
    <cellStyle name="40% - akcent 1 6 2 2 2" xfId="12199"/>
    <cellStyle name="40% - akcent 1 6 2 3" xfId="8909"/>
    <cellStyle name="40% - akcent 1 6 3" xfId="5563"/>
    <cellStyle name="40% - akcent 1 6 3 2" xfId="12198"/>
    <cellStyle name="40% - akcent 1 6 4" xfId="8908"/>
    <cellStyle name="40% - akcent 1 60" xfId="1719"/>
    <cellStyle name="40% - akcent 1 60 2" xfId="5565"/>
    <cellStyle name="40% - akcent 1 60 2 2" xfId="12200"/>
    <cellStyle name="40% - akcent 1 60 3" xfId="8910"/>
    <cellStyle name="40% - akcent 1 61" xfId="1720"/>
    <cellStyle name="40% - akcent 1 61 2" xfId="5566"/>
    <cellStyle name="40% - akcent 1 61 2 2" xfId="12201"/>
    <cellStyle name="40% - akcent 1 61 3" xfId="8911"/>
    <cellStyle name="40% - akcent 1 62" xfId="1721"/>
    <cellStyle name="40% - akcent 1 62 2" xfId="5567"/>
    <cellStyle name="40% - akcent 1 62 2 2" xfId="12202"/>
    <cellStyle name="40% - akcent 1 62 3" xfId="8912"/>
    <cellStyle name="40% - akcent 1 63" xfId="1722"/>
    <cellStyle name="40% - akcent 1 63 2" xfId="5568"/>
    <cellStyle name="40% - akcent 1 63 2 2" xfId="12203"/>
    <cellStyle name="40% - akcent 1 63 3" xfId="8913"/>
    <cellStyle name="40% - akcent 1 64" xfId="1723"/>
    <cellStyle name="40% - akcent 1 64 2" xfId="5569"/>
    <cellStyle name="40% - akcent 1 64 2 2" xfId="12204"/>
    <cellStyle name="40% - akcent 1 64 3" xfId="8914"/>
    <cellStyle name="40% - akcent 1 65" xfId="1724"/>
    <cellStyle name="40% - akcent 1 65 2" xfId="5570"/>
    <cellStyle name="40% - akcent 1 65 2 2" xfId="12205"/>
    <cellStyle name="40% - akcent 1 65 3" xfId="8915"/>
    <cellStyle name="40% - akcent 1 66" xfId="1725"/>
    <cellStyle name="40% - akcent 1 66 2" xfId="5571"/>
    <cellStyle name="40% - akcent 1 66 2 2" xfId="12206"/>
    <cellStyle name="40% - akcent 1 66 3" xfId="8916"/>
    <cellStyle name="40% - akcent 1 67" xfId="1726"/>
    <cellStyle name="40% - akcent 1 67 2" xfId="5572"/>
    <cellStyle name="40% - akcent 1 67 2 2" xfId="12207"/>
    <cellStyle name="40% - akcent 1 67 3" xfId="8917"/>
    <cellStyle name="40% - akcent 1 68" xfId="1727"/>
    <cellStyle name="40% - akcent 1 68 2" xfId="5573"/>
    <cellStyle name="40% - akcent 1 68 2 2" xfId="12208"/>
    <cellStyle name="40% - akcent 1 68 3" xfId="8918"/>
    <cellStyle name="40% - akcent 1 69" xfId="1728"/>
    <cellStyle name="40% - akcent 1 69 2" xfId="5574"/>
    <cellStyle name="40% - akcent 1 69 2 2" xfId="12209"/>
    <cellStyle name="40% - akcent 1 69 3" xfId="8919"/>
    <cellStyle name="40% - akcent 1 7" xfId="1729"/>
    <cellStyle name="40% - akcent 1 7 2" xfId="1730"/>
    <cellStyle name="40% - akcent 1 7 2 2" xfId="5576"/>
    <cellStyle name="40% - akcent 1 7 2 2 2" xfId="12211"/>
    <cellStyle name="40% - akcent 1 7 2 3" xfId="8921"/>
    <cellStyle name="40% - akcent 1 7 3" xfId="5575"/>
    <cellStyle name="40% - akcent 1 7 3 2" xfId="12210"/>
    <cellStyle name="40% - akcent 1 7 4" xfId="8920"/>
    <cellStyle name="40% - akcent 1 70" xfId="1731"/>
    <cellStyle name="40% - akcent 1 70 2" xfId="5577"/>
    <cellStyle name="40% - akcent 1 70 2 2" xfId="12212"/>
    <cellStyle name="40% - akcent 1 70 3" xfId="8922"/>
    <cellStyle name="40% - akcent 1 71" xfId="1732"/>
    <cellStyle name="40% - akcent 1 71 2" xfId="5578"/>
    <cellStyle name="40% - akcent 1 71 2 2" xfId="12213"/>
    <cellStyle name="40% - akcent 1 71 3" xfId="8923"/>
    <cellStyle name="40% - akcent 1 72" xfId="1733"/>
    <cellStyle name="40% - akcent 1 72 2" xfId="5579"/>
    <cellStyle name="40% - akcent 1 72 2 2" xfId="12214"/>
    <cellStyle name="40% - akcent 1 72 3" xfId="8924"/>
    <cellStyle name="40% - akcent 1 73" xfId="1734"/>
    <cellStyle name="40% - akcent 1 73 2" xfId="5580"/>
    <cellStyle name="40% - akcent 1 73 2 2" xfId="12215"/>
    <cellStyle name="40% - akcent 1 73 3" xfId="8925"/>
    <cellStyle name="40% - akcent 1 74" xfId="1735"/>
    <cellStyle name="40% - akcent 1 74 2" xfId="5581"/>
    <cellStyle name="40% - akcent 1 74 2 2" xfId="12216"/>
    <cellStyle name="40% - akcent 1 74 3" xfId="8926"/>
    <cellStyle name="40% - akcent 1 75" xfId="1736"/>
    <cellStyle name="40% - akcent 1 75 2" xfId="5582"/>
    <cellStyle name="40% - akcent 1 75 2 2" xfId="12217"/>
    <cellStyle name="40% - akcent 1 75 3" xfId="8927"/>
    <cellStyle name="40% - akcent 1 76" xfId="1737"/>
    <cellStyle name="40% - akcent 1 76 2" xfId="5583"/>
    <cellStyle name="40% - akcent 1 76 2 2" xfId="12218"/>
    <cellStyle name="40% - akcent 1 76 3" xfId="8928"/>
    <cellStyle name="40% - akcent 1 77" xfId="1738"/>
    <cellStyle name="40% - akcent 1 77 2" xfId="5584"/>
    <cellStyle name="40% - akcent 1 77 2 2" xfId="12219"/>
    <cellStyle name="40% - akcent 1 77 3" xfId="8929"/>
    <cellStyle name="40% - akcent 1 78" xfId="1739"/>
    <cellStyle name="40% - akcent 1 78 2" xfId="5585"/>
    <cellStyle name="40% - akcent 1 78 2 2" xfId="12220"/>
    <cellStyle name="40% - akcent 1 78 3" xfId="8930"/>
    <cellStyle name="40% - akcent 1 79" xfId="1740"/>
    <cellStyle name="40% - akcent 1 79 2" xfId="5586"/>
    <cellStyle name="40% - akcent 1 79 2 2" xfId="12221"/>
    <cellStyle name="40% - akcent 1 79 3" xfId="8931"/>
    <cellStyle name="40% - akcent 1 8" xfId="1741"/>
    <cellStyle name="40% - akcent 1 8 2" xfId="1742"/>
    <cellStyle name="40% - akcent 1 8 2 2" xfId="5588"/>
    <cellStyle name="40% - akcent 1 8 2 2 2" xfId="12223"/>
    <cellStyle name="40% - akcent 1 8 2 3" xfId="8933"/>
    <cellStyle name="40% - akcent 1 8 3" xfId="5587"/>
    <cellStyle name="40% - akcent 1 8 3 2" xfId="12222"/>
    <cellStyle name="40% - akcent 1 8 4" xfId="8932"/>
    <cellStyle name="40% - akcent 1 80" xfId="1743"/>
    <cellStyle name="40% - akcent 1 80 2" xfId="5589"/>
    <cellStyle name="40% - akcent 1 80 2 2" xfId="12224"/>
    <cellStyle name="40% - akcent 1 80 3" xfId="8934"/>
    <cellStyle name="40% - akcent 1 81" xfId="1744"/>
    <cellStyle name="40% - akcent 1 81 2" xfId="5590"/>
    <cellStyle name="40% - akcent 1 81 2 2" xfId="12225"/>
    <cellStyle name="40% - akcent 1 81 3" xfId="8935"/>
    <cellStyle name="40% - akcent 1 82" xfId="1745"/>
    <cellStyle name="40% - akcent 1 82 2" xfId="5591"/>
    <cellStyle name="40% - akcent 1 82 2 2" xfId="12226"/>
    <cellStyle name="40% - akcent 1 82 3" xfId="8936"/>
    <cellStyle name="40% - akcent 1 83" xfId="1746"/>
    <cellStyle name="40% - akcent 1 83 2" xfId="5592"/>
    <cellStyle name="40% - akcent 1 83 2 2" xfId="12227"/>
    <cellStyle name="40% - akcent 1 83 3" xfId="8937"/>
    <cellStyle name="40% - akcent 1 84" xfId="1747"/>
    <cellStyle name="40% - akcent 1 84 2" xfId="5593"/>
    <cellStyle name="40% - akcent 1 84 2 2" xfId="12228"/>
    <cellStyle name="40% - akcent 1 84 3" xfId="8938"/>
    <cellStyle name="40% - akcent 1 85" xfId="1748"/>
    <cellStyle name="40% - akcent 1 85 2" xfId="5594"/>
    <cellStyle name="40% - akcent 1 85 2 2" xfId="12229"/>
    <cellStyle name="40% - akcent 1 85 3" xfId="8939"/>
    <cellStyle name="40% - akcent 1 86" xfId="1749"/>
    <cellStyle name="40% - akcent 1 86 2" xfId="5595"/>
    <cellStyle name="40% - akcent 1 86 2 2" xfId="12230"/>
    <cellStyle name="40% - akcent 1 86 3" xfId="8940"/>
    <cellStyle name="40% - akcent 1 87" xfId="1750"/>
    <cellStyle name="40% - akcent 1 87 2" xfId="5596"/>
    <cellStyle name="40% - akcent 1 87 2 2" xfId="12231"/>
    <cellStyle name="40% - akcent 1 87 3" xfId="8941"/>
    <cellStyle name="40% - akcent 1 88" xfId="1751"/>
    <cellStyle name="40% - akcent 1 88 2" xfId="5597"/>
    <cellStyle name="40% - akcent 1 88 2 2" xfId="12232"/>
    <cellStyle name="40% - akcent 1 88 3" xfId="8942"/>
    <cellStyle name="40% - akcent 1 89" xfId="1752"/>
    <cellStyle name="40% - akcent 1 89 2" xfId="5598"/>
    <cellStyle name="40% - akcent 1 89 2 2" xfId="12233"/>
    <cellStyle name="40% - akcent 1 89 3" xfId="8943"/>
    <cellStyle name="40% - akcent 1 9" xfId="1753"/>
    <cellStyle name="40% - akcent 1 9 2" xfId="1754"/>
    <cellStyle name="40% - akcent 1 9 2 2" xfId="5600"/>
    <cellStyle name="40% - akcent 1 9 2 2 2" xfId="12235"/>
    <cellStyle name="40% - akcent 1 9 2 3" xfId="8945"/>
    <cellStyle name="40% - akcent 1 9 3" xfId="5599"/>
    <cellStyle name="40% - akcent 1 9 3 2" xfId="12234"/>
    <cellStyle name="40% - akcent 1 9 4" xfId="8944"/>
    <cellStyle name="40% - akcent 1 90" xfId="1755"/>
    <cellStyle name="40% - akcent 1 90 2" xfId="5601"/>
    <cellStyle name="40% - akcent 1 90 2 2" xfId="12236"/>
    <cellStyle name="40% - akcent 1 90 3" xfId="8946"/>
    <cellStyle name="40% - akcent 1 91" xfId="1756"/>
    <cellStyle name="40% - akcent 1 91 2" xfId="5602"/>
    <cellStyle name="40% - akcent 1 91 2 2" xfId="12237"/>
    <cellStyle name="40% - akcent 1 91 3" xfId="8947"/>
    <cellStyle name="40% - akcent 1 92" xfId="1757"/>
    <cellStyle name="40% - akcent 1 92 2" xfId="5603"/>
    <cellStyle name="40% - akcent 1 92 2 2" xfId="12238"/>
    <cellStyle name="40% - akcent 1 92 3" xfId="8948"/>
    <cellStyle name="40% - akcent 1 93" xfId="1758"/>
    <cellStyle name="40% - akcent 1 93 2" xfId="5604"/>
    <cellStyle name="40% - akcent 1 93 2 2" xfId="12239"/>
    <cellStyle name="40% - akcent 1 93 3" xfId="8949"/>
    <cellStyle name="40% - akcent 1 94" xfId="1759"/>
    <cellStyle name="40% - akcent 1 94 2" xfId="5605"/>
    <cellStyle name="40% - akcent 1 94 2 2" xfId="12240"/>
    <cellStyle name="40% - akcent 1 94 3" xfId="8950"/>
    <cellStyle name="40% - akcent 1 95" xfId="1760"/>
    <cellStyle name="40% - akcent 1 95 2" xfId="5606"/>
    <cellStyle name="40% - akcent 1 95 2 2" xfId="12241"/>
    <cellStyle name="40% - akcent 1 95 3" xfId="8951"/>
    <cellStyle name="40% - akcent 1 96" xfId="1761"/>
    <cellStyle name="40% - akcent 1 96 2" xfId="5607"/>
    <cellStyle name="40% - akcent 1 96 2 2" xfId="12242"/>
    <cellStyle name="40% - akcent 1 96 3" xfId="8952"/>
    <cellStyle name="40% - akcent 1 97" xfId="1762"/>
    <cellStyle name="40% - akcent 1 97 2" xfId="5608"/>
    <cellStyle name="40% - akcent 1 97 2 2" xfId="12243"/>
    <cellStyle name="40% - akcent 1 97 3" xfId="8953"/>
    <cellStyle name="40% - akcent 1 98" xfId="1763"/>
    <cellStyle name="40% - akcent 1 98 2" xfId="5609"/>
    <cellStyle name="40% - akcent 1 98 2 2" xfId="12244"/>
    <cellStyle name="40% - akcent 1 98 3" xfId="8954"/>
    <cellStyle name="40% - akcent 1 99" xfId="1764"/>
    <cellStyle name="40% - akcent 1 99 2" xfId="5610"/>
    <cellStyle name="40% - akcent 1 99 2 2" xfId="12245"/>
    <cellStyle name="40% - akcent 1 99 3" xfId="8955"/>
    <cellStyle name="40% - akcent 2" xfId="1765" builtinId="35" customBuiltin="1"/>
    <cellStyle name="40% - akcent 2 10" xfId="1766"/>
    <cellStyle name="40% - akcent 2 10 2" xfId="1767"/>
    <cellStyle name="40% - akcent 2 10 2 2" xfId="5612"/>
    <cellStyle name="40% - akcent 2 10 2 2 2" xfId="12247"/>
    <cellStyle name="40% - akcent 2 10 2 3" xfId="8957"/>
    <cellStyle name="40% - akcent 2 10 3" xfId="5611"/>
    <cellStyle name="40% - akcent 2 10 3 2" xfId="12246"/>
    <cellStyle name="40% - akcent 2 10 4" xfId="8956"/>
    <cellStyle name="40% - akcent 2 100" xfId="1768"/>
    <cellStyle name="40% - akcent 2 100 2" xfId="5613"/>
    <cellStyle name="40% - akcent 2 100 2 2" xfId="12248"/>
    <cellStyle name="40% - akcent 2 100 3" xfId="8958"/>
    <cellStyle name="40% - akcent 2 101" xfId="1769"/>
    <cellStyle name="40% - akcent 2 101 2" xfId="5614"/>
    <cellStyle name="40% - akcent 2 101 2 2" xfId="12249"/>
    <cellStyle name="40% - akcent 2 101 3" xfId="8959"/>
    <cellStyle name="40% - akcent 2 102" xfId="1770"/>
    <cellStyle name="40% - akcent 2 102 2" xfId="5615"/>
    <cellStyle name="40% - akcent 2 102 2 2" xfId="12250"/>
    <cellStyle name="40% - akcent 2 102 3" xfId="8960"/>
    <cellStyle name="40% - akcent 2 103" xfId="1771"/>
    <cellStyle name="40% - akcent 2 103 2" xfId="5616"/>
    <cellStyle name="40% - akcent 2 103 2 2" xfId="12251"/>
    <cellStyle name="40% - akcent 2 103 3" xfId="8961"/>
    <cellStyle name="40% - akcent 2 104" xfId="1772"/>
    <cellStyle name="40% - akcent 2 104 2" xfId="5617"/>
    <cellStyle name="40% - akcent 2 104 2 2" xfId="12252"/>
    <cellStyle name="40% - akcent 2 104 3" xfId="8962"/>
    <cellStyle name="40% - akcent 2 105" xfId="1773"/>
    <cellStyle name="40% - akcent 2 105 2" xfId="5618"/>
    <cellStyle name="40% - akcent 2 105 2 2" xfId="12253"/>
    <cellStyle name="40% - akcent 2 105 3" xfId="8963"/>
    <cellStyle name="40% - akcent 2 106" xfId="1774"/>
    <cellStyle name="40% - akcent 2 106 2" xfId="5619"/>
    <cellStyle name="40% - akcent 2 106 2 2" xfId="12254"/>
    <cellStyle name="40% - akcent 2 106 3" xfId="8964"/>
    <cellStyle name="40% - akcent 2 107" xfId="1775"/>
    <cellStyle name="40% - akcent 2 107 2" xfId="5620"/>
    <cellStyle name="40% - akcent 2 107 2 2" xfId="12255"/>
    <cellStyle name="40% - akcent 2 107 3" xfId="8965"/>
    <cellStyle name="40% - akcent 2 108" xfId="1776"/>
    <cellStyle name="40% - akcent 2 108 2" xfId="5621"/>
    <cellStyle name="40% - akcent 2 108 2 2" xfId="12256"/>
    <cellStyle name="40% - akcent 2 108 3" xfId="8966"/>
    <cellStyle name="40% - akcent 2 109" xfId="1777"/>
    <cellStyle name="40% - akcent 2 109 2" xfId="5622"/>
    <cellStyle name="40% - akcent 2 109 2 2" xfId="12257"/>
    <cellStyle name="40% - akcent 2 109 3" xfId="8967"/>
    <cellStyle name="40% - akcent 2 11" xfId="1778"/>
    <cellStyle name="40% - akcent 2 11 2" xfId="1779"/>
    <cellStyle name="40% - akcent 2 11 2 2" xfId="5624"/>
    <cellStyle name="40% - akcent 2 11 2 2 2" xfId="12259"/>
    <cellStyle name="40% - akcent 2 11 2 3" xfId="8969"/>
    <cellStyle name="40% - akcent 2 11 3" xfId="5623"/>
    <cellStyle name="40% - akcent 2 11 3 2" xfId="12258"/>
    <cellStyle name="40% - akcent 2 11 4" xfId="8968"/>
    <cellStyle name="40% - akcent 2 110" xfId="1780"/>
    <cellStyle name="40% - akcent 2 110 2" xfId="5625"/>
    <cellStyle name="40% - akcent 2 110 2 2" xfId="12260"/>
    <cellStyle name="40% - akcent 2 110 3" xfId="8970"/>
    <cellStyle name="40% - akcent 2 111" xfId="1781"/>
    <cellStyle name="40% - akcent 2 111 2" xfId="5626"/>
    <cellStyle name="40% - akcent 2 111 2 2" xfId="12261"/>
    <cellStyle name="40% - akcent 2 111 3" xfId="8971"/>
    <cellStyle name="40% - akcent 2 112" xfId="1782"/>
    <cellStyle name="40% - akcent 2 112 2" xfId="5627"/>
    <cellStyle name="40% - akcent 2 112 2 2" xfId="12262"/>
    <cellStyle name="40% - akcent 2 112 3" xfId="8972"/>
    <cellStyle name="40% - akcent 2 113" xfId="1783"/>
    <cellStyle name="40% - akcent 2 113 2" xfId="5628"/>
    <cellStyle name="40% - akcent 2 113 2 2" xfId="12263"/>
    <cellStyle name="40% - akcent 2 113 3" xfId="8973"/>
    <cellStyle name="40% - akcent 2 114" xfId="1784"/>
    <cellStyle name="40% - akcent 2 114 2" xfId="5629"/>
    <cellStyle name="40% - akcent 2 114 2 2" xfId="12264"/>
    <cellStyle name="40% - akcent 2 114 3" xfId="8974"/>
    <cellStyle name="40% - akcent 2 115" xfId="1785"/>
    <cellStyle name="40% - akcent 2 115 2" xfId="5630"/>
    <cellStyle name="40% - akcent 2 115 2 2" xfId="12265"/>
    <cellStyle name="40% - akcent 2 115 3" xfId="8975"/>
    <cellStyle name="40% - akcent 2 116" xfId="1786"/>
    <cellStyle name="40% - akcent 2 116 2" xfId="5631"/>
    <cellStyle name="40% - akcent 2 116 2 2" xfId="12266"/>
    <cellStyle name="40% - akcent 2 116 3" xfId="8976"/>
    <cellStyle name="40% - akcent 2 117" xfId="1787"/>
    <cellStyle name="40% - akcent 2 117 2" xfId="5632"/>
    <cellStyle name="40% - akcent 2 117 2 2" xfId="12267"/>
    <cellStyle name="40% - akcent 2 117 3" xfId="8977"/>
    <cellStyle name="40% - akcent 2 118" xfId="1788"/>
    <cellStyle name="40% - akcent 2 118 2" xfId="5633"/>
    <cellStyle name="40% - akcent 2 118 2 2" xfId="12268"/>
    <cellStyle name="40% - akcent 2 118 3" xfId="8978"/>
    <cellStyle name="40% - akcent 2 119" xfId="1789"/>
    <cellStyle name="40% - akcent 2 119 2" xfId="5634"/>
    <cellStyle name="40% - akcent 2 119 2 2" xfId="12269"/>
    <cellStyle name="40% - akcent 2 119 3" xfId="8979"/>
    <cellStyle name="40% - akcent 2 12" xfId="1790"/>
    <cellStyle name="40% - akcent 2 12 2" xfId="1791"/>
    <cellStyle name="40% - akcent 2 12 2 2" xfId="5636"/>
    <cellStyle name="40% - akcent 2 12 2 2 2" xfId="12271"/>
    <cellStyle name="40% - akcent 2 12 2 3" xfId="8981"/>
    <cellStyle name="40% - akcent 2 12 3" xfId="5635"/>
    <cellStyle name="40% - akcent 2 12 3 2" xfId="12270"/>
    <cellStyle name="40% - akcent 2 12 4" xfId="8980"/>
    <cellStyle name="40% - akcent 2 120" xfId="1792"/>
    <cellStyle name="40% - akcent 2 120 2" xfId="5637"/>
    <cellStyle name="40% - akcent 2 120 2 2" xfId="12272"/>
    <cellStyle name="40% - akcent 2 120 3" xfId="8982"/>
    <cellStyle name="40% - akcent 2 121" xfId="1793"/>
    <cellStyle name="40% - akcent 2 121 2" xfId="5638"/>
    <cellStyle name="40% - akcent 2 121 2 2" xfId="12273"/>
    <cellStyle name="40% - akcent 2 121 3" xfId="8983"/>
    <cellStyle name="40% - akcent 2 122" xfId="1794"/>
    <cellStyle name="40% - akcent 2 122 2" xfId="5639"/>
    <cellStyle name="40% - akcent 2 122 2 2" xfId="12274"/>
    <cellStyle name="40% - akcent 2 122 3" xfId="8984"/>
    <cellStyle name="40% - akcent 2 123" xfId="1795"/>
    <cellStyle name="40% - akcent 2 123 2" xfId="5640"/>
    <cellStyle name="40% - akcent 2 123 2 2" xfId="12275"/>
    <cellStyle name="40% - akcent 2 123 3" xfId="8985"/>
    <cellStyle name="40% - akcent 2 124" xfId="1796"/>
    <cellStyle name="40% - akcent 2 124 2" xfId="5641"/>
    <cellStyle name="40% - akcent 2 124 2 2" xfId="12276"/>
    <cellStyle name="40% - akcent 2 124 3" xfId="8986"/>
    <cellStyle name="40% - akcent 2 125" xfId="1797"/>
    <cellStyle name="40% - akcent 2 125 2" xfId="5642"/>
    <cellStyle name="40% - akcent 2 125 2 2" xfId="12277"/>
    <cellStyle name="40% - akcent 2 125 3" xfId="8987"/>
    <cellStyle name="40% - akcent 2 126" xfId="1798"/>
    <cellStyle name="40% - akcent 2 126 2" xfId="5643"/>
    <cellStyle name="40% - akcent 2 126 2 2" xfId="12278"/>
    <cellStyle name="40% - akcent 2 126 3" xfId="8988"/>
    <cellStyle name="40% - akcent 2 127" xfId="1799"/>
    <cellStyle name="40% - akcent 2 127 2" xfId="5644"/>
    <cellStyle name="40% - akcent 2 127 2 2" xfId="12279"/>
    <cellStyle name="40% - akcent 2 127 3" xfId="8989"/>
    <cellStyle name="40% - akcent 2 128" xfId="1800"/>
    <cellStyle name="40% - akcent 2 128 2" xfId="5645"/>
    <cellStyle name="40% - akcent 2 128 2 2" xfId="12280"/>
    <cellStyle name="40% - akcent 2 128 3" xfId="8990"/>
    <cellStyle name="40% - akcent 2 129" xfId="1801"/>
    <cellStyle name="40% - akcent 2 129 2" xfId="5646"/>
    <cellStyle name="40% - akcent 2 129 2 2" xfId="12281"/>
    <cellStyle name="40% - akcent 2 129 3" xfId="8991"/>
    <cellStyle name="40% - akcent 2 13" xfId="1802"/>
    <cellStyle name="40% - akcent 2 13 2" xfId="1803"/>
    <cellStyle name="40% - akcent 2 13 2 2" xfId="5648"/>
    <cellStyle name="40% - akcent 2 13 2 2 2" xfId="12283"/>
    <cellStyle name="40% - akcent 2 13 2 3" xfId="8993"/>
    <cellStyle name="40% - akcent 2 13 3" xfId="5647"/>
    <cellStyle name="40% - akcent 2 13 3 2" xfId="12282"/>
    <cellStyle name="40% - akcent 2 13 4" xfId="8992"/>
    <cellStyle name="40% - akcent 2 130" xfId="1804"/>
    <cellStyle name="40% - akcent 2 130 2" xfId="5649"/>
    <cellStyle name="40% - akcent 2 130 2 2" xfId="12284"/>
    <cellStyle name="40% - akcent 2 130 3" xfId="8994"/>
    <cellStyle name="40% - akcent 2 131" xfId="1805"/>
    <cellStyle name="40% - akcent 2 131 2" xfId="5650"/>
    <cellStyle name="40% - akcent 2 131 2 2" xfId="12285"/>
    <cellStyle name="40% - akcent 2 131 3" xfId="8995"/>
    <cellStyle name="40% - akcent 2 132" xfId="1806"/>
    <cellStyle name="40% - akcent 2 132 2" xfId="5651"/>
    <cellStyle name="40% - akcent 2 132 2 2" xfId="12286"/>
    <cellStyle name="40% - akcent 2 132 3" xfId="8996"/>
    <cellStyle name="40% - akcent 2 133" xfId="1807"/>
    <cellStyle name="40% - akcent 2 133 2" xfId="5652"/>
    <cellStyle name="40% - akcent 2 133 2 2" xfId="12287"/>
    <cellStyle name="40% - akcent 2 133 3" xfId="8997"/>
    <cellStyle name="40% - akcent 2 134" xfId="1808"/>
    <cellStyle name="40% - akcent 2 134 2" xfId="5653"/>
    <cellStyle name="40% - akcent 2 134 2 2" xfId="12288"/>
    <cellStyle name="40% - akcent 2 134 3" xfId="8998"/>
    <cellStyle name="40% - akcent 2 135" xfId="1809"/>
    <cellStyle name="40% - akcent 2 135 2" xfId="5654"/>
    <cellStyle name="40% - akcent 2 135 2 2" xfId="12289"/>
    <cellStyle name="40% - akcent 2 135 3" xfId="8999"/>
    <cellStyle name="40% - akcent 2 136" xfId="1810"/>
    <cellStyle name="40% - akcent 2 136 2" xfId="5655"/>
    <cellStyle name="40% - akcent 2 136 2 2" xfId="12290"/>
    <cellStyle name="40% - akcent 2 136 3" xfId="9000"/>
    <cellStyle name="40% - akcent 2 137" xfId="1811"/>
    <cellStyle name="40% - akcent 2 137 2" xfId="5656"/>
    <cellStyle name="40% - akcent 2 137 2 2" xfId="12291"/>
    <cellStyle name="40% - akcent 2 137 3" xfId="9001"/>
    <cellStyle name="40% - akcent 2 138" xfId="1812"/>
    <cellStyle name="40% - akcent 2 138 2" xfId="5657"/>
    <cellStyle name="40% - akcent 2 138 2 2" xfId="12292"/>
    <cellStyle name="40% - akcent 2 138 3" xfId="9002"/>
    <cellStyle name="40% - akcent 2 139" xfId="1813"/>
    <cellStyle name="40% - akcent 2 139 2" xfId="5658"/>
    <cellStyle name="40% - akcent 2 139 2 2" xfId="12293"/>
    <cellStyle name="40% - akcent 2 139 3" xfId="9003"/>
    <cellStyle name="40% - akcent 2 14" xfId="1814"/>
    <cellStyle name="40% - akcent 2 14 2" xfId="1815"/>
    <cellStyle name="40% - akcent 2 14 2 2" xfId="5660"/>
    <cellStyle name="40% - akcent 2 14 2 2 2" xfId="12295"/>
    <cellStyle name="40% - akcent 2 14 2 3" xfId="9005"/>
    <cellStyle name="40% - akcent 2 14 3" xfId="5659"/>
    <cellStyle name="40% - akcent 2 14 3 2" xfId="12294"/>
    <cellStyle name="40% - akcent 2 14 4" xfId="9004"/>
    <cellStyle name="40% - akcent 2 140" xfId="1816"/>
    <cellStyle name="40% - akcent 2 140 2" xfId="5661"/>
    <cellStyle name="40% - akcent 2 140 2 2" xfId="12296"/>
    <cellStyle name="40% - akcent 2 140 3" xfId="9006"/>
    <cellStyle name="40% - akcent 2 141" xfId="1817"/>
    <cellStyle name="40% - akcent 2 141 2" xfId="5662"/>
    <cellStyle name="40% - akcent 2 141 2 2" xfId="12297"/>
    <cellStyle name="40% - akcent 2 141 3" xfId="9007"/>
    <cellStyle name="40% - akcent 2 142" xfId="1818"/>
    <cellStyle name="40% - akcent 2 142 2" xfId="5663"/>
    <cellStyle name="40% - akcent 2 142 2 2" xfId="12298"/>
    <cellStyle name="40% - akcent 2 142 3" xfId="9008"/>
    <cellStyle name="40% - akcent 2 143" xfId="1819"/>
    <cellStyle name="40% - akcent 2 143 2" xfId="5664"/>
    <cellStyle name="40% - akcent 2 143 2 2" xfId="12299"/>
    <cellStyle name="40% - akcent 2 143 3" xfId="9009"/>
    <cellStyle name="40% - akcent 2 144" xfId="1820"/>
    <cellStyle name="40% - akcent 2 144 2" xfId="5665"/>
    <cellStyle name="40% - akcent 2 144 2 2" xfId="12300"/>
    <cellStyle name="40% - akcent 2 144 3" xfId="9010"/>
    <cellStyle name="40% - akcent 2 145" xfId="1821"/>
    <cellStyle name="40% - akcent 2 145 2" xfId="5666"/>
    <cellStyle name="40% - akcent 2 145 2 2" xfId="12301"/>
    <cellStyle name="40% - akcent 2 145 3" xfId="9011"/>
    <cellStyle name="40% - akcent 2 146" xfId="1822"/>
    <cellStyle name="40% - akcent 2 146 2" xfId="5667"/>
    <cellStyle name="40% - akcent 2 146 2 2" xfId="12302"/>
    <cellStyle name="40% - akcent 2 146 3" xfId="9012"/>
    <cellStyle name="40% - akcent 2 147" xfId="1823"/>
    <cellStyle name="40% - akcent 2 147 2" xfId="5668"/>
    <cellStyle name="40% - akcent 2 147 2 2" xfId="12303"/>
    <cellStyle name="40% - akcent 2 147 3" xfId="9013"/>
    <cellStyle name="40% - akcent 2 148" xfId="1824"/>
    <cellStyle name="40% - akcent 2 148 2" xfId="5669"/>
    <cellStyle name="40% - akcent 2 148 2 2" xfId="12304"/>
    <cellStyle name="40% - akcent 2 148 3" xfId="9014"/>
    <cellStyle name="40% - akcent 2 149" xfId="1825"/>
    <cellStyle name="40% - akcent 2 149 2" xfId="5670"/>
    <cellStyle name="40% - akcent 2 149 2 2" xfId="12305"/>
    <cellStyle name="40% - akcent 2 149 3" xfId="9015"/>
    <cellStyle name="40% - akcent 2 15" xfId="1826"/>
    <cellStyle name="40% - akcent 2 15 2" xfId="1827"/>
    <cellStyle name="40% - akcent 2 15 2 2" xfId="5672"/>
    <cellStyle name="40% - akcent 2 15 2 2 2" xfId="12307"/>
    <cellStyle name="40% - akcent 2 15 2 3" xfId="9017"/>
    <cellStyle name="40% - akcent 2 15 3" xfId="5671"/>
    <cellStyle name="40% - akcent 2 15 3 2" xfId="12306"/>
    <cellStyle name="40% - akcent 2 15 4" xfId="9016"/>
    <cellStyle name="40% - akcent 2 150" xfId="1828"/>
    <cellStyle name="40% - akcent 2 150 2" xfId="5673"/>
    <cellStyle name="40% - akcent 2 150 2 2" xfId="12308"/>
    <cellStyle name="40% - akcent 2 150 3" xfId="9018"/>
    <cellStyle name="40% - akcent 2 151" xfId="1829"/>
    <cellStyle name="40% - akcent 2 151 2" xfId="5674"/>
    <cellStyle name="40% - akcent 2 151 2 2" xfId="12309"/>
    <cellStyle name="40% - akcent 2 151 3" xfId="9019"/>
    <cellStyle name="40% - akcent 2 152" xfId="1830"/>
    <cellStyle name="40% - akcent 2 152 2" xfId="5675"/>
    <cellStyle name="40% - akcent 2 152 2 2" xfId="12310"/>
    <cellStyle name="40% - akcent 2 152 3" xfId="9020"/>
    <cellStyle name="40% - akcent 2 153" xfId="1831"/>
    <cellStyle name="40% - akcent 2 153 2" xfId="5676"/>
    <cellStyle name="40% - akcent 2 153 2 2" xfId="12311"/>
    <cellStyle name="40% - akcent 2 153 3" xfId="9021"/>
    <cellStyle name="40% - akcent 2 154" xfId="1832"/>
    <cellStyle name="40% - akcent 2 154 2" xfId="5677"/>
    <cellStyle name="40% - akcent 2 154 2 2" xfId="12312"/>
    <cellStyle name="40% - akcent 2 154 3" xfId="9022"/>
    <cellStyle name="40% - akcent 2 155" xfId="1833"/>
    <cellStyle name="40% - akcent 2 155 2" xfId="5678"/>
    <cellStyle name="40% - akcent 2 155 2 2" xfId="12313"/>
    <cellStyle name="40% - akcent 2 155 3" xfId="9023"/>
    <cellStyle name="40% - akcent 2 156" xfId="1834"/>
    <cellStyle name="40% - akcent 2 156 2" xfId="5679"/>
    <cellStyle name="40% - akcent 2 156 2 2" xfId="12314"/>
    <cellStyle name="40% - akcent 2 156 3" xfId="9024"/>
    <cellStyle name="40% - akcent 2 157" xfId="1835"/>
    <cellStyle name="40% - akcent 2 157 2" xfId="5680"/>
    <cellStyle name="40% - akcent 2 157 2 2" xfId="12315"/>
    <cellStyle name="40% - akcent 2 157 3" xfId="9025"/>
    <cellStyle name="40% - akcent 2 158" xfId="1836"/>
    <cellStyle name="40% - akcent 2 158 2" xfId="5681"/>
    <cellStyle name="40% - akcent 2 158 2 2" xfId="12316"/>
    <cellStyle name="40% - akcent 2 158 3" xfId="9026"/>
    <cellStyle name="40% - akcent 2 159" xfId="1837"/>
    <cellStyle name="40% - akcent 2 159 2" xfId="5682"/>
    <cellStyle name="40% - akcent 2 159 2 2" xfId="12317"/>
    <cellStyle name="40% - akcent 2 159 3" xfId="9027"/>
    <cellStyle name="40% - akcent 2 16" xfId="1838"/>
    <cellStyle name="40% - akcent 2 16 2" xfId="1839"/>
    <cellStyle name="40% - akcent 2 16 2 2" xfId="5684"/>
    <cellStyle name="40% - akcent 2 16 2 2 2" xfId="12319"/>
    <cellStyle name="40% - akcent 2 16 2 3" xfId="9029"/>
    <cellStyle name="40% - akcent 2 16 3" xfId="5683"/>
    <cellStyle name="40% - akcent 2 16 3 2" xfId="12318"/>
    <cellStyle name="40% - akcent 2 16 4" xfId="9028"/>
    <cellStyle name="40% - akcent 2 160" xfId="1840"/>
    <cellStyle name="40% - akcent 2 160 2" xfId="5685"/>
    <cellStyle name="40% - akcent 2 160 2 2" xfId="12320"/>
    <cellStyle name="40% - akcent 2 160 3" xfId="9030"/>
    <cellStyle name="40% - akcent 2 161" xfId="1841"/>
    <cellStyle name="40% - akcent 2 161 2" xfId="5686"/>
    <cellStyle name="40% - akcent 2 161 2 2" xfId="12321"/>
    <cellStyle name="40% - akcent 2 161 3" xfId="9031"/>
    <cellStyle name="40% - akcent 2 162" xfId="1842"/>
    <cellStyle name="40% - akcent 2 162 2" xfId="5687"/>
    <cellStyle name="40% - akcent 2 162 2 2" xfId="12322"/>
    <cellStyle name="40% - akcent 2 162 3" xfId="9032"/>
    <cellStyle name="40% - akcent 2 163" xfId="1843"/>
    <cellStyle name="40% - akcent 2 163 2" xfId="5688"/>
    <cellStyle name="40% - akcent 2 163 2 2" xfId="12323"/>
    <cellStyle name="40% - akcent 2 163 3" xfId="9033"/>
    <cellStyle name="40% - akcent 2 164" xfId="1844"/>
    <cellStyle name="40% - akcent 2 164 2" xfId="5689"/>
    <cellStyle name="40% - akcent 2 164 2 2" xfId="12324"/>
    <cellStyle name="40% - akcent 2 164 3" xfId="9034"/>
    <cellStyle name="40% - akcent 2 165" xfId="1845"/>
    <cellStyle name="40% - akcent 2 165 2" xfId="5690"/>
    <cellStyle name="40% - akcent 2 165 2 2" xfId="12325"/>
    <cellStyle name="40% - akcent 2 165 3" xfId="9035"/>
    <cellStyle name="40% - akcent 2 166" xfId="1846"/>
    <cellStyle name="40% - akcent 2 166 2" xfId="5691"/>
    <cellStyle name="40% - akcent 2 166 2 2" xfId="12326"/>
    <cellStyle name="40% - akcent 2 166 3" xfId="9036"/>
    <cellStyle name="40% - akcent 2 167" xfId="1847"/>
    <cellStyle name="40% - akcent 2 167 2" xfId="5692"/>
    <cellStyle name="40% - akcent 2 167 2 2" xfId="12327"/>
    <cellStyle name="40% - akcent 2 167 3" xfId="9037"/>
    <cellStyle name="40% - akcent 2 168" xfId="1848"/>
    <cellStyle name="40% - akcent 2 168 2" xfId="5693"/>
    <cellStyle name="40% - akcent 2 168 2 2" xfId="12328"/>
    <cellStyle name="40% - akcent 2 168 3" xfId="9038"/>
    <cellStyle name="40% - akcent 2 169" xfId="1849"/>
    <cellStyle name="40% - akcent 2 169 2" xfId="5694"/>
    <cellStyle name="40% - akcent 2 169 2 2" xfId="12329"/>
    <cellStyle name="40% - akcent 2 169 3" xfId="9039"/>
    <cellStyle name="40% - akcent 2 17" xfId="1850"/>
    <cellStyle name="40% - akcent 2 17 2" xfId="1851"/>
    <cellStyle name="40% - akcent 2 17 2 2" xfId="5696"/>
    <cellStyle name="40% - akcent 2 17 2 2 2" xfId="12331"/>
    <cellStyle name="40% - akcent 2 17 2 3" xfId="9041"/>
    <cellStyle name="40% - akcent 2 17 3" xfId="5695"/>
    <cellStyle name="40% - akcent 2 17 3 2" xfId="12330"/>
    <cellStyle name="40% - akcent 2 17 4" xfId="9040"/>
    <cellStyle name="40% - akcent 2 170" xfId="1852"/>
    <cellStyle name="40% - akcent 2 170 2" xfId="5697"/>
    <cellStyle name="40% - akcent 2 170 2 2" xfId="12332"/>
    <cellStyle name="40% - akcent 2 170 3" xfId="9042"/>
    <cellStyle name="40% - akcent 2 171" xfId="1853"/>
    <cellStyle name="40% - akcent 2 171 2" xfId="5698"/>
    <cellStyle name="40% - akcent 2 171 2 2" xfId="12333"/>
    <cellStyle name="40% - akcent 2 171 3" xfId="9043"/>
    <cellStyle name="40% - akcent 2 172" xfId="1854"/>
    <cellStyle name="40% - akcent 2 172 2" xfId="5699"/>
    <cellStyle name="40% - akcent 2 172 2 2" xfId="12334"/>
    <cellStyle name="40% - akcent 2 172 3" xfId="9044"/>
    <cellStyle name="40% - akcent 2 173" xfId="1855"/>
    <cellStyle name="40% - akcent 2 173 2" xfId="5700"/>
    <cellStyle name="40% - akcent 2 173 2 2" xfId="12335"/>
    <cellStyle name="40% - akcent 2 173 3" xfId="9045"/>
    <cellStyle name="40% - akcent 2 174" xfId="1856"/>
    <cellStyle name="40% - akcent 2 174 2" xfId="5701"/>
    <cellStyle name="40% - akcent 2 174 2 2" xfId="12336"/>
    <cellStyle name="40% - akcent 2 174 3" xfId="9046"/>
    <cellStyle name="40% - akcent 2 175" xfId="1857"/>
    <cellStyle name="40% - akcent 2 175 2" xfId="5702"/>
    <cellStyle name="40% - akcent 2 175 2 2" xfId="12337"/>
    <cellStyle name="40% - akcent 2 175 3" xfId="9047"/>
    <cellStyle name="40% - akcent 2 176" xfId="1858"/>
    <cellStyle name="40% - akcent 2 176 2" xfId="5703"/>
    <cellStyle name="40% - akcent 2 176 2 2" xfId="12338"/>
    <cellStyle name="40% - akcent 2 176 3" xfId="9048"/>
    <cellStyle name="40% - akcent 2 177" xfId="1859"/>
    <cellStyle name="40% - akcent 2 177 2" xfId="5704"/>
    <cellStyle name="40% - akcent 2 177 2 2" xfId="12339"/>
    <cellStyle name="40% - akcent 2 177 3" xfId="9049"/>
    <cellStyle name="40% - akcent 2 178" xfId="1860"/>
    <cellStyle name="40% - akcent 2 178 2" xfId="5705"/>
    <cellStyle name="40% - akcent 2 178 2 2" xfId="12340"/>
    <cellStyle name="40% - akcent 2 178 3" xfId="9050"/>
    <cellStyle name="40% - akcent 2 179" xfId="1861"/>
    <cellStyle name="40% - akcent 2 179 2" xfId="5706"/>
    <cellStyle name="40% - akcent 2 179 2 2" xfId="12341"/>
    <cellStyle name="40% - akcent 2 179 3" xfId="9051"/>
    <cellStyle name="40% - akcent 2 18" xfId="1862"/>
    <cellStyle name="40% - akcent 2 18 2" xfId="1863"/>
    <cellStyle name="40% - akcent 2 18 2 2" xfId="5708"/>
    <cellStyle name="40% - akcent 2 18 2 2 2" xfId="12343"/>
    <cellStyle name="40% - akcent 2 18 2 3" xfId="9053"/>
    <cellStyle name="40% - akcent 2 18 3" xfId="5707"/>
    <cellStyle name="40% - akcent 2 18 3 2" xfId="12342"/>
    <cellStyle name="40% - akcent 2 18 4" xfId="9052"/>
    <cellStyle name="40% - akcent 2 180" xfId="1864"/>
    <cellStyle name="40% - akcent 2 180 2" xfId="5709"/>
    <cellStyle name="40% - akcent 2 180 2 2" xfId="12344"/>
    <cellStyle name="40% - akcent 2 180 3" xfId="9054"/>
    <cellStyle name="40% - akcent 2 181" xfId="1865"/>
    <cellStyle name="40% - akcent 2 181 2" xfId="5710"/>
    <cellStyle name="40% - akcent 2 181 2 2" xfId="12345"/>
    <cellStyle name="40% - akcent 2 181 3" xfId="9055"/>
    <cellStyle name="40% - akcent 2 182" xfId="1866"/>
    <cellStyle name="40% - akcent 2 182 2" xfId="5711"/>
    <cellStyle name="40% - akcent 2 182 2 2" xfId="12346"/>
    <cellStyle name="40% - akcent 2 182 3" xfId="9056"/>
    <cellStyle name="40% - akcent 2 183" xfId="1867"/>
    <cellStyle name="40% - akcent 2 183 2" xfId="5712"/>
    <cellStyle name="40% - akcent 2 183 2 2" xfId="12347"/>
    <cellStyle name="40% - akcent 2 183 3" xfId="9057"/>
    <cellStyle name="40% - akcent 2 184" xfId="1868"/>
    <cellStyle name="40% - akcent 2 184 2" xfId="5713"/>
    <cellStyle name="40% - akcent 2 184 2 2" xfId="12348"/>
    <cellStyle name="40% - akcent 2 184 3" xfId="9058"/>
    <cellStyle name="40% - akcent 2 185" xfId="1869"/>
    <cellStyle name="40% - akcent 2 185 2" xfId="5714"/>
    <cellStyle name="40% - akcent 2 185 2 2" xfId="12349"/>
    <cellStyle name="40% - akcent 2 185 3" xfId="9059"/>
    <cellStyle name="40% - akcent 2 186" xfId="1870"/>
    <cellStyle name="40% - akcent 2 186 2" xfId="5715"/>
    <cellStyle name="40% - akcent 2 186 2 2" xfId="12350"/>
    <cellStyle name="40% - akcent 2 186 3" xfId="9060"/>
    <cellStyle name="40% - akcent 2 187" xfId="1871"/>
    <cellStyle name="40% - akcent 2 187 2" xfId="5716"/>
    <cellStyle name="40% - akcent 2 187 2 2" xfId="12351"/>
    <cellStyle name="40% - akcent 2 187 3" xfId="9061"/>
    <cellStyle name="40% - akcent 2 188" xfId="1872"/>
    <cellStyle name="40% - akcent 2 188 2" xfId="5717"/>
    <cellStyle name="40% - akcent 2 188 2 2" xfId="12352"/>
    <cellStyle name="40% - akcent 2 188 3" xfId="9062"/>
    <cellStyle name="40% - akcent 2 189" xfId="1873"/>
    <cellStyle name="40% - akcent 2 189 2" xfId="5718"/>
    <cellStyle name="40% - akcent 2 189 2 2" xfId="12353"/>
    <cellStyle name="40% - akcent 2 189 3" xfId="9063"/>
    <cellStyle name="40% - akcent 2 19" xfId="1874"/>
    <cellStyle name="40% - akcent 2 19 2" xfId="1875"/>
    <cellStyle name="40% - akcent 2 19 2 2" xfId="5720"/>
    <cellStyle name="40% - akcent 2 19 2 2 2" xfId="12355"/>
    <cellStyle name="40% - akcent 2 19 2 3" xfId="9065"/>
    <cellStyle name="40% - akcent 2 19 3" xfId="5719"/>
    <cellStyle name="40% - akcent 2 19 3 2" xfId="12354"/>
    <cellStyle name="40% - akcent 2 19 4" xfId="9064"/>
    <cellStyle name="40% - akcent 2 190" xfId="1876"/>
    <cellStyle name="40% - akcent 2 190 2" xfId="5721"/>
    <cellStyle name="40% - akcent 2 190 2 2" xfId="12356"/>
    <cellStyle name="40% - akcent 2 190 3" xfId="9066"/>
    <cellStyle name="40% - akcent 2 191" xfId="1877"/>
    <cellStyle name="40% - akcent 2 191 2" xfId="5722"/>
    <cellStyle name="40% - akcent 2 191 2 2" xfId="12357"/>
    <cellStyle name="40% - akcent 2 191 3" xfId="9067"/>
    <cellStyle name="40% - akcent 2 192" xfId="1878"/>
    <cellStyle name="40% - akcent 2 192 2" xfId="5723"/>
    <cellStyle name="40% - akcent 2 192 2 2" xfId="12358"/>
    <cellStyle name="40% - akcent 2 192 3" xfId="9068"/>
    <cellStyle name="40% - akcent 2 193" xfId="1879"/>
    <cellStyle name="40% - akcent 2 193 2" xfId="5724"/>
    <cellStyle name="40% - akcent 2 193 2 2" xfId="12359"/>
    <cellStyle name="40% - akcent 2 193 3" xfId="9069"/>
    <cellStyle name="40% - akcent 2 194" xfId="1880"/>
    <cellStyle name="40% - akcent 2 194 2" xfId="5725"/>
    <cellStyle name="40% - akcent 2 194 2 2" xfId="12360"/>
    <cellStyle name="40% - akcent 2 194 3" xfId="9070"/>
    <cellStyle name="40% - akcent 2 195" xfId="3840"/>
    <cellStyle name="40% - akcent 2 195 2" xfId="10475"/>
    <cellStyle name="40% - akcent 2 196" xfId="7124"/>
    <cellStyle name="40% - akcent 2 197" xfId="7189"/>
    <cellStyle name="40% - akcent 2 2" xfId="1881"/>
    <cellStyle name="40% - akcent 2 2 2" xfId="1882"/>
    <cellStyle name="40% - akcent 2 2 2 2" xfId="5727"/>
    <cellStyle name="40% - akcent 2 2 2 2 2" xfId="12362"/>
    <cellStyle name="40% - akcent 2 2 2 3" xfId="9072"/>
    <cellStyle name="40% - akcent 2 2 3" xfId="5726"/>
    <cellStyle name="40% - akcent 2 2 3 2" xfId="12361"/>
    <cellStyle name="40% - akcent 2 2 4" xfId="9071"/>
    <cellStyle name="40% - akcent 2 20" xfId="1883"/>
    <cellStyle name="40% - akcent 2 20 2" xfId="1884"/>
    <cellStyle name="40% - akcent 2 20 2 2" xfId="5729"/>
    <cellStyle name="40% - akcent 2 20 2 2 2" xfId="12364"/>
    <cellStyle name="40% - akcent 2 20 2 3" xfId="9074"/>
    <cellStyle name="40% - akcent 2 20 3" xfId="5728"/>
    <cellStyle name="40% - akcent 2 20 3 2" xfId="12363"/>
    <cellStyle name="40% - akcent 2 20 4" xfId="9073"/>
    <cellStyle name="40% - akcent 2 21" xfId="1885"/>
    <cellStyle name="40% - akcent 2 21 2" xfId="1886"/>
    <cellStyle name="40% - akcent 2 21 2 2" xfId="5731"/>
    <cellStyle name="40% - akcent 2 21 2 2 2" xfId="12366"/>
    <cellStyle name="40% - akcent 2 21 2 3" xfId="9076"/>
    <cellStyle name="40% - akcent 2 21 3" xfId="5730"/>
    <cellStyle name="40% - akcent 2 21 3 2" xfId="12365"/>
    <cellStyle name="40% - akcent 2 21 4" xfId="9075"/>
    <cellStyle name="40% - akcent 2 22" xfId="1887"/>
    <cellStyle name="40% - akcent 2 22 2" xfId="1888"/>
    <cellStyle name="40% - akcent 2 22 2 2" xfId="5733"/>
    <cellStyle name="40% - akcent 2 22 2 2 2" xfId="12368"/>
    <cellStyle name="40% - akcent 2 22 2 3" xfId="9078"/>
    <cellStyle name="40% - akcent 2 22 3" xfId="5732"/>
    <cellStyle name="40% - akcent 2 22 3 2" xfId="12367"/>
    <cellStyle name="40% - akcent 2 22 4" xfId="9077"/>
    <cellStyle name="40% - akcent 2 23" xfId="1889"/>
    <cellStyle name="40% - akcent 2 23 2" xfId="1890"/>
    <cellStyle name="40% - akcent 2 23 2 2" xfId="5735"/>
    <cellStyle name="40% - akcent 2 23 2 2 2" xfId="12370"/>
    <cellStyle name="40% - akcent 2 23 2 3" xfId="9080"/>
    <cellStyle name="40% - akcent 2 23 3" xfId="5734"/>
    <cellStyle name="40% - akcent 2 23 3 2" xfId="12369"/>
    <cellStyle name="40% - akcent 2 23 4" xfId="9079"/>
    <cellStyle name="40% - akcent 2 24" xfId="1891"/>
    <cellStyle name="40% - akcent 2 24 2" xfId="1892"/>
    <cellStyle name="40% - akcent 2 24 2 2" xfId="5737"/>
    <cellStyle name="40% - akcent 2 24 2 2 2" xfId="12372"/>
    <cellStyle name="40% - akcent 2 24 2 3" xfId="9082"/>
    <cellStyle name="40% - akcent 2 24 3" xfId="5736"/>
    <cellStyle name="40% - akcent 2 24 3 2" xfId="12371"/>
    <cellStyle name="40% - akcent 2 24 4" xfId="9081"/>
    <cellStyle name="40% - akcent 2 25" xfId="1893"/>
    <cellStyle name="40% - akcent 2 25 2" xfId="1894"/>
    <cellStyle name="40% - akcent 2 25 2 2" xfId="5739"/>
    <cellStyle name="40% - akcent 2 25 2 2 2" xfId="12374"/>
    <cellStyle name="40% - akcent 2 25 2 3" xfId="9084"/>
    <cellStyle name="40% - akcent 2 25 3" xfId="5738"/>
    <cellStyle name="40% - akcent 2 25 3 2" xfId="12373"/>
    <cellStyle name="40% - akcent 2 25 4" xfId="9083"/>
    <cellStyle name="40% - akcent 2 26" xfId="1895"/>
    <cellStyle name="40% - akcent 2 26 2" xfId="1896"/>
    <cellStyle name="40% - akcent 2 26 2 2" xfId="5741"/>
    <cellStyle name="40% - akcent 2 26 2 2 2" xfId="12376"/>
    <cellStyle name="40% - akcent 2 26 2 3" xfId="9086"/>
    <cellStyle name="40% - akcent 2 26 3" xfId="5740"/>
    <cellStyle name="40% - akcent 2 26 3 2" xfId="12375"/>
    <cellStyle name="40% - akcent 2 26 4" xfId="9085"/>
    <cellStyle name="40% - akcent 2 27" xfId="1897"/>
    <cellStyle name="40% - akcent 2 27 2" xfId="1898"/>
    <cellStyle name="40% - akcent 2 27 2 2" xfId="5743"/>
    <cellStyle name="40% - akcent 2 27 2 2 2" xfId="12378"/>
    <cellStyle name="40% - akcent 2 27 2 3" xfId="9088"/>
    <cellStyle name="40% - akcent 2 27 3" xfId="5742"/>
    <cellStyle name="40% - akcent 2 27 3 2" xfId="12377"/>
    <cellStyle name="40% - akcent 2 27 4" xfId="9087"/>
    <cellStyle name="40% - akcent 2 28" xfId="1899"/>
    <cellStyle name="40% - akcent 2 28 2" xfId="1900"/>
    <cellStyle name="40% - akcent 2 28 2 2" xfId="5745"/>
    <cellStyle name="40% - akcent 2 28 2 2 2" xfId="12380"/>
    <cellStyle name="40% - akcent 2 28 2 3" xfId="9090"/>
    <cellStyle name="40% - akcent 2 28 3" xfId="5744"/>
    <cellStyle name="40% - akcent 2 28 3 2" xfId="12379"/>
    <cellStyle name="40% - akcent 2 28 4" xfId="9089"/>
    <cellStyle name="40% - akcent 2 29" xfId="1901"/>
    <cellStyle name="40% - akcent 2 29 2" xfId="1902"/>
    <cellStyle name="40% - akcent 2 29 2 2" xfId="5747"/>
    <cellStyle name="40% - akcent 2 29 2 2 2" xfId="12382"/>
    <cellStyle name="40% - akcent 2 29 2 3" xfId="9092"/>
    <cellStyle name="40% - akcent 2 29 3" xfId="5746"/>
    <cellStyle name="40% - akcent 2 29 3 2" xfId="12381"/>
    <cellStyle name="40% - akcent 2 29 4" xfId="9091"/>
    <cellStyle name="40% - akcent 2 3" xfId="1903"/>
    <cellStyle name="40% - akcent 2 3 2" xfId="1904"/>
    <cellStyle name="40% - akcent 2 3 2 2" xfId="5749"/>
    <cellStyle name="40% - akcent 2 3 2 2 2" xfId="12384"/>
    <cellStyle name="40% - akcent 2 3 2 3" xfId="9094"/>
    <cellStyle name="40% - akcent 2 3 3" xfId="5748"/>
    <cellStyle name="40% - akcent 2 3 3 2" xfId="12383"/>
    <cellStyle name="40% - akcent 2 3 4" xfId="9093"/>
    <cellStyle name="40% - akcent 2 30" xfId="1905"/>
    <cellStyle name="40% - akcent 2 30 2" xfId="1906"/>
    <cellStyle name="40% - akcent 2 30 2 2" xfId="5751"/>
    <cellStyle name="40% - akcent 2 30 2 2 2" xfId="12386"/>
    <cellStyle name="40% - akcent 2 30 2 3" xfId="9096"/>
    <cellStyle name="40% - akcent 2 30 3" xfId="5750"/>
    <cellStyle name="40% - akcent 2 30 3 2" xfId="12385"/>
    <cellStyle name="40% - akcent 2 30 4" xfId="9095"/>
    <cellStyle name="40% - akcent 2 31" xfId="1907"/>
    <cellStyle name="40% - akcent 2 31 2" xfId="1908"/>
    <cellStyle name="40% - akcent 2 31 2 2" xfId="5753"/>
    <cellStyle name="40% - akcent 2 31 2 2 2" xfId="12388"/>
    <cellStyle name="40% - akcent 2 31 2 3" xfId="9098"/>
    <cellStyle name="40% - akcent 2 31 3" xfId="5752"/>
    <cellStyle name="40% - akcent 2 31 3 2" xfId="12387"/>
    <cellStyle name="40% - akcent 2 31 4" xfId="9097"/>
    <cellStyle name="40% - akcent 2 32" xfId="1909"/>
    <cellStyle name="40% - akcent 2 32 2" xfId="1910"/>
    <cellStyle name="40% - akcent 2 32 2 2" xfId="5755"/>
    <cellStyle name="40% - akcent 2 32 2 2 2" xfId="12390"/>
    <cellStyle name="40% - akcent 2 32 2 3" xfId="9100"/>
    <cellStyle name="40% - akcent 2 32 3" xfId="5754"/>
    <cellStyle name="40% - akcent 2 32 3 2" xfId="12389"/>
    <cellStyle name="40% - akcent 2 32 4" xfId="9099"/>
    <cellStyle name="40% - akcent 2 33" xfId="1911"/>
    <cellStyle name="40% - akcent 2 33 2" xfId="1912"/>
    <cellStyle name="40% - akcent 2 33 2 2" xfId="5757"/>
    <cellStyle name="40% - akcent 2 33 2 2 2" xfId="12392"/>
    <cellStyle name="40% - akcent 2 33 2 3" xfId="9102"/>
    <cellStyle name="40% - akcent 2 33 3" xfId="5756"/>
    <cellStyle name="40% - akcent 2 33 3 2" xfId="12391"/>
    <cellStyle name="40% - akcent 2 33 4" xfId="9101"/>
    <cellStyle name="40% - akcent 2 34" xfId="1913"/>
    <cellStyle name="40% - akcent 2 34 2" xfId="1914"/>
    <cellStyle name="40% - akcent 2 34 2 2" xfId="5759"/>
    <cellStyle name="40% - akcent 2 34 2 2 2" xfId="12394"/>
    <cellStyle name="40% - akcent 2 34 2 3" xfId="9104"/>
    <cellStyle name="40% - akcent 2 34 3" xfId="5758"/>
    <cellStyle name="40% - akcent 2 34 3 2" xfId="12393"/>
    <cellStyle name="40% - akcent 2 34 4" xfId="9103"/>
    <cellStyle name="40% - akcent 2 35" xfId="1915"/>
    <cellStyle name="40% - akcent 2 35 2" xfId="1916"/>
    <cellStyle name="40% - akcent 2 35 2 2" xfId="5761"/>
    <cellStyle name="40% - akcent 2 35 2 2 2" xfId="12396"/>
    <cellStyle name="40% - akcent 2 35 2 3" xfId="9106"/>
    <cellStyle name="40% - akcent 2 35 3" xfId="5760"/>
    <cellStyle name="40% - akcent 2 35 3 2" xfId="12395"/>
    <cellStyle name="40% - akcent 2 35 4" xfId="9105"/>
    <cellStyle name="40% - akcent 2 36" xfId="1917"/>
    <cellStyle name="40% - akcent 2 36 2" xfId="1918"/>
    <cellStyle name="40% - akcent 2 36 2 2" xfId="5763"/>
    <cellStyle name="40% - akcent 2 36 2 2 2" xfId="12398"/>
    <cellStyle name="40% - akcent 2 36 2 3" xfId="9108"/>
    <cellStyle name="40% - akcent 2 36 3" xfId="5762"/>
    <cellStyle name="40% - akcent 2 36 3 2" xfId="12397"/>
    <cellStyle name="40% - akcent 2 36 4" xfId="9107"/>
    <cellStyle name="40% - akcent 2 37" xfId="1919"/>
    <cellStyle name="40% - akcent 2 37 2" xfId="1920"/>
    <cellStyle name="40% - akcent 2 37 2 2" xfId="5765"/>
    <cellStyle name="40% - akcent 2 37 2 2 2" xfId="12400"/>
    <cellStyle name="40% - akcent 2 37 2 3" xfId="9110"/>
    <cellStyle name="40% - akcent 2 37 3" xfId="5764"/>
    <cellStyle name="40% - akcent 2 37 3 2" xfId="12399"/>
    <cellStyle name="40% - akcent 2 37 4" xfId="9109"/>
    <cellStyle name="40% - akcent 2 38" xfId="1921"/>
    <cellStyle name="40% - akcent 2 38 2" xfId="1922"/>
    <cellStyle name="40% - akcent 2 38 2 2" xfId="5767"/>
    <cellStyle name="40% - akcent 2 38 2 2 2" xfId="12402"/>
    <cellStyle name="40% - akcent 2 38 2 3" xfId="9112"/>
    <cellStyle name="40% - akcent 2 38 3" xfId="5766"/>
    <cellStyle name="40% - akcent 2 38 3 2" xfId="12401"/>
    <cellStyle name="40% - akcent 2 38 4" xfId="9111"/>
    <cellStyle name="40% - akcent 2 39" xfId="1923"/>
    <cellStyle name="40% - akcent 2 39 2" xfId="1924"/>
    <cellStyle name="40% - akcent 2 39 2 2" xfId="5769"/>
    <cellStyle name="40% - akcent 2 39 2 2 2" xfId="12404"/>
    <cellStyle name="40% - akcent 2 39 2 3" xfId="9114"/>
    <cellStyle name="40% - akcent 2 39 3" xfId="5768"/>
    <cellStyle name="40% - akcent 2 39 3 2" xfId="12403"/>
    <cellStyle name="40% - akcent 2 39 4" xfId="9113"/>
    <cellStyle name="40% - akcent 2 4" xfId="1925"/>
    <cellStyle name="40% - akcent 2 4 2" xfId="1926"/>
    <cellStyle name="40% - akcent 2 4 2 2" xfId="5771"/>
    <cellStyle name="40% - akcent 2 4 2 2 2" xfId="12406"/>
    <cellStyle name="40% - akcent 2 4 2 3" xfId="9116"/>
    <cellStyle name="40% - akcent 2 4 3" xfId="5770"/>
    <cellStyle name="40% - akcent 2 4 3 2" xfId="12405"/>
    <cellStyle name="40% - akcent 2 4 4" xfId="9115"/>
    <cellStyle name="40% - akcent 2 40" xfId="1927"/>
    <cellStyle name="40% - akcent 2 40 2" xfId="1928"/>
    <cellStyle name="40% - akcent 2 40 2 2" xfId="5773"/>
    <cellStyle name="40% - akcent 2 40 2 2 2" xfId="12408"/>
    <cellStyle name="40% - akcent 2 40 2 3" xfId="9118"/>
    <cellStyle name="40% - akcent 2 40 3" xfId="5772"/>
    <cellStyle name="40% - akcent 2 40 3 2" xfId="12407"/>
    <cellStyle name="40% - akcent 2 40 4" xfId="9117"/>
    <cellStyle name="40% - akcent 2 41" xfId="1929"/>
    <cellStyle name="40% - akcent 2 41 2" xfId="1930"/>
    <cellStyle name="40% - akcent 2 41 2 2" xfId="5775"/>
    <cellStyle name="40% - akcent 2 41 2 2 2" xfId="12410"/>
    <cellStyle name="40% - akcent 2 41 2 3" xfId="9120"/>
    <cellStyle name="40% - akcent 2 41 3" xfId="5774"/>
    <cellStyle name="40% - akcent 2 41 3 2" xfId="12409"/>
    <cellStyle name="40% - akcent 2 41 4" xfId="9119"/>
    <cellStyle name="40% - akcent 2 42" xfId="1931"/>
    <cellStyle name="40% - akcent 2 42 2" xfId="1932"/>
    <cellStyle name="40% - akcent 2 42 2 2" xfId="5777"/>
    <cellStyle name="40% - akcent 2 42 2 2 2" xfId="12412"/>
    <cellStyle name="40% - akcent 2 42 2 3" xfId="9122"/>
    <cellStyle name="40% - akcent 2 42 3" xfId="5776"/>
    <cellStyle name="40% - akcent 2 42 3 2" xfId="12411"/>
    <cellStyle name="40% - akcent 2 42 4" xfId="9121"/>
    <cellStyle name="40% - akcent 2 43" xfId="1933"/>
    <cellStyle name="40% - akcent 2 43 2" xfId="1934"/>
    <cellStyle name="40% - akcent 2 43 2 2" xfId="5779"/>
    <cellStyle name="40% - akcent 2 43 2 2 2" xfId="12414"/>
    <cellStyle name="40% - akcent 2 43 2 3" xfId="9124"/>
    <cellStyle name="40% - akcent 2 43 3" xfId="5778"/>
    <cellStyle name="40% - akcent 2 43 3 2" xfId="12413"/>
    <cellStyle name="40% - akcent 2 43 4" xfId="9123"/>
    <cellStyle name="40% - akcent 2 44" xfId="1935"/>
    <cellStyle name="40% - akcent 2 44 2" xfId="1936"/>
    <cellStyle name="40% - akcent 2 44 2 2" xfId="5781"/>
    <cellStyle name="40% - akcent 2 44 2 2 2" xfId="12416"/>
    <cellStyle name="40% - akcent 2 44 2 3" xfId="9126"/>
    <cellStyle name="40% - akcent 2 44 3" xfId="5780"/>
    <cellStyle name="40% - akcent 2 44 3 2" xfId="12415"/>
    <cellStyle name="40% - akcent 2 44 4" xfId="9125"/>
    <cellStyle name="40% - akcent 2 45" xfId="1937"/>
    <cellStyle name="40% - akcent 2 45 2" xfId="1938"/>
    <cellStyle name="40% - akcent 2 45 2 2" xfId="5783"/>
    <cellStyle name="40% - akcent 2 45 2 2 2" xfId="12418"/>
    <cellStyle name="40% - akcent 2 45 2 3" xfId="9128"/>
    <cellStyle name="40% - akcent 2 45 3" xfId="5782"/>
    <cellStyle name="40% - akcent 2 45 3 2" xfId="12417"/>
    <cellStyle name="40% - akcent 2 45 4" xfId="9127"/>
    <cellStyle name="40% - akcent 2 46" xfId="1939"/>
    <cellStyle name="40% - akcent 2 46 2" xfId="1940"/>
    <cellStyle name="40% - akcent 2 46 2 2" xfId="5785"/>
    <cellStyle name="40% - akcent 2 46 2 2 2" xfId="12420"/>
    <cellStyle name="40% - akcent 2 46 2 3" xfId="9130"/>
    <cellStyle name="40% - akcent 2 46 3" xfId="5784"/>
    <cellStyle name="40% - akcent 2 46 3 2" xfId="12419"/>
    <cellStyle name="40% - akcent 2 46 4" xfId="9129"/>
    <cellStyle name="40% - akcent 2 47" xfId="1941"/>
    <cellStyle name="40% - akcent 2 47 2" xfId="1942"/>
    <cellStyle name="40% - akcent 2 47 2 2" xfId="5787"/>
    <cellStyle name="40% - akcent 2 47 2 2 2" xfId="12422"/>
    <cellStyle name="40% - akcent 2 47 2 3" xfId="9132"/>
    <cellStyle name="40% - akcent 2 47 3" xfId="5786"/>
    <cellStyle name="40% - akcent 2 47 3 2" xfId="12421"/>
    <cellStyle name="40% - akcent 2 47 4" xfId="9131"/>
    <cellStyle name="40% - akcent 2 48" xfId="1943"/>
    <cellStyle name="40% - akcent 2 48 2" xfId="1944"/>
    <cellStyle name="40% - akcent 2 48 2 2" xfId="5789"/>
    <cellStyle name="40% - akcent 2 48 2 2 2" xfId="12424"/>
    <cellStyle name="40% - akcent 2 48 2 3" xfId="9134"/>
    <cellStyle name="40% - akcent 2 48 3" xfId="5788"/>
    <cellStyle name="40% - akcent 2 48 3 2" xfId="12423"/>
    <cellStyle name="40% - akcent 2 48 4" xfId="9133"/>
    <cellStyle name="40% - akcent 2 49" xfId="1945"/>
    <cellStyle name="40% - akcent 2 49 2" xfId="1946"/>
    <cellStyle name="40% - akcent 2 49 2 2" xfId="5791"/>
    <cellStyle name="40% - akcent 2 49 2 2 2" xfId="12426"/>
    <cellStyle name="40% - akcent 2 49 2 3" xfId="9136"/>
    <cellStyle name="40% - akcent 2 49 3" xfId="5790"/>
    <cellStyle name="40% - akcent 2 49 3 2" xfId="12425"/>
    <cellStyle name="40% - akcent 2 49 4" xfId="9135"/>
    <cellStyle name="40% - akcent 2 5" xfId="1947"/>
    <cellStyle name="40% - akcent 2 5 2" xfId="1948"/>
    <cellStyle name="40% - akcent 2 5 2 2" xfId="5793"/>
    <cellStyle name="40% - akcent 2 5 2 2 2" xfId="12428"/>
    <cellStyle name="40% - akcent 2 5 2 3" xfId="9138"/>
    <cellStyle name="40% - akcent 2 5 3" xfId="5792"/>
    <cellStyle name="40% - akcent 2 5 3 2" xfId="12427"/>
    <cellStyle name="40% - akcent 2 5 4" xfId="9137"/>
    <cellStyle name="40% - akcent 2 50" xfId="1949"/>
    <cellStyle name="40% - akcent 2 50 2" xfId="1950"/>
    <cellStyle name="40% - akcent 2 50 2 2" xfId="5795"/>
    <cellStyle name="40% - akcent 2 50 2 2 2" xfId="12430"/>
    <cellStyle name="40% - akcent 2 50 2 3" xfId="9140"/>
    <cellStyle name="40% - akcent 2 50 3" xfId="5794"/>
    <cellStyle name="40% - akcent 2 50 3 2" xfId="12429"/>
    <cellStyle name="40% - akcent 2 50 4" xfId="9139"/>
    <cellStyle name="40% - akcent 2 51" xfId="1951"/>
    <cellStyle name="40% - akcent 2 51 2" xfId="1952"/>
    <cellStyle name="40% - akcent 2 51 2 2" xfId="5797"/>
    <cellStyle name="40% - akcent 2 51 2 2 2" xfId="12432"/>
    <cellStyle name="40% - akcent 2 51 2 3" xfId="9142"/>
    <cellStyle name="40% - akcent 2 51 3" xfId="5796"/>
    <cellStyle name="40% - akcent 2 51 3 2" xfId="12431"/>
    <cellStyle name="40% - akcent 2 51 4" xfId="9141"/>
    <cellStyle name="40% - akcent 2 52" xfId="1953"/>
    <cellStyle name="40% - akcent 2 52 2" xfId="1954"/>
    <cellStyle name="40% - akcent 2 52 2 2" xfId="5799"/>
    <cellStyle name="40% - akcent 2 52 2 2 2" xfId="12434"/>
    <cellStyle name="40% - akcent 2 52 2 3" xfId="9144"/>
    <cellStyle name="40% - akcent 2 52 3" xfId="5798"/>
    <cellStyle name="40% - akcent 2 52 3 2" xfId="12433"/>
    <cellStyle name="40% - akcent 2 52 4" xfId="9143"/>
    <cellStyle name="40% - akcent 2 53" xfId="1955"/>
    <cellStyle name="40% - akcent 2 53 2" xfId="1956"/>
    <cellStyle name="40% - akcent 2 53 2 2" xfId="5801"/>
    <cellStyle name="40% - akcent 2 53 2 2 2" xfId="12436"/>
    <cellStyle name="40% - akcent 2 53 2 3" xfId="9146"/>
    <cellStyle name="40% - akcent 2 53 3" xfId="5800"/>
    <cellStyle name="40% - akcent 2 53 3 2" xfId="12435"/>
    <cellStyle name="40% - akcent 2 53 4" xfId="9145"/>
    <cellStyle name="40% - akcent 2 54" xfId="1957"/>
    <cellStyle name="40% - akcent 2 54 2" xfId="1958"/>
    <cellStyle name="40% - akcent 2 54 2 2" xfId="5803"/>
    <cellStyle name="40% - akcent 2 54 2 2 2" xfId="12438"/>
    <cellStyle name="40% - akcent 2 54 2 3" xfId="9148"/>
    <cellStyle name="40% - akcent 2 54 3" xfId="5802"/>
    <cellStyle name="40% - akcent 2 54 3 2" xfId="12437"/>
    <cellStyle name="40% - akcent 2 54 4" xfId="9147"/>
    <cellStyle name="40% - akcent 2 55" xfId="1959"/>
    <cellStyle name="40% - akcent 2 55 2" xfId="1960"/>
    <cellStyle name="40% - akcent 2 55 2 2" xfId="5805"/>
    <cellStyle name="40% - akcent 2 55 2 2 2" xfId="12440"/>
    <cellStyle name="40% - akcent 2 55 2 3" xfId="9150"/>
    <cellStyle name="40% - akcent 2 55 3" xfId="5804"/>
    <cellStyle name="40% - akcent 2 55 3 2" xfId="12439"/>
    <cellStyle name="40% - akcent 2 55 4" xfId="9149"/>
    <cellStyle name="40% - akcent 2 56" xfId="1961"/>
    <cellStyle name="40% - akcent 2 56 2" xfId="1962"/>
    <cellStyle name="40% - akcent 2 56 2 2" xfId="5807"/>
    <cellStyle name="40% - akcent 2 56 2 2 2" xfId="12442"/>
    <cellStyle name="40% - akcent 2 56 2 3" xfId="9152"/>
    <cellStyle name="40% - akcent 2 56 3" xfId="5806"/>
    <cellStyle name="40% - akcent 2 56 3 2" xfId="12441"/>
    <cellStyle name="40% - akcent 2 56 4" xfId="9151"/>
    <cellStyle name="40% - akcent 2 57" xfId="1963"/>
    <cellStyle name="40% - akcent 2 57 2" xfId="1964"/>
    <cellStyle name="40% - akcent 2 57 2 2" xfId="5809"/>
    <cellStyle name="40% - akcent 2 57 2 2 2" xfId="12444"/>
    <cellStyle name="40% - akcent 2 57 2 3" xfId="9154"/>
    <cellStyle name="40% - akcent 2 57 3" xfId="5808"/>
    <cellStyle name="40% - akcent 2 57 3 2" xfId="12443"/>
    <cellStyle name="40% - akcent 2 57 4" xfId="9153"/>
    <cellStyle name="40% - akcent 2 58" xfId="1965"/>
    <cellStyle name="40% - akcent 2 58 2" xfId="1966"/>
    <cellStyle name="40% - akcent 2 58 2 2" xfId="5811"/>
    <cellStyle name="40% - akcent 2 58 2 2 2" xfId="12446"/>
    <cellStyle name="40% - akcent 2 58 2 3" xfId="9156"/>
    <cellStyle name="40% - akcent 2 58 3" xfId="5810"/>
    <cellStyle name="40% - akcent 2 58 3 2" xfId="12445"/>
    <cellStyle name="40% - akcent 2 58 4" xfId="9155"/>
    <cellStyle name="40% - akcent 2 59" xfId="1967"/>
    <cellStyle name="40% - akcent 2 59 2" xfId="1968"/>
    <cellStyle name="40% - akcent 2 59 2 2" xfId="5813"/>
    <cellStyle name="40% - akcent 2 59 2 2 2" xfId="12448"/>
    <cellStyle name="40% - akcent 2 59 2 3" xfId="9158"/>
    <cellStyle name="40% - akcent 2 59 3" xfId="5812"/>
    <cellStyle name="40% - akcent 2 59 3 2" xfId="12447"/>
    <cellStyle name="40% - akcent 2 59 4" xfId="9157"/>
    <cellStyle name="40% - akcent 2 6" xfId="1969"/>
    <cellStyle name="40% - akcent 2 6 2" xfId="1970"/>
    <cellStyle name="40% - akcent 2 6 2 2" xfId="5815"/>
    <cellStyle name="40% - akcent 2 6 2 2 2" xfId="12450"/>
    <cellStyle name="40% - akcent 2 6 2 3" xfId="9160"/>
    <cellStyle name="40% - akcent 2 6 3" xfId="5814"/>
    <cellStyle name="40% - akcent 2 6 3 2" xfId="12449"/>
    <cellStyle name="40% - akcent 2 6 4" xfId="9159"/>
    <cellStyle name="40% - akcent 2 60" xfId="1971"/>
    <cellStyle name="40% - akcent 2 60 2" xfId="5816"/>
    <cellStyle name="40% - akcent 2 60 2 2" xfId="12451"/>
    <cellStyle name="40% - akcent 2 60 3" xfId="9161"/>
    <cellStyle name="40% - akcent 2 61" xfId="1972"/>
    <cellStyle name="40% - akcent 2 61 2" xfId="5817"/>
    <cellStyle name="40% - akcent 2 61 2 2" xfId="12452"/>
    <cellStyle name="40% - akcent 2 61 3" xfId="9162"/>
    <cellStyle name="40% - akcent 2 62" xfId="1973"/>
    <cellStyle name="40% - akcent 2 62 2" xfId="5818"/>
    <cellStyle name="40% - akcent 2 62 2 2" xfId="12453"/>
    <cellStyle name="40% - akcent 2 62 3" xfId="9163"/>
    <cellStyle name="40% - akcent 2 63" xfId="1974"/>
    <cellStyle name="40% - akcent 2 63 2" xfId="5819"/>
    <cellStyle name="40% - akcent 2 63 2 2" xfId="12454"/>
    <cellStyle name="40% - akcent 2 63 3" xfId="9164"/>
    <cellStyle name="40% - akcent 2 64" xfId="1975"/>
    <cellStyle name="40% - akcent 2 64 2" xfId="5820"/>
    <cellStyle name="40% - akcent 2 64 2 2" xfId="12455"/>
    <cellStyle name="40% - akcent 2 64 3" xfId="9165"/>
    <cellStyle name="40% - akcent 2 65" xfId="1976"/>
    <cellStyle name="40% - akcent 2 65 2" xfId="5821"/>
    <cellStyle name="40% - akcent 2 65 2 2" xfId="12456"/>
    <cellStyle name="40% - akcent 2 65 3" xfId="9166"/>
    <cellStyle name="40% - akcent 2 66" xfId="1977"/>
    <cellStyle name="40% - akcent 2 66 2" xfId="5822"/>
    <cellStyle name="40% - akcent 2 66 2 2" xfId="12457"/>
    <cellStyle name="40% - akcent 2 66 3" xfId="9167"/>
    <cellStyle name="40% - akcent 2 67" xfId="1978"/>
    <cellStyle name="40% - akcent 2 67 2" xfId="5823"/>
    <cellStyle name="40% - akcent 2 67 2 2" xfId="12458"/>
    <cellStyle name="40% - akcent 2 67 3" xfId="9168"/>
    <cellStyle name="40% - akcent 2 68" xfId="1979"/>
    <cellStyle name="40% - akcent 2 68 2" xfId="5824"/>
    <cellStyle name="40% - akcent 2 68 2 2" xfId="12459"/>
    <cellStyle name="40% - akcent 2 68 3" xfId="9169"/>
    <cellStyle name="40% - akcent 2 69" xfId="1980"/>
    <cellStyle name="40% - akcent 2 69 2" xfId="5825"/>
    <cellStyle name="40% - akcent 2 69 2 2" xfId="12460"/>
    <cellStyle name="40% - akcent 2 69 3" xfId="9170"/>
    <cellStyle name="40% - akcent 2 7" xfId="1981"/>
    <cellStyle name="40% - akcent 2 7 2" xfId="1982"/>
    <cellStyle name="40% - akcent 2 7 2 2" xfId="5827"/>
    <cellStyle name="40% - akcent 2 7 2 2 2" xfId="12462"/>
    <cellStyle name="40% - akcent 2 7 2 3" xfId="9172"/>
    <cellStyle name="40% - akcent 2 7 3" xfId="5826"/>
    <cellStyle name="40% - akcent 2 7 3 2" xfId="12461"/>
    <cellStyle name="40% - akcent 2 7 4" xfId="9171"/>
    <cellStyle name="40% - akcent 2 70" xfId="1983"/>
    <cellStyle name="40% - akcent 2 70 2" xfId="5828"/>
    <cellStyle name="40% - akcent 2 70 2 2" xfId="12463"/>
    <cellStyle name="40% - akcent 2 70 3" xfId="9173"/>
    <cellStyle name="40% - akcent 2 71" xfId="1984"/>
    <cellStyle name="40% - akcent 2 71 2" xfId="5829"/>
    <cellStyle name="40% - akcent 2 71 2 2" xfId="12464"/>
    <cellStyle name="40% - akcent 2 71 3" xfId="9174"/>
    <cellStyle name="40% - akcent 2 72" xfId="1985"/>
    <cellStyle name="40% - akcent 2 72 2" xfId="5830"/>
    <cellStyle name="40% - akcent 2 72 2 2" xfId="12465"/>
    <cellStyle name="40% - akcent 2 72 3" xfId="9175"/>
    <cellStyle name="40% - akcent 2 73" xfId="1986"/>
    <cellStyle name="40% - akcent 2 73 2" xfId="5831"/>
    <cellStyle name="40% - akcent 2 73 2 2" xfId="12466"/>
    <cellStyle name="40% - akcent 2 73 3" xfId="9176"/>
    <cellStyle name="40% - akcent 2 74" xfId="1987"/>
    <cellStyle name="40% - akcent 2 74 2" xfId="5832"/>
    <cellStyle name="40% - akcent 2 74 2 2" xfId="12467"/>
    <cellStyle name="40% - akcent 2 74 3" xfId="9177"/>
    <cellStyle name="40% - akcent 2 75" xfId="1988"/>
    <cellStyle name="40% - akcent 2 75 2" xfId="5833"/>
    <cellStyle name="40% - akcent 2 75 2 2" xfId="12468"/>
    <cellStyle name="40% - akcent 2 75 3" xfId="9178"/>
    <cellStyle name="40% - akcent 2 76" xfId="1989"/>
    <cellStyle name="40% - akcent 2 76 2" xfId="5834"/>
    <cellStyle name="40% - akcent 2 76 2 2" xfId="12469"/>
    <cellStyle name="40% - akcent 2 76 3" xfId="9179"/>
    <cellStyle name="40% - akcent 2 77" xfId="1990"/>
    <cellStyle name="40% - akcent 2 77 2" xfId="5835"/>
    <cellStyle name="40% - akcent 2 77 2 2" xfId="12470"/>
    <cellStyle name="40% - akcent 2 77 3" xfId="9180"/>
    <cellStyle name="40% - akcent 2 78" xfId="1991"/>
    <cellStyle name="40% - akcent 2 78 2" xfId="5836"/>
    <cellStyle name="40% - akcent 2 78 2 2" xfId="12471"/>
    <cellStyle name="40% - akcent 2 78 3" xfId="9181"/>
    <cellStyle name="40% - akcent 2 79" xfId="1992"/>
    <cellStyle name="40% - akcent 2 79 2" xfId="5837"/>
    <cellStyle name="40% - akcent 2 79 2 2" xfId="12472"/>
    <cellStyle name="40% - akcent 2 79 3" xfId="9182"/>
    <cellStyle name="40% - akcent 2 8" xfId="1993"/>
    <cellStyle name="40% - akcent 2 8 2" xfId="1994"/>
    <cellStyle name="40% - akcent 2 8 2 2" xfId="5839"/>
    <cellStyle name="40% - akcent 2 8 2 2 2" xfId="12474"/>
    <cellStyle name="40% - akcent 2 8 2 3" xfId="9184"/>
    <cellStyle name="40% - akcent 2 8 3" xfId="5838"/>
    <cellStyle name="40% - akcent 2 8 3 2" xfId="12473"/>
    <cellStyle name="40% - akcent 2 8 4" xfId="9183"/>
    <cellStyle name="40% - akcent 2 80" xfId="1995"/>
    <cellStyle name="40% - akcent 2 80 2" xfId="5840"/>
    <cellStyle name="40% - akcent 2 80 2 2" xfId="12475"/>
    <cellStyle name="40% - akcent 2 80 3" xfId="9185"/>
    <cellStyle name="40% - akcent 2 81" xfId="1996"/>
    <cellStyle name="40% - akcent 2 81 2" xfId="5841"/>
    <cellStyle name="40% - akcent 2 81 2 2" xfId="12476"/>
    <cellStyle name="40% - akcent 2 81 3" xfId="9186"/>
    <cellStyle name="40% - akcent 2 82" xfId="1997"/>
    <cellStyle name="40% - akcent 2 82 2" xfId="5842"/>
    <cellStyle name="40% - akcent 2 82 2 2" xfId="12477"/>
    <cellStyle name="40% - akcent 2 82 3" xfId="9187"/>
    <cellStyle name="40% - akcent 2 83" xfId="1998"/>
    <cellStyle name="40% - akcent 2 83 2" xfId="5843"/>
    <cellStyle name="40% - akcent 2 83 2 2" xfId="12478"/>
    <cellStyle name="40% - akcent 2 83 3" xfId="9188"/>
    <cellStyle name="40% - akcent 2 84" xfId="1999"/>
    <cellStyle name="40% - akcent 2 84 2" xfId="5844"/>
    <cellStyle name="40% - akcent 2 84 2 2" xfId="12479"/>
    <cellStyle name="40% - akcent 2 84 3" xfId="9189"/>
    <cellStyle name="40% - akcent 2 85" xfId="2000"/>
    <cellStyle name="40% - akcent 2 85 2" xfId="5845"/>
    <cellStyle name="40% - akcent 2 85 2 2" xfId="12480"/>
    <cellStyle name="40% - akcent 2 85 3" xfId="9190"/>
    <cellStyle name="40% - akcent 2 86" xfId="2001"/>
    <cellStyle name="40% - akcent 2 86 2" xfId="5846"/>
    <cellStyle name="40% - akcent 2 86 2 2" xfId="12481"/>
    <cellStyle name="40% - akcent 2 86 3" xfId="9191"/>
    <cellStyle name="40% - akcent 2 87" xfId="2002"/>
    <cellStyle name="40% - akcent 2 87 2" xfId="5847"/>
    <cellStyle name="40% - akcent 2 87 2 2" xfId="12482"/>
    <cellStyle name="40% - akcent 2 87 3" xfId="9192"/>
    <cellStyle name="40% - akcent 2 88" xfId="2003"/>
    <cellStyle name="40% - akcent 2 88 2" xfId="5848"/>
    <cellStyle name="40% - akcent 2 88 2 2" xfId="12483"/>
    <cellStyle name="40% - akcent 2 88 3" xfId="9193"/>
    <cellStyle name="40% - akcent 2 89" xfId="2004"/>
    <cellStyle name="40% - akcent 2 89 2" xfId="5849"/>
    <cellStyle name="40% - akcent 2 89 2 2" xfId="12484"/>
    <cellStyle name="40% - akcent 2 89 3" xfId="9194"/>
    <cellStyle name="40% - akcent 2 9" xfId="2005"/>
    <cellStyle name="40% - akcent 2 9 2" xfId="2006"/>
    <cellStyle name="40% - akcent 2 9 2 2" xfId="5851"/>
    <cellStyle name="40% - akcent 2 9 2 2 2" xfId="12486"/>
    <cellStyle name="40% - akcent 2 9 2 3" xfId="9196"/>
    <cellStyle name="40% - akcent 2 9 3" xfId="5850"/>
    <cellStyle name="40% - akcent 2 9 3 2" xfId="12485"/>
    <cellStyle name="40% - akcent 2 9 4" xfId="9195"/>
    <cellStyle name="40% - akcent 2 90" xfId="2007"/>
    <cellStyle name="40% - akcent 2 90 2" xfId="5852"/>
    <cellStyle name="40% - akcent 2 90 2 2" xfId="12487"/>
    <cellStyle name="40% - akcent 2 90 3" xfId="9197"/>
    <cellStyle name="40% - akcent 2 91" xfId="2008"/>
    <cellStyle name="40% - akcent 2 91 2" xfId="5853"/>
    <cellStyle name="40% - akcent 2 91 2 2" xfId="12488"/>
    <cellStyle name="40% - akcent 2 91 3" xfId="9198"/>
    <cellStyle name="40% - akcent 2 92" xfId="2009"/>
    <cellStyle name="40% - akcent 2 92 2" xfId="5854"/>
    <cellStyle name="40% - akcent 2 92 2 2" xfId="12489"/>
    <cellStyle name="40% - akcent 2 92 3" xfId="9199"/>
    <cellStyle name="40% - akcent 2 93" xfId="2010"/>
    <cellStyle name="40% - akcent 2 93 2" xfId="5855"/>
    <cellStyle name="40% - akcent 2 93 2 2" xfId="12490"/>
    <cellStyle name="40% - akcent 2 93 3" xfId="9200"/>
    <cellStyle name="40% - akcent 2 94" xfId="2011"/>
    <cellStyle name="40% - akcent 2 94 2" xfId="5856"/>
    <cellStyle name="40% - akcent 2 94 2 2" xfId="12491"/>
    <cellStyle name="40% - akcent 2 94 3" xfId="9201"/>
    <cellStyle name="40% - akcent 2 95" xfId="2012"/>
    <cellStyle name="40% - akcent 2 95 2" xfId="5857"/>
    <cellStyle name="40% - akcent 2 95 2 2" xfId="12492"/>
    <cellStyle name="40% - akcent 2 95 3" xfId="9202"/>
    <cellStyle name="40% - akcent 2 96" xfId="2013"/>
    <cellStyle name="40% - akcent 2 96 2" xfId="5858"/>
    <cellStyle name="40% - akcent 2 96 2 2" xfId="12493"/>
    <cellStyle name="40% - akcent 2 96 3" xfId="9203"/>
    <cellStyle name="40% - akcent 2 97" xfId="2014"/>
    <cellStyle name="40% - akcent 2 97 2" xfId="5859"/>
    <cellStyle name="40% - akcent 2 97 2 2" xfId="12494"/>
    <cellStyle name="40% - akcent 2 97 3" xfId="9204"/>
    <cellStyle name="40% - akcent 2 98" xfId="2015"/>
    <cellStyle name="40% - akcent 2 98 2" xfId="5860"/>
    <cellStyle name="40% - akcent 2 98 2 2" xfId="12495"/>
    <cellStyle name="40% - akcent 2 98 3" xfId="9205"/>
    <cellStyle name="40% - akcent 2 99" xfId="2016"/>
    <cellStyle name="40% - akcent 2 99 2" xfId="5861"/>
    <cellStyle name="40% - akcent 2 99 2 2" xfId="12496"/>
    <cellStyle name="40% - akcent 2 99 3" xfId="9206"/>
    <cellStyle name="40% - akcent 3" xfId="2017" builtinId="39" customBuiltin="1"/>
    <cellStyle name="40% - akcent 3 10" xfId="2018"/>
    <cellStyle name="40% - akcent 3 10 2" xfId="2019"/>
    <cellStyle name="40% - akcent 3 10 2 2" xfId="5863"/>
    <cellStyle name="40% - akcent 3 10 2 2 2" xfId="12498"/>
    <cellStyle name="40% - akcent 3 10 2 3" xfId="9208"/>
    <cellStyle name="40% - akcent 3 10 3" xfId="5862"/>
    <cellStyle name="40% - akcent 3 10 3 2" xfId="12497"/>
    <cellStyle name="40% - akcent 3 10 4" xfId="9207"/>
    <cellStyle name="40% - akcent 3 100" xfId="2020"/>
    <cellStyle name="40% - akcent 3 100 2" xfId="5864"/>
    <cellStyle name="40% - akcent 3 100 2 2" xfId="12499"/>
    <cellStyle name="40% - akcent 3 100 3" xfId="9209"/>
    <cellStyle name="40% - akcent 3 101" xfId="2021"/>
    <cellStyle name="40% - akcent 3 101 2" xfId="5865"/>
    <cellStyle name="40% - akcent 3 101 2 2" xfId="12500"/>
    <cellStyle name="40% - akcent 3 101 3" xfId="9210"/>
    <cellStyle name="40% - akcent 3 102" xfId="2022"/>
    <cellStyle name="40% - akcent 3 102 2" xfId="5866"/>
    <cellStyle name="40% - akcent 3 102 2 2" xfId="12501"/>
    <cellStyle name="40% - akcent 3 102 3" xfId="9211"/>
    <cellStyle name="40% - akcent 3 103" xfId="2023"/>
    <cellStyle name="40% - akcent 3 103 2" xfId="5867"/>
    <cellStyle name="40% - akcent 3 103 2 2" xfId="12502"/>
    <cellStyle name="40% - akcent 3 103 3" xfId="9212"/>
    <cellStyle name="40% - akcent 3 104" xfId="2024"/>
    <cellStyle name="40% - akcent 3 104 2" xfId="5868"/>
    <cellStyle name="40% - akcent 3 104 2 2" xfId="12503"/>
    <cellStyle name="40% - akcent 3 104 3" xfId="9213"/>
    <cellStyle name="40% - akcent 3 105" xfId="2025"/>
    <cellStyle name="40% - akcent 3 105 2" xfId="5869"/>
    <cellStyle name="40% - akcent 3 105 2 2" xfId="12504"/>
    <cellStyle name="40% - akcent 3 105 3" xfId="9214"/>
    <cellStyle name="40% - akcent 3 106" xfId="2026"/>
    <cellStyle name="40% - akcent 3 106 2" xfId="5870"/>
    <cellStyle name="40% - akcent 3 106 2 2" xfId="12505"/>
    <cellStyle name="40% - akcent 3 106 3" xfId="9215"/>
    <cellStyle name="40% - akcent 3 107" xfId="2027"/>
    <cellStyle name="40% - akcent 3 107 2" xfId="5871"/>
    <cellStyle name="40% - akcent 3 107 2 2" xfId="12506"/>
    <cellStyle name="40% - akcent 3 107 3" xfId="9216"/>
    <cellStyle name="40% - akcent 3 108" xfId="2028"/>
    <cellStyle name="40% - akcent 3 108 2" xfId="5872"/>
    <cellStyle name="40% - akcent 3 108 2 2" xfId="12507"/>
    <cellStyle name="40% - akcent 3 108 3" xfId="9217"/>
    <cellStyle name="40% - akcent 3 109" xfId="2029"/>
    <cellStyle name="40% - akcent 3 109 2" xfId="5873"/>
    <cellStyle name="40% - akcent 3 109 2 2" xfId="12508"/>
    <cellStyle name="40% - akcent 3 109 3" xfId="9218"/>
    <cellStyle name="40% - akcent 3 11" xfId="2030"/>
    <cellStyle name="40% - akcent 3 11 2" xfId="2031"/>
    <cellStyle name="40% - akcent 3 11 2 2" xfId="5875"/>
    <cellStyle name="40% - akcent 3 11 2 2 2" xfId="12510"/>
    <cellStyle name="40% - akcent 3 11 2 3" xfId="9220"/>
    <cellStyle name="40% - akcent 3 11 3" xfId="5874"/>
    <cellStyle name="40% - akcent 3 11 3 2" xfId="12509"/>
    <cellStyle name="40% - akcent 3 11 4" xfId="9219"/>
    <cellStyle name="40% - akcent 3 110" xfId="2032"/>
    <cellStyle name="40% - akcent 3 110 2" xfId="5876"/>
    <cellStyle name="40% - akcent 3 110 2 2" xfId="12511"/>
    <cellStyle name="40% - akcent 3 110 3" xfId="9221"/>
    <cellStyle name="40% - akcent 3 111" xfId="2033"/>
    <cellStyle name="40% - akcent 3 111 2" xfId="5877"/>
    <cellStyle name="40% - akcent 3 111 2 2" xfId="12512"/>
    <cellStyle name="40% - akcent 3 111 3" xfId="9222"/>
    <cellStyle name="40% - akcent 3 112" xfId="2034"/>
    <cellStyle name="40% - akcent 3 112 2" xfId="5878"/>
    <cellStyle name="40% - akcent 3 112 2 2" xfId="12513"/>
    <cellStyle name="40% - akcent 3 112 3" xfId="9223"/>
    <cellStyle name="40% - akcent 3 113" xfId="2035"/>
    <cellStyle name="40% - akcent 3 113 2" xfId="5879"/>
    <cellStyle name="40% - akcent 3 113 2 2" xfId="12514"/>
    <cellStyle name="40% - akcent 3 113 3" xfId="9224"/>
    <cellStyle name="40% - akcent 3 114" xfId="2036"/>
    <cellStyle name="40% - akcent 3 114 2" xfId="5880"/>
    <cellStyle name="40% - akcent 3 114 2 2" xfId="12515"/>
    <cellStyle name="40% - akcent 3 114 3" xfId="9225"/>
    <cellStyle name="40% - akcent 3 115" xfId="2037"/>
    <cellStyle name="40% - akcent 3 115 2" xfId="5881"/>
    <cellStyle name="40% - akcent 3 115 2 2" xfId="12516"/>
    <cellStyle name="40% - akcent 3 115 3" xfId="9226"/>
    <cellStyle name="40% - akcent 3 116" xfId="2038"/>
    <cellStyle name="40% - akcent 3 116 2" xfId="5882"/>
    <cellStyle name="40% - akcent 3 116 2 2" xfId="12517"/>
    <cellStyle name="40% - akcent 3 116 3" xfId="9227"/>
    <cellStyle name="40% - akcent 3 117" xfId="2039"/>
    <cellStyle name="40% - akcent 3 117 2" xfId="5883"/>
    <cellStyle name="40% - akcent 3 117 2 2" xfId="12518"/>
    <cellStyle name="40% - akcent 3 117 3" xfId="9228"/>
    <cellStyle name="40% - akcent 3 118" xfId="2040"/>
    <cellStyle name="40% - akcent 3 118 2" xfId="5884"/>
    <cellStyle name="40% - akcent 3 118 2 2" xfId="12519"/>
    <cellStyle name="40% - akcent 3 118 3" xfId="9229"/>
    <cellStyle name="40% - akcent 3 119" xfId="2041"/>
    <cellStyle name="40% - akcent 3 119 2" xfId="5885"/>
    <cellStyle name="40% - akcent 3 119 2 2" xfId="12520"/>
    <cellStyle name="40% - akcent 3 119 3" xfId="9230"/>
    <cellStyle name="40% - akcent 3 12" xfId="2042"/>
    <cellStyle name="40% - akcent 3 12 2" xfId="2043"/>
    <cellStyle name="40% - akcent 3 12 2 2" xfId="5887"/>
    <cellStyle name="40% - akcent 3 12 2 2 2" xfId="12522"/>
    <cellStyle name="40% - akcent 3 12 2 3" xfId="9232"/>
    <cellStyle name="40% - akcent 3 12 3" xfId="5886"/>
    <cellStyle name="40% - akcent 3 12 3 2" xfId="12521"/>
    <cellStyle name="40% - akcent 3 12 4" xfId="9231"/>
    <cellStyle name="40% - akcent 3 120" xfId="2044"/>
    <cellStyle name="40% - akcent 3 120 2" xfId="5888"/>
    <cellStyle name="40% - akcent 3 120 2 2" xfId="12523"/>
    <cellStyle name="40% - akcent 3 120 3" xfId="9233"/>
    <cellStyle name="40% - akcent 3 121" xfId="2045"/>
    <cellStyle name="40% - akcent 3 121 2" xfId="5889"/>
    <cellStyle name="40% - akcent 3 121 2 2" xfId="12524"/>
    <cellStyle name="40% - akcent 3 121 3" xfId="9234"/>
    <cellStyle name="40% - akcent 3 122" xfId="2046"/>
    <cellStyle name="40% - akcent 3 122 2" xfId="5890"/>
    <cellStyle name="40% - akcent 3 122 2 2" xfId="12525"/>
    <cellStyle name="40% - akcent 3 122 3" xfId="9235"/>
    <cellStyle name="40% - akcent 3 123" xfId="2047"/>
    <cellStyle name="40% - akcent 3 123 2" xfId="5891"/>
    <cellStyle name="40% - akcent 3 123 2 2" xfId="12526"/>
    <cellStyle name="40% - akcent 3 123 3" xfId="9236"/>
    <cellStyle name="40% - akcent 3 124" xfId="2048"/>
    <cellStyle name="40% - akcent 3 124 2" xfId="5892"/>
    <cellStyle name="40% - akcent 3 124 2 2" xfId="12527"/>
    <cellStyle name="40% - akcent 3 124 3" xfId="9237"/>
    <cellStyle name="40% - akcent 3 125" xfId="2049"/>
    <cellStyle name="40% - akcent 3 125 2" xfId="5893"/>
    <cellStyle name="40% - akcent 3 125 2 2" xfId="12528"/>
    <cellStyle name="40% - akcent 3 125 3" xfId="9238"/>
    <cellStyle name="40% - akcent 3 126" xfId="2050"/>
    <cellStyle name="40% - akcent 3 126 2" xfId="5894"/>
    <cellStyle name="40% - akcent 3 126 2 2" xfId="12529"/>
    <cellStyle name="40% - akcent 3 126 3" xfId="9239"/>
    <cellStyle name="40% - akcent 3 127" xfId="2051"/>
    <cellStyle name="40% - akcent 3 127 2" xfId="5895"/>
    <cellStyle name="40% - akcent 3 127 2 2" xfId="12530"/>
    <cellStyle name="40% - akcent 3 127 3" xfId="9240"/>
    <cellStyle name="40% - akcent 3 128" xfId="2052"/>
    <cellStyle name="40% - akcent 3 128 2" xfId="5896"/>
    <cellStyle name="40% - akcent 3 128 2 2" xfId="12531"/>
    <cellStyle name="40% - akcent 3 128 3" xfId="9241"/>
    <cellStyle name="40% - akcent 3 129" xfId="2053"/>
    <cellStyle name="40% - akcent 3 129 2" xfId="5897"/>
    <cellStyle name="40% - akcent 3 129 2 2" xfId="12532"/>
    <cellStyle name="40% - akcent 3 129 3" xfId="9242"/>
    <cellStyle name="40% - akcent 3 13" xfId="2054"/>
    <cellStyle name="40% - akcent 3 13 2" xfId="2055"/>
    <cellStyle name="40% - akcent 3 13 2 2" xfId="5899"/>
    <cellStyle name="40% - akcent 3 13 2 2 2" xfId="12534"/>
    <cellStyle name="40% - akcent 3 13 2 3" xfId="9244"/>
    <cellStyle name="40% - akcent 3 13 3" xfId="5898"/>
    <cellStyle name="40% - akcent 3 13 3 2" xfId="12533"/>
    <cellStyle name="40% - akcent 3 13 4" xfId="9243"/>
    <cellStyle name="40% - akcent 3 130" xfId="2056"/>
    <cellStyle name="40% - akcent 3 130 2" xfId="5900"/>
    <cellStyle name="40% - akcent 3 130 2 2" xfId="12535"/>
    <cellStyle name="40% - akcent 3 130 3" xfId="9245"/>
    <cellStyle name="40% - akcent 3 131" xfId="2057"/>
    <cellStyle name="40% - akcent 3 131 2" xfId="5901"/>
    <cellStyle name="40% - akcent 3 131 2 2" xfId="12536"/>
    <cellStyle name="40% - akcent 3 131 3" xfId="9246"/>
    <cellStyle name="40% - akcent 3 132" xfId="2058"/>
    <cellStyle name="40% - akcent 3 132 2" xfId="5902"/>
    <cellStyle name="40% - akcent 3 132 2 2" xfId="12537"/>
    <cellStyle name="40% - akcent 3 132 3" xfId="9247"/>
    <cellStyle name="40% - akcent 3 133" xfId="2059"/>
    <cellStyle name="40% - akcent 3 133 2" xfId="5903"/>
    <cellStyle name="40% - akcent 3 133 2 2" xfId="12538"/>
    <cellStyle name="40% - akcent 3 133 3" xfId="9248"/>
    <cellStyle name="40% - akcent 3 134" xfId="2060"/>
    <cellStyle name="40% - akcent 3 134 2" xfId="5904"/>
    <cellStyle name="40% - akcent 3 134 2 2" xfId="12539"/>
    <cellStyle name="40% - akcent 3 134 3" xfId="9249"/>
    <cellStyle name="40% - akcent 3 135" xfId="2061"/>
    <cellStyle name="40% - akcent 3 135 2" xfId="5905"/>
    <cellStyle name="40% - akcent 3 135 2 2" xfId="12540"/>
    <cellStyle name="40% - akcent 3 135 3" xfId="9250"/>
    <cellStyle name="40% - akcent 3 136" xfId="2062"/>
    <cellStyle name="40% - akcent 3 136 2" xfId="5906"/>
    <cellStyle name="40% - akcent 3 136 2 2" xfId="12541"/>
    <cellStyle name="40% - akcent 3 136 3" xfId="9251"/>
    <cellStyle name="40% - akcent 3 137" xfId="2063"/>
    <cellStyle name="40% - akcent 3 137 2" xfId="5907"/>
    <cellStyle name="40% - akcent 3 137 2 2" xfId="12542"/>
    <cellStyle name="40% - akcent 3 137 3" xfId="9252"/>
    <cellStyle name="40% - akcent 3 138" xfId="2064"/>
    <cellStyle name="40% - akcent 3 138 2" xfId="5908"/>
    <cellStyle name="40% - akcent 3 138 2 2" xfId="12543"/>
    <cellStyle name="40% - akcent 3 138 3" xfId="9253"/>
    <cellStyle name="40% - akcent 3 139" xfId="2065"/>
    <cellStyle name="40% - akcent 3 139 2" xfId="5909"/>
    <cellStyle name="40% - akcent 3 139 2 2" xfId="12544"/>
    <cellStyle name="40% - akcent 3 139 3" xfId="9254"/>
    <cellStyle name="40% - akcent 3 14" xfId="2066"/>
    <cellStyle name="40% - akcent 3 14 2" xfId="2067"/>
    <cellStyle name="40% - akcent 3 14 2 2" xfId="5911"/>
    <cellStyle name="40% - akcent 3 14 2 2 2" xfId="12546"/>
    <cellStyle name="40% - akcent 3 14 2 3" xfId="9256"/>
    <cellStyle name="40% - akcent 3 14 3" xfId="5910"/>
    <cellStyle name="40% - akcent 3 14 3 2" xfId="12545"/>
    <cellStyle name="40% - akcent 3 14 4" xfId="9255"/>
    <cellStyle name="40% - akcent 3 140" xfId="2068"/>
    <cellStyle name="40% - akcent 3 140 2" xfId="5912"/>
    <cellStyle name="40% - akcent 3 140 2 2" xfId="12547"/>
    <cellStyle name="40% - akcent 3 140 3" xfId="9257"/>
    <cellStyle name="40% - akcent 3 141" xfId="2069"/>
    <cellStyle name="40% - akcent 3 141 2" xfId="5913"/>
    <cellStyle name="40% - akcent 3 141 2 2" xfId="12548"/>
    <cellStyle name="40% - akcent 3 141 3" xfId="9258"/>
    <cellStyle name="40% - akcent 3 142" xfId="2070"/>
    <cellStyle name="40% - akcent 3 142 2" xfId="5914"/>
    <cellStyle name="40% - akcent 3 142 2 2" xfId="12549"/>
    <cellStyle name="40% - akcent 3 142 3" xfId="9259"/>
    <cellStyle name="40% - akcent 3 143" xfId="2071"/>
    <cellStyle name="40% - akcent 3 143 2" xfId="5915"/>
    <cellStyle name="40% - akcent 3 143 2 2" xfId="12550"/>
    <cellStyle name="40% - akcent 3 143 3" xfId="9260"/>
    <cellStyle name="40% - akcent 3 144" xfId="2072"/>
    <cellStyle name="40% - akcent 3 144 2" xfId="5916"/>
    <cellStyle name="40% - akcent 3 144 2 2" xfId="12551"/>
    <cellStyle name="40% - akcent 3 144 3" xfId="9261"/>
    <cellStyle name="40% - akcent 3 145" xfId="2073"/>
    <cellStyle name="40% - akcent 3 145 2" xfId="5917"/>
    <cellStyle name="40% - akcent 3 145 2 2" xfId="12552"/>
    <cellStyle name="40% - akcent 3 145 3" xfId="9262"/>
    <cellStyle name="40% - akcent 3 146" xfId="2074"/>
    <cellStyle name="40% - akcent 3 146 2" xfId="5918"/>
    <cellStyle name="40% - akcent 3 146 2 2" xfId="12553"/>
    <cellStyle name="40% - akcent 3 146 3" xfId="9263"/>
    <cellStyle name="40% - akcent 3 147" xfId="2075"/>
    <cellStyle name="40% - akcent 3 147 2" xfId="5919"/>
    <cellStyle name="40% - akcent 3 147 2 2" xfId="12554"/>
    <cellStyle name="40% - akcent 3 147 3" xfId="9264"/>
    <cellStyle name="40% - akcent 3 148" xfId="2076"/>
    <cellStyle name="40% - akcent 3 148 2" xfId="5920"/>
    <cellStyle name="40% - akcent 3 148 2 2" xfId="12555"/>
    <cellStyle name="40% - akcent 3 148 3" xfId="9265"/>
    <cellStyle name="40% - akcent 3 149" xfId="2077"/>
    <cellStyle name="40% - akcent 3 149 2" xfId="5921"/>
    <cellStyle name="40% - akcent 3 149 2 2" xfId="12556"/>
    <cellStyle name="40% - akcent 3 149 3" xfId="9266"/>
    <cellStyle name="40% - akcent 3 15" xfId="2078"/>
    <cellStyle name="40% - akcent 3 15 2" xfId="2079"/>
    <cellStyle name="40% - akcent 3 15 2 2" xfId="5923"/>
    <cellStyle name="40% - akcent 3 15 2 2 2" xfId="12558"/>
    <cellStyle name="40% - akcent 3 15 2 3" xfId="9268"/>
    <cellStyle name="40% - akcent 3 15 3" xfId="5922"/>
    <cellStyle name="40% - akcent 3 15 3 2" xfId="12557"/>
    <cellStyle name="40% - akcent 3 15 4" xfId="9267"/>
    <cellStyle name="40% - akcent 3 150" xfId="2080"/>
    <cellStyle name="40% - akcent 3 150 2" xfId="5924"/>
    <cellStyle name="40% - akcent 3 150 2 2" xfId="12559"/>
    <cellStyle name="40% - akcent 3 150 3" xfId="9269"/>
    <cellStyle name="40% - akcent 3 151" xfId="2081"/>
    <cellStyle name="40% - akcent 3 151 2" xfId="5925"/>
    <cellStyle name="40% - akcent 3 151 2 2" xfId="12560"/>
    <cellStyle name="40% - akcent 3 151 3" xfId="9270"/>
    <cellStyle name="40% - akcent 3 152" xfId="2082"/>
    <cellStyle name="40% - akcent 3 152 2" xfId="5926"/>
    <cellStyle name="40% - akcent 3 152 2 2" xfId="12561"/>
    <cellStyle name="40% - akcent 3 152 3" xfId="9271"/>
    <cellStyle name="40% - akcent 3 153" xfId="2083"/>
    <cellStyle name="40% - akcent 3 153 2" xfId="5927"/>
    <cellStyle name="40% - akcent 3 153 2 2" xfId="12562"/>
    <cellStyle name="40% - akcent 3 153 3" xfId="9272"/>
    <cellStyle name="40% - akcent 3 154" xfId="2084"/>
    <cellStyle name="40% - akcent 3 154 2" xfId="5928"/>
    <cellStyle name="40% - akcent 3 154 2 2" xfId="12563"/>
    <cellStyle name="40% - akcent 3 154 3" xfId="9273"/>
    <cellStyle name="40% - akcent 3 155" xfId="2085"/>
    <cellStyle name="40% - akcent 3 155 2" xfId="5929"/>
    <cellStyle name="40% - akcent 3 155 2 2" xfId="12564"/>
    <cellStyle name="40% - akcent 3 155 3" xfId="9274"/>
    <cellStyle name="40% - akcent 3 156" xfId="2086"/>
    <cellStyle name="40% - akcent 3 156 2" xfId="5930"/>
    <cellStyle name="40% - akcent 3 156 2 2" xfId="12565"/>
    <cellStyle name="40% - akcent 3 156 3" xfId="9275"/>
    <cellStyle name="40% - akcent 3 157" xfId="2087"/>
    <cellStyle name="40% - akcent 3 157 2" xfId="5931"/>
    <cellStyle name="40% - akcent 3 157 2 2" xfId="12566"/>
    <cellStyle name="40% - akcent 3 157 3" xfId="9276"/>
    <cellStyle name="40% - akcent 3 158" xfId="2088"/>
    <cellStyle name="40% - akcent 3 158 2" xfId="5932"/>
    <cellStyle name="40% - akcent 3 158 2 2" xfId="12567"/>
    <cellStyle name="40% - akcent 3 158 3" xfId="9277"/>
    <cellStyle name="40% - akcent 3 159" xfId="2089"/>
    <cellStyle name="40% - akcent 3 159 2" xfId="5933"/>
    <cellStyle name="40% - akcent 3 159 2 2" xfId="12568"/>
    <cellStyle name="40% - akcent 3 159 3" xfId="9278"/>
    <cellStyle name="40% - akcent 3 16" xfId="2090"/>
    <cellStyle name="40% - akcent 3 16 2" xfId="2091"/>
    <cellStyle name="40% - akcent 3 16 2 2" xfId="5935"/>
    <cellStyle name="40% - akcent 3 16 2 2 2" xfId="12570"/>
    <cellStyle name="40% - akcent 3 16 2 3" xfId="9280"/>
    <cellStyle name="40% - akcent 3 16 3" xfId="5934"/>
    <cellStyle name="40% - akcent 3 16 3 2" xfId="12569"/>
    <cellStyle name="40% - akcent 3 16 4" xfId="9279"/>
    <cellStyle name="40% - akcent 3 160" xfId="2092"/>
    <cellStyle name="40% - akcent 3 160 2" xfId="5936"/>
    <cellStyle name="40% - akcent 3 160 2 2" xfId="12571"/>
    <cellStyle name="40% - akcent 3 160 3" xfId="9281"/>
    <cellStyle name="40% - akcent 3 161" xfId="2093"/>
    <cellStyle name="40% - akcent 3 161 2" xfId="5937"/>
    <cellStyle name="40% - akcent 3 161 2 2" xfId="12572"/>
    <cellStyle name="40% - akcent 3 161 3" xfId="9282"/>
    <cellStyle name="40% - akcent 3 162" xfId="2094"/>
    <cellStyle name="40% - akcent 3 162 2" xfId="5938"/>
    <cellStyle name="40% - akcent 3 162 2 2" xfId="12573"/>
    <cellStyle name="40% - akcent 3 162 3" xfId="9283"/>
    <cellStyle name="40% - akcent 3 163" xfId="2095"/>
    <cellStyle name="40% - akcent 3 163 2" xfId="5939"/>
    <cellStyle name="40% - akcent 3 163 2 2" xfId="12574"/>
    <cellStyle name="40% - akcent 3 163 3" xfId="9284"/>
    <cellStyle name="40% - akcent 3 164" xfId="2096"/>
    <cellStyle name="40% - akcent 3 164 2" xfId="5940"/>
    <cellStyle name="40% - akcent 3 164 2 2" xfId="12575"/>
    <cellStyle name="40% - akcent 3 164 3" xfId="9285"/>
    <cellStyle name="40% - akcent 3 165" xfId="2097"/>
    <cellStyle name="40% - akcent 3 165 2" xfId="5941"/>
    <cellStyle name="40% - akcent 3 165 2 2" xfId="12576"/>
    <cellStyle name="40% - akcent 3 165 3" xfId="9286"/>
    <cellStyle name="40% - akcent 3 166" xfId="2098"/>
    <cellStyle name="40% - akcent 3 166 2" xfId="5942"/>
    <cellStyle name="40% - akcent 3 166 2 2" xfId="12577"/>
    <cellStyle name="40% - akcent 3 166 3" xfId="9287"/>
    <cellStyle name="40% - akcent 3 167" xfId="2099"/>
    <cellStyle name="40% - akcent 3 167 2" xfId="5943"/>
    <cellStyle name="40% - akcent 3 167 2 2" xfId="12578"/>
    <cellStyle name="40% - akcent 3 167 3" xfId="9288"/>
    <cellStyle name="40% - akcent 3 168" xfId="2100"/>
    <cellStyle name="40% - akcent 3 168 2" xfId="5944"/>
    <cellStyle name="40% - akcent 3 168 2 2" xfId="12579"/>
    <cellStyle name="40% - akcent 3 168 3" xfId="9289"/>
    <cellStyle name="40% - akcent 3 169" xfId="2101"/>
    <cellStyle name="40% - akcent 3 169 2" xfId="5945"/>
    <cellStyle name="40% - akcent 3 169 2 2" xfId="12580"/>
    <cellStyle name="40% - akcent 3 169 3" xfId="9290"/>
    <cellStyle name="40% - akcent 3 17" xfId="2102"/>
    <cellStyle name="40% - akcent 3 17 2" xfId="2103"/>
    <cellStyle name="40% - akcent 3 17 2 2" xfId="5947"/>
    <cellStyle name="40% - akcent 3 17 2 2 2" xfId="12582"/>
    <cellStyle name="40% - akcent 3 17 2 3" xfId="9292"/>
    <cellStyle name="40% - akcent 3 17 3" xfId="5946"/>
    <cellStyle name="40% - akcent 3 17 3 2" xfId="12581"/>
    <cellStyle name="40% - akcent 3 17 4" xfId="9291"/>
    <cellStyle name="40% - akcent 3 170" xfId="2104"/>
    <cellStyle name="40% - akcent 3 170 2" xfId="5948"/>
    <cellStyle name="40% - akcent 3 170 2 2" xfId="12583"/>
    <cellStyle name="40% - akcent 3 170 3" xfId="9293"/>
    <cellStyle name="40% - akcent 3 171" xfId="2105"/>
    <cellStyle name="40% - akcent 3 171 2" xfId="5949"/>
    <cellStyle name="40% - akcent 3 171 2 2" xfId="12584"/>
    <cellStyle name="40% - akcent 3 171 3" xfId="9294"/>
    <cellStyle name="40% - akcent 3 172" xfId="2106"/>
    <cellStyle name="40% - akcent 3 172 2" xfId="5950"/>
    <cellStyle name="40% - akcent 3 172 2 2" xfId="12585"/>
    <cellStyle name="40% - akcent 3 172 3" xfId="9295"/>
    <cellStyle name="40% - akcent 3 173" xfId="2107"/>
    <cellStyle name="40% - akcent 3 173 2" xfId="5951"/>
    <cellStyle name="40% - akcent 3 173 2 2" xfId="12586"/>
    <cellStyle name="40% - akcent 3 173 3" xfId="9296"/>
    <cellStyle name="40% - akcent 3 174" xfId="2108"/>
    <cellStyle name="40% - akcent 3 174 2" xfId="5952"/>
    <cellStyle name="40% - akcent 3 174 2 2" xfId="12587"/>
    <cellStyle name="40% - akcent 3 174 3" xfId="9297"/>
    <cellStyle name="40% - akcent 3 175" xfId="2109"/>
    <cellStyle name="40% - akcent 3 175 2" xfId="5953"/>
    <cellStyle name="40% - akcent 3 175 2 2" xfId="12588"/>
    <cellStyle name="40% - akcent 3 175 3" xfId="9298"/>
    <cellStyle name="40% - akcent 3 176" xfId="2110"/>
    <cellStyle name="40% - akcent 3 176 2" xfId="5954"/>
    <cellStyle name="40% - akcent 3 176 2 2" xfId="12589"/>
    <cellStyle name="40% - akcent 3 176 3" xfId="9299"/>
    <cellStyle name="40% - akcent 3 177" xfId="2111"/>
    <cellStyle name="40% - akcent 3 177 2" xfId="5955"/>
    <cellStyle name="40% - akcent 3 177 2 2" xfId="12590"/>
    <cellStyle name="40% - akcent 3 177 3" xfId="9300"/>
    <cellStyle name="40% - akcent 3 178" xfId="2112"/>
    <cellStyle name="40% - akcent 3 178 2" xfId="5956"/>
    <cellStyle name="40% - akcent 3 178 2 2" xfId="12591"/>
    <cellStyle name="40% - akcent 3 178 3" xfId="9301"/>
    <cellStyle name="40% - akcent 3 179" xfId="2113"/>
    <cellStyle name="40% - akcent 3 179 2" xfId="5957"/>
    <cellStyle name="40% - akcent 3 179 2 2" xfId="12592"/>
    <cellStyle name="40% - akcent 3 179 3" xfId="9302"/>
    <cellStyle name="40% - akcent 3 18" xfId="2114"/>
    <cellStyle name="40% - akcent 3 18 2" xfId="2115"/>
    <cellStyle name="40% - akcent 3 18 2 2" xfId="5959"/>
    <cellStyle name="40% - akcent 3 18 2 2 2" xfId="12594"/>
    <cellStyle name="40% - akcent 3 18 2 3" xfId="9304"/>
    <cellStyle name="40% - akcent 3 18 3" xfId="5958"/>
    <cellStyle name="40% - akcent 3 18 3 2" xfId="12593"/>
    <cellStyle name="40% - akcent 3 18 4" xfId="9303"/>
    <cellStyle name="40% - akcent 3 180" xfId="2116"/>
    <cellStyle name="40% - akcent 3 180 2" xfId="5960"/>
    <cellStyle name="40% - akcent 3 180 2 2" xfId="12595"/>
    <cellStyle name="40% - akcent 3 180 3" xfId="9305"/>
    <cellStyle name="40% - akcent 3 181" xfId="2117"/>
    <cellStyle name="40% - akcent 3 181 2" xfId="5961"/>
    <cellStyle name="40% - akcent 3 181 2 2" xfId="12596"/>
    <cellStyle name="40% - akcent 3 181 3" xfId="9306"/>
    <cellStyle name="40% - akcent 3 182" xfId="2118"/>
    <cellStyle name="40% - akcent 3 182 2" xfId="5962"/>
    <cellStyle name="40% - akcent 3 182 2 2" xfId="12597"/>
    <cellStyle name="40% - akcent 3 182 3" xfId="9307"/>
    <cellStyle name="40% - akcent 3 183" xfId="2119"/>
    <cellStyle name="40% - akcent 3 183 2" xfId="5963"/>
    <cellStyle name="40% - akcent 3 183 2 2" xfId="12598"/>
    <cellStyle name="40% - akcent 3 183 3" xfId="9308"/>
    <cellStyle name="40% - akcent 3 184" xfId="2120"/>
    <cellStyle name="40% - akcent 3 184 2" xfId="5964"/>
    <cellStyle name="40% - akcent 3 184 2 2" xfId="12599"/>
    <cellStyle name="40% - akcent 3 184 3" xfId="9309"/>
    <cellStyle name="40% - akcent 3 185" xfId="2121"/>
    <cellStyle name="40% - akcent 3 185 2" xfId="5965"/>
    <cellStyle name="40% - akcent 3 185 2 2" xfId="12600"/>
    <cellStyle name="40% - akcent 3 185 3" xfId="9310"/>
    <cellStyle name="40% - akcent 3 186" xfId="2122"/>
    <cellStyle name="40% - akcent 3 186 2" xfId="5966"/>
    <cellStyle name="40% - akcent 3 186 2 2" xfId="12601"/>
    <cellStyle name="40% - akcent 3 186 3" xfId="9311"/>
    <cellStyle name="40% - akcent 3 187" xfId="2123"/>
    <cellStyle name="40% - akcent 3 187 2" xfId="5967"/>
    <cellStyle name="40% - akcent 3 187 2 2" xfId="12602"/>
    <cellStyle name="40% - akcent 3 187 3" xfId="9312"/>
    <cellStyle name="40% - akcent 3 188" xfId="2124"/>
    <cellStyle name="40% - akcent 3 188 2" xfId="5968"/>
    <cellStyle name="40% - akcent 3 188 2 2" xfId="12603"/>
    <cellStyle name="40% - akcent 3 188 3" xfId="9313"/>
    <cellStyle name="40% - akcent 3 189" xfId="2125"/>
    <cellStyle name="40% - akcent 3 189 2" xfId="5969"/>
    <cellStyle name="40% - akcent 3 189 2 2" xfId="12604"/>
    <cellStyle name="40% - akcent 3 189 3" xfId="9314"/>
    <cellStyle name="40% - akcent 3 19" xfId="2126"/>
    <cellStyle name="40% - akcent 3 19 2" xfId="2127"/>
    <cellStyle name="40% - akcent 3 19 2 2" xfId="5971"/>
    <cellStyle name="40% - akcent 3 19 2 2 2" xfId="12606"/>
    <cellStyle name="40% - akcent 3 19 2 3" xfId="9316"/>
    <cellStyle name="40% - akcent 3 19 3" xfId="5970"/>
    <cellStyle name="40% - akcent 3 19 3 2" xfId="12605"/>
    <cellStyle name="40% - akcent 3 19 4" xfId="9315"/>
    <cellStyle name="40% - akcent 3 190" xfId="2128"/>
    <cellStyle name="40% - akcent 3 190 2" xfId="5972"/>
    <cellStyle name="40% - akcent 3 190 2 2" xfId="12607"/>
    <cellStyle name="40% - akcent 3 190 3" xfId="9317"/>
    <cellStyle name="40% - akcent 3 191" xfId="2129"/>
    <cellStyle name="40% - akcent 3 191 2" xfId="5973"/>
    <cellStyle name="40% - akcent 3 191 2 2" xfId="12608"/>
    <cellStyle name="40% - akcent 3 191 3" xfId="9318"/>
    <cellStyle name="40% - akcent 3 192" xfId="2130"/>
    <cellStyle name="40% - akcent 3 192 2" xfId="5974"/>
    <cellStyle name="40% - akcent 3 192 2 2" xfId="12609"/>
    <cellStyle name="40% - akcent 3 192 3" xfId="9319"/>
    <cellStyle name="40% - akcent 3 193" xfId="2131"/>
    <cellStyle name="40% - akcent 3 193 2" xfId="5975"/>
    <cellStyle name="40% - akcent 3 193 2 2" xfId="12610"/>
    <cellStyle name="40% - akcent 3 193 3" xfId="9320"/>
    <cellStyle name="40% - akcent 3 194" xfId="2132"/>
    <cellStyle name="40% - akcent 3 194 2" xfId="5976"/>
    <cellStyle name="40% - akcent 3 194 2 2" xfId="12611"/>
    <cellStyle name="40% - akcent 3 194 3" xfId="9321"/>
    <cellStyle name="40% - akcent 3 195" xfId="3842"/>
    <cellStyle name="40% - akcent 3 195 2" xfId="10477"/>
    <cellStyle name="40% - akcent 3 196" xfId="7125"/>
    <cellStyle name="40% - akcent 3 197" xfId="7191"/>
    <cellStyle name="40% - akcent 3 2" xfId="2133"/>
    <cellStyle name="40% - akcent 3 2 2" xfId="2134"/>
    <cellStyle name="40% - akcent 3 2 2 2" xfId="5978"/>
    <cellStyle name="40% - akcent 3 2 2 2 2" xfId="12613"/>
    <cellStyle name="40% - akcent 3 2 2 3" xfId="9323"/>
    <cellStyle name="40% - akcent 3 2 3" xfId="5977"/>
    <cellStyle name="40% - akcent 3 2 3 2" xfId="12612"/>
    <cellStyle name="40% - akcent 3 2 4" xfId="9322"/>
    <cellStyle name="40% - akcent 3 20" xfId="2135"/>
    <cellStyle name="40% - akcent 3 20 2" xfId="2136"/>
    <cellStyle name="40% - akcent 3 20 2 2" xfId="5980"/>
    <cellStyle name="40% - akcent 3 20 2 2 2" xfId="12615"/>
    <cellStyle name="40% - akcent 3 20 2 3" xfId="9325"/>
    <cellStyle name="40% - akcent 3 20 3" xfId="5979"/>
    <cellStyle name="40% - akcent 3 20 3 2" xfId="12614"/>
    <cellStyle name="40% - akcent 3 20 4" xfId="9324"/>
    <cellStyle name="40% - akcent 3 21" xfId="2137"/>
    <cellStyle name="40% - akcent 3 21 2" xfId="2138"/>
    <cellStyle name="40% - akcent 3 21 2 2" xfId="5982"/>
    <cellStyle name="40% - akcent 3 21 2 2 2" xfId="12617"/>
    <cellStyle name="40% - akcent 3 21 2 3" xfId="9327"/>
    <cellStyle name="40% - akcent 3 21 3" xfId="5981"/>
    <cellStyle name="40% - akcent 3 21 3 2" xfId="12616"/>
    <cellStyle name="40% - akcent 3 21 4" xfId="9326"/>
    <cellStyle name="40% - akcent 3 22" xfId="2139"/>
    <cellStyle name="40% - akcent 3 22 2" xfId="2140"/>
    <cellStyle name="40% - akcent 3 22 2 2" xfId="5984"/>
    <cellStyle name="40% - akcent 3 22 2 2 2" xfId="12619"/>
    <cellStyle name="40% - akcent 3 22 2 3" xfId="9329"/>
    <cellStyle name="40% - akcent 3 22 3" xfId="5983"/>
    <cellStyle name="40% - akcent 3 22 3 2" xfId="12618"/>
    <cellStyle name="40% - akcent 3 22 4" xfId="9328"/>
    <cellStyle name="40% - akcent 3 23" xfId="2141"/>
    <cellStyle name="40% - akcent 3 23 2" xfId="2142"/>
    <cellStyle name="40% - akcent 3 23 2 2" xfId="5986"/>
    <cellStyle name="40% - akcent 3 23 2 2 2" xfId="12621"/>
    <cellStyle name="40% - akcent 3 23 2 3" xfId="9331"/>
    <cellStyle name="40% - akcent 3 23 3" xfId="5985"/>
    <cellStyle name="40% - akcent 3 23 3 2" xfId="12620"/>
    <cellStyle name="40% - akcent 3 23 4" xfId="9330"/>
    <cellStyle name="40% - akcent 3 24" xfId="2143"/>
    <cellStyle name="40% - akcent 3 24 2" xfId="2144"/>
    <cellStyle name="40% - akcent 3 24 2 2" xfId="5988"/>
    <cellStyle name="40% - akcent 3 24 2 2 2" xfId="12623"/>
    <cellStyle name="40% - akcent 3 24 2 3" xfId="9333"/>
    <cellStyle name="40% - akcent 3 24 3" xfId="5987"/>
    <cellStyle name="40% - akcent 3 24 3 2" xfId="12622"/>
    <cellStyle name="40% - akcent 3 24 4" xfId="9332"/>
    <cellStyle name="40% - akcent 3 25" xfId="2145"/>
    <cellStyle name="40% - akcent 3 25 2" xfId="2146"/>
    <cellStyle name="40% - akcent 3 25 2 2" xfId="5990"/>
    <cellStyle name="40% - akcent 3 25 2 2 2" xfId="12625"/>
    <cellStyle name="40% - akcent 3 25 2 3" xfId="9335"/>
    <cellStyle name="40% - akcent 3 25 3" xfId="5989"/>
    <cellStyle name="40% - akcent 3 25 3 2" xfId="12624"/>
    <cellStyle name="40% - akcent 3 25 4" xfId="9334"/>
    <cellStyle name="40% - akcent 3 26" xfId="2147"/>
    <cellStyle name="40% - akcent 3 26 2" xfId="2148"/>
    <cellStyle name="40% - akcent 3 26 2 2" xfId="5992"/>
    <cellStyle name="40% - akcent 3 26 2 2 2" xfId="12627"/>
    <cellStyle name="40% - akcent 3 26 2 3" xfId="9337"/>
    <cellStyle name="40% - akcent 3 26 3" xfId="5991"/>
    <cellStyle name="40% - akcent 3 26 3 2" xfId="12626"/>
    <cellStyle name="40% - akcent 3 26 4" xfId="9336"/>
    <cellStyle name="40% - akcent 3 27" xfId="2149"/>
    <cellStyle name="40% - akcent 3 27 2" xfId="2150"/>
    <cellStyle name="40% - akcent 3 27 2 2" xfId="5994"/>
    <cellStyle name="40% - akcent 3 27 2 2 2" xfId="12629"/>
    <cellStyle name="40% - akcent 3 27 2 3" xfId="9339"/>
    <cellStyle name="40% - akcent 3 27 3" xfId="5993"/>
    <cellStyle name="40% - akcent 3 27 3 2" xfId="12628"/>
    <cellStyle name="40% - akcent 3 27 4" xfId="9338"/>
    <cellStyle name="40% - akcent 3 28" xfId="2151"/>
    <cellStyle name="40% - akcent 3 28 2" xfId="2152"/>
    <cellStyle name="40% - akcent 3 28 2 2" xfId="5996"/>
    <cellStyle name="40% - akcent 3 28 2 2 2" xfId="12631"/>
    <cellStyle name="40% - akcent 3 28 2 3" xfId="9341"/>
    <cellStyle name="40% - akcent 3 28 3" xfId="5995"/>
    <cellStyle name="40% - akcent 3 28 3 2" xfId="12630"/>
    <cellStyle name="40% - akcent 3 28 4" xfId="9340"/>
    <cellStyle name="40% - akcent 3 29" xfId="2153"/>
    <cellStyle name="40% - akcent 3 29 2" xfId="2154"/>
    <cellStyle name="40% - akcent 3 29 2 2" xfId="5998"/>
    <cellStyle name="40% - akcent 3 29 2 2 2" xfId="12633"/>
    <cellStyle name="40% - akcent 3 29 2 3" xfId="9343"/>
    <cellStyle name="40% - akcent 3 29 3" xfId="5997"/>
    <cellStyle name="40% - akcent 3 29 3 2" xfId="12632"/>
    <cellStyle name="40% - akcent 3 29 4" xfId="9342"/>
    <cellStyle name="40% - akcent 3 3" xfId="2155"/>
    <cellStyle name="40% - akcent 3 3 2" xfId="2156"/>
    <cellStyle name="40% - akcent 3 3 2 2" xfId="6000"/>
    <cellStyle name="40% - akcent 3 3 2 2 2" xfId="12635"/>
    <cellStyle name="40% - akcent 3 3 2 3" xfId="9345"/>
    <cellStyle name="40% - akcent 3 3 3" xfId="5999"/>
    <cellStyle name="40% - akcent 3 3 3 2" xfId="12634"/>
    <cellStyle name="40% - akcent 3 3 4" xfId="9344"/>
    <cellStyle name="40% - akcent 3 30" xfId="2157"/>
    <cellStyle name="40% - akcent 3 30 2" xfId="2158"/>
    <cellStyle name="40% - akcent 3 30 2 2" xfId="6002"/>
    <cellStyle name="40% - akcent 3 30 2 2 2" xfId="12637"/>
    <cellStyle name="40% - akcent 3 30 2 3" xfId="9347"/>
    <cellStyle name="40% - akcent 3 30 3" xfId="6001"/>
    <cellStyle name="40% - akcent 3 30 3 2" xfId="12636"/>
    <cellStyle name="40% - akcent 3 30 4" xfId="9346"/>
    <cellStyle name="40% - akcent 3 31" xfId="2159"/>
    <cellStyle name="40% - akcent 3 31 2" xfId="2160"/>
    <cellStyle name="40% - akcent 3 31 2 2" xfId="6004"/>
    <cellStyle name="40% - akcent 3 31 2 2 2" xfId="12639"/>
    <cellStyle name="40% - akcent 3 31 2 3" xfId="9349"/>
    <cellStyle name="40% - akcent 3 31 3" xfId="6003"/>
    <cellStyle name="40% - akcent 3 31 3 2" xfId="12638"/>
    <cellStyle name="40% - akcent 3 31 4" xfId="9348"/>
    <cellStyle name="40% - akcent 3 32" xfId="2161"/>
    <cellStyle name="40% - akcent 3 32 2" xfId="2162"/>
    <cellStyle name="40% - akcent 3 32 2 2" xfId="6006"/>
    <cellStyle name="40% - akcent 3 32 2 2 2" xfId="12641"/>
    <cellStyle name="40% - akcent 3 32 2 3" xfId="9351"/>
    <cellStyle name="40% - akcent 3 32 3" xfId="6005"/>
    <cellStyle name="40% - akcent 3 32 3 2" xfId="12640"/>
    <cellStyle name="40% - akcent 3 32 4" xfId="9350"/>
    <cellStyle name="40% - akcent 3 33" xfId="2163"/>
    <cellStyle name="40% - akcent 3 33 2" xfId="2164"/>
    <cellStyle name="40% - akcent 3 33 2 2" xfId="6008"/>
    <cellStyle name="40% - akcent 3 33 2 2 2" xfId="12643"/>
    <cellStyle name="40% - akcent 3 33 2 3" xfId="9353"/>
    <cellStyle name="40% - akcent 3 33 3" xfId="6007"/>
    <cellStyle name="40% - akcent 3 33 3 2" xfId="12642"/>
    <cellStyle name="40% - akcent 3 33 4" xfId="9352"/>
    <cellStyle name="40% - akcent 3 34" xfId="2165"/>
    <cellStyle name="40% - akcent 3 34 2" xfId="2166"/>
    <cellStyle name="40% - akcent 3 34 2 2" xfId="6010"/>
    <cellStyle name="40% - akcent 3 34 2 2 2" xfId="12645"/>
    <cellStyle name="40% - akcent 3 34 2 3" xfId="9355"/>
    <cellStyle name="40% - akcent 3 34 3" xfId="6009"/>
    <cellStyle name="40% - akcent 3 34 3 2" xfId="12644"/>
    <cellStyle name="40% - akcent 3 34 4" xfId="9354"/>
    <cellStyle name="40% - akcent 3 35" xfId="2167"/>
    <cellStyle name="40% - akcent 3 35 2" xfId="2168"/>
    <cellStyle name="40% - akcent 3 35 2 2" xfId="6012"/>
    <cellStyle name="40% - akcent 3 35 2 2 2" xfId="12647"/>
    <cellStyle name="40% - akcent 3 35 2 3" xfId="9357"/>
    <cellStyle name="40% - akcent 3 35 3" xfId="6011"/>
    <cellStyle name="40% - akcent 3 35 3 2" xfId="12646"/>
    <cellStyle name="40% - akcent 3 35 4" xfId="9356"/>
    <cellStyle name="40% - akcent 3 36" xfId="2169"/>
    <cellStyle name="40% - akcent 3 36 2" xfId="2170"/>
    <cellStyle name="40% - akcent 3 36 2 2" xfId="6014"/>
    <cellStyle name="40% - akcent 3 36 2 2 2" xfId="12649"/>
    <cellStyle name="40% - akcent 3 36 2 3" xfId="9359"/>
    <cellStyle name="40% - akcent 3 36 3" xfId="6013"/>
    <cellStyle name="40% - akcent 3 36 3 2" xfId="12648"/>
    <cellStyle name="40% - akcent 3 36 4" xfId="9358"/>
    <cellStyle name="40% - akcent 3 37" xfId="2171"/>
    <cellStyle name="40% - akcent 3 37 2" xfId="2172"/>
    <cellStyle name="40% - akcent 3 37 2 2" xfId="6016"/>
    <cellStyle name="40% - akcent 3 37 2 2 2" xfId="12651"/>
    <cellStyle name="40% - akcent 3 37 2 3" xfId="9361"/>
    <cellStyle name="40% - akcent 3 37 3" xfId="6015"/>
    <cellStyle name="40% - akcent 3 37 3 2" xfId="12650"/>
    <cellStyle name="40% - akcent 3 37 4" xfId="9360"/>
    <cellStyle name="40% - akcent 3 38" xfId="2173"/>
    <cellStyle name="40% - akcent 3 38 2" xfId="2174"/>
    <cellStyle name="40% - akcent 3 38 2 2" xfId="6018"/>
    <cellStyle name="40% - akcent 3 38 2 2 2" xfId="12653"/>
    <cellStyle name="40% - akcent 3 38 2 3" xfId="9363"/>
    <cellStyle name="40% - akcent 3 38 3" xfId="6017"/>
    <cellStyle name="40% - akcent 3 38 3 2" xfId="12652"/>
    <cellStyle name="40% - akcent 3 38 4" xfId="9362"/>
    <cellStyle name="40% - akcent 3 39" xfId="2175"/>
    <cellStyle name="40% - akcent 3 39 2" xfId="2176"/>
    <cellStyle name="40% - akcent 3 39 2 2" xfId="6020"/>
    <cellStyle name="40% - akcent 3 39 2 2 2" xfId="12655"/>
    <cellStyle name="40% - akcent 3 39 2 3" xfId="9365"/>
    <cellStyle name="40% - akcent 3 39 3" xfId="6019"/>
    <cellStyle name="40% - akcent 3 39 3 2" xfId="12654"/>
    <cellStyle name="40% - akcent 3 39 4" xfId="9364"/>
    <cellStyle name="40% - akcent 3 4" xfId="2177"/>
    <cellStyle name="40% - akcent 3 4 2" xfId="2178"/>
    <cellStyle name="40% - akcent 3 4 2 2" xfId="6022"/>
    <cellStyle name="40% - akcent 3 4 2 2 2" xfId="12657"/>
    <cellStyle name="40% - akcent 3 4 2 3" xfId="9367"/>
    <cellStyle name="40% - akcent 3 4 3" xfId="6021"/>
    <cellStyle name="40% - akcent 3 4 3 2" xfId="12656"/>
    <cellStyle name="40% - akcent 3 4 4" xfId="9366"/>
    <cellStyle name="40% - akcent 3 40" xfId="2179"/>
    <cellStyle name="40% - akcent 3 40 2" xfId="2180"/>
    <cellStyle name="40% - akcent 3 40 2 2" xfId="6024"/>
    <cellStyle name="40% - akcent 3 40 2 2 2" xfId="12659"/>
    <cellStyle name="40% - akcent 3 40 2 3" xfId="9369"/>
    <cellStyle name="40% - akcent 3 40 3" xfId="6023"/>
    <cellStyle name="40% - akcent 3 40 3 2" xfId="12658"/>
    <cellStyle name="40% - akcent 3 40 4" xfId="9368"/>
    <cellStyle name="40% - akcent 3 41" xfId="2181"/>
    <cellStyle name="40% - akcent 3 41 2" xfId="2182"/>
    <cellStyle name="40% - akcent 3 41 2 2" xfId="6026"/>
    <cellStyle name="40% - akcent 3 41 2 2 2" xfId="12661"/>
    <cellStyle name="40% - akcent 3 41 2 3" xfId="9371"/>
    <cellStyle name="40% - akcent 3 41 3" xfId="6025"/>
    <cellStyle name="40% - akcent 3 41 3 2" xfId="12660"/>
    <cellStyle name="40% - akcent 3 41 4" xfId="9370"/>
    <cellStyle name="40% - akcent 3 42" xfId="2183"/>
    <cellStyle name="40% - akcent 3 42 2" xfId="2184"/>
    <cellStyle name="40% - akcent 3 42 2 2" xfId="6028"/>
    <cellStyle name="40% - akcent 3 42 2 2 2" xfId="12663"/>
    <cellStyle name="40% - akcent 3 42 2 3" xfId="9373"/>
    <cellStyle name="40% - akcent 3 42 3" xfId="6027"/>
    <cellStyle name="40% - akcent 3 42 3 2" xfId="12662"/>
    <cellStyle name="40% - akcent 3 42 4" xfId="9372"/>
    <cellStyle name="40% - akcent 3 43" xfId="2185"/>
    <cellStyle name="40% - akcent 3 43 2" xfId="2186"/>
    <cellStyle name="40% - akcent 3 43 2 2" xfId="6030"/>
    <cellStyle name="40% - akcent 3 43 2 2 2" xfId="12665"/>
    <cellStyle name="40% - akcent 3 43 2 3" xfId="9375"/>
    <cellStyle name="40% - akcent 3 43 3" xfId="6029"/>
    <cellStyle name="40% - akcent 3 43 3 2" xfId="12664"/>
    <cellStyle name="40% - akcent 3 43 4" xfId="9374"/>
    <cellStyle name="40% - akcent 3 44" xfId="2187"/>
    <cellStyle name="40% - akcent 3 44 2" xfId="2188"/>
    <cellStyle name="40% - akcent 3 44 2 2" xfId="6032"/>
    <cellStyle name="40% - akcent 3 44 2 2 2" xfId="12667"/>
    <cellStyle name="40% - akcent 3 44 2 3" xfId="9377"/>
    <cellStyle name="40% - akcent 3 44 3" xfId="6031"/>
    <cellStyle name="40% - akcent 3 44 3 2" xfId="12666"/>
    <cellStyle name="40% - akcent 3 44 4" xfId="9376"/>
    <cellStyle name="40% - akcent 3 45" xfId="2189"/>
    <cellStyle name="40% - akcent 3 45 2" xfId="2190"/>
    <cellStyle name="40% - akcent 3 45 2 2" xfId="6034"/>
    <cellStyle name="40% - akcent 3 45 2 2 2" xfId="12669"/>
    <cellStyle name="40% - akcent 3 45 2 3" xfId="9379"/>
    <cellStyle name="40% - akcent 3 45 3" xfId="6033"/>
    <cellStyle name="40% - akcent 3 45 3 2" xfId="12668"/>
    <cellStyle name="40% - akcent 3 45 4" xfId="9378"/>
    <cellStyle name="40% - akcent 3 46" xfId="2191"/>
    <cellStyle name="40% - akcent 3 46 2" xfId="2192"/>
    <cellStyle name="40% - akcent 3 46 2 2" xfId="6036"/>
    <cellStyle name="40% - akcent 3 46 2 2 2" xfId="12671"/>
    <cellStyle name="40% - akcent 3 46 2 3" xfId="9381"/>
    <cellStyle name="40% - akcent 3 46 3" xfId="6035"/>
    <cellStyle name="40% - akcent 3 46 3 2" xfId="12670"/>
    <cellStyle name="40% - akcent 3 46 4" xfId="9380"/>
    <cellStyle name="40% - akcent 3 47" xfId="2193"/>
    <cellStyle name="40% - akcent 3 47 2" xfId="2194"/>
    <cellStyle name="40% - akcent 3 47 2 2" xfId="6038"/>
    <cellStyle name="40% - akcent 3 47 2 2 2" xfId="12673"/>
    <cellStyle name="40% - akcent 3 47 2 3" xfId="9383"/>
    <cellStyle name="40% - akcent 3 47 3" xfId="6037"/>
    <cellStyle name="40% - akcent 3 47 3 2" xfId="12672"/>
    <cellStyle name="40% - akcent 3 47 4" xfId="9382"/>
    <cellStyle name="40% - akcent 3 48" xfId="2195"/>
    <cellStyle name="40% - akcent 3 48 2" xfId="2196"/>
    <cellStyle name="40% - akcent 3 48 2 2" xfId="6040"/>
    <cellStyle name="40% - akcent 3 48 2 2 2" xfId="12675"/>
    <cellStyle name="40% - akcent 3 48 2 3" xfId="9385"/>
    <cellStyle name="40% - akcent 3 48 3" xfId="6039"/>
    <cellStyle name="40% - akcent 3 48 3 2" xfId="12674"/>
    <cellStyle name="40% - akcent 3 48 4" xfId="9384"/>
    <cellStyle name="40% - akcent 3 49" xfId="2197"/>
    <cellStyle name="40% - akcent 3 49 2" xfId="2198"/>
    <cellStyle name="40% - akcent 3 49 2 2" xfId="6042"/>
    <cellStyle name="40% - akcent 3 49 2 2 2" xfId="12677"/>
    <cellStyle name="40% - akcent 3 49 2 3" xfId="9387"/>
    <cellStyle name="40% - akcent 3 49 3" xfId="6041"/>
    <cellStyle name="40% - akcent 3 49 3 2" xfId="12676"/>
    <cellStyle name="40% - akcent 3 49 4" xfId="9386"/>
    <cellStyle name="40% - akcent 3 5" xfId="2199"/>
    <cellStyle name="40% - akcent 3 5 2" xfId="2200"/>
    <cellStyle name="40% - akcent 3 5 2 2" xfId="6044"/>
    <cellStyle name="40% - akcent 3 5 2 2 2" xfId="12679"/>
    <cellStyle name="40% - akcent 3 5 2 3" xfId="9389"/>
    <cellStyle name="40% - akcent 3 5 3" xfId="6043"/>
    <cellStyle name="40% - akcent 3 5 3 2" xfId="12678"/>
    <cellStyle name="40% - akcent 3 5 4" xfId="9388"/>
    <cellStyle name="40% - akcent 3 50" xfId="2201"/>
    <cellStyle name="40% - akcent 3 50 2" xfId="2202"/>
    <cellStyle name="40% - akcent 3 50 2 2" xfId="6046"/>
    <cellStyle name="40% - akcent 3 50 2 2 2" xfId="12681"/>
    <cellStyle name="40% - akcent 3 50 2 3" xfId="9391"/>
    <cellStyle name="40% - akcent 3 50 3" xfId="6045"/>
    <cellStyle name="40% - akcent 3 50 3 2" xfId="12680"/>
    <cellStyle name="40% - akcent 3 50 4" xfId="9390"/>
    <cellStyle name="40% - akcent 3 51" xfId="2203"/>
    <cellStyle name="40% - akcent 3 51 2" xfId="2204"/>
    <cellStyle name="40% - akcent 3 51 2 2" xfId="6048"/>
    <cellStyle name="40% - akcent 3 51 2 2 2" xfId="12683"/>
    <cellStyle name="40% - akcent 3 51 2 3" xfId="9393"/>
    <cellStyle name="40% - akcent 3 51 3" xfId="6047"/>
    <cellStyle name="40% - akcent 3 51 3 2" xfId="12682"/>
    <cellStyle name="40% - akcent 3 51 4" xfId="9392"/>
    <cellStyle name="40% - akcent 3 52" xfId="2205"/>
    <cellStyle name="40% - akcent 3 52 2" xfId="2206"/>
    <cellStyle name="40% - akcent 3 52 2 2" xfId="6050"/>
    <cellStyle name="40% - akcent 3 52 2 2 2" xfId="12685"/>
    <cellStyle name="40% - akcent 3 52 2 3" xfId="9395"/>
    <cellStyle name="40% - akcent 3 52 3" xfId="6049"/>
    <cellStyle name="40% - akcent 3 52 3 2" xfId="12684"/>
    <cellStyle name="40% - akcent 3 52 4" xfId="9394"/>
    <cellStyle name="40% - akcent 3 53" xfId="2207"/>
    <cellStyle name="40% - akcent 3 53 2" xfId="2208"/>
    <cellStyle name="40% - akcent 3 53 2 2" xfId="6052"/>
    <cellStyle name="40% - akcent 3 53 2 2 2" xfId="12687"/>
    <cellStyle name="40% - akcent 3 53 2 3" xfId="9397"/>
    <cellStyle name="40% - akcent 3 53 3" xfId="6051"/>
    <cellStyle name="40% - akcent 3 53 3 2" xfId="12686"/>
    <cellStyle name="40% - akcent 3 53 4" xfId="9396"/>
    <cellStyle name="40% - akcent 3 54" xfId="2209"/>
    <cellStyle name="40% - akcent 3 54 2" xfId="2210"/>
    <cellStyle name="40% - akcent 3 54 2 2" xfId="6054"/>
    <cellStyle name="40% - akcent 3 54 2 2 2" xfId="12689"/>
    <cellStyle name="40% - akcent 3 54 2 3" xfId="9399"/>
    <cellStyle name="40% - akcent 3 54 3" xfId="6053"/>
    <cellStyle name="40% - akcent 3 54 3 2" xfId="12688"/>
    <cellStyle name="40% - akcent 3 54 4" xfId="9398"/>
    <cellStyle name="40% - akcent 3 55" xfId="2211"/>
    <cellStyle name="40% - akcent 3 55 2" xfId="2212"/>
    <cellStyle name="40% - akcent 3 55 2 2" xfId="6056"/>
    <cellStyle name="40% - akcent 3 55 2 2 2" xfId="12691"/>
    <cellStyle name="40% - akcent 3 55 2 3" xfId="9401"/>
    <cellStyle name="40% - akcent 3 55 3" xfId="6055"/>
    <cellStyle name="40% - akcent 3 55 3 2" xfId="12690"/>
    <cellStyle name="40% - akcent 3 55 4" xfId="9400"/>
    <cellStyle name="40% - akcent 3 56" xfId="2213"/>
    <cellStyle name="40% - akcent 3 56 2" xfId="2214"/>
    <cellStyle name="40% - akcent 3 56 2 2" xfId="6058"/>
    <cellStyle name="40% - akcent 3 56 2 2 2" xfId="12693"/>
    <cellStyle name="40% - akcent 3 56 2 3" xfId="9403"/>
    <cellStyle name="40% - akcent 3 56 3" xfId="6057"/>
    <cellStyle name="40% - akcent 3 56 3 2" xfId="12692"/>
    <cellStyle name="40% - akcent 3 56 4" xfId="9402"/>
    <cellStyle name="40% - akcent 3 57" xfId="2215"/>
    <cellStyle name="40% - akcent 3 57 2" xfId="2216"/>
    <cellStyle name="40% - akcent 3 57 2 2" xfId="6060"/>
    <cellStyle name="40% - akcent 3 57 2 2 2" xfId="12695"/>
    <cellStyle name="40% - akcent 3 57 2 3" xfId="9405"/>
    <cellStyle name="40% - akcent 3 57 3" xfId="6059"/>
    <cellStyle name="40% - akcent 3 57 3 2" xfId="12694"/>
    <cellStyle name="40% - akcent 3 57 4" xfId="9404"/>
    <cellStyle name="40% - akcent 3 58" xfId="2217"/>
    <cellStyle name="40% - akcent 3 58 2" xfId="2218"/>
    <cellStyle name="40% - akcent 3 58 2 2" xfId="6062"/>
    <cellStyle name="40% - akcent 3 58 2 2 2" xfId="12697"/>
    <cellStyle name="40% - akcent 3 58 2 3" xfId="9407"/>
    <cellStyle name="40% - akcent 3 58 3" xfId="6061"/>
    <cellStyle name="40% - akcent 3 58 3 2" xfId="12696"/>
    <cellStyle name="40% - akcent 3 58 4" xfId="9406"/>
    <cellStyle name="40% - akcent 3 59" xfId="2219"/>
    <cellStyle name="40% - akcent 3 59 2" xfId="2220"/>
    <cellStyle name="40% - akcent 3 59 2 2" xfId="6064"/>
    <cellStyle name="40% - akcent 3 59 2 2 2" xfId="12699"/>
    <cellStyle name="40% - akcent 3 59 2 3" xfId="9409"/>
    <cellStyle name="40% - akcent 3 59 3" xfId="6063"/>
    <cellStyle name="40% - akcent 3 59 3 2" xfId="12698"/>
    <cellStyle name="40% - akcent 3 59 4" xfId="9408"/>
    <cellStyle name="40% - akcent 3 6" xfId="2221"/>
    <cellStyle name="40% - akcent 3 6 2" xfId="2222"/>
    <cellStyle name="40% - akcent 3 6 2 2" xfId="6066"/>
    <cellStyle name="40% - akcent 3 6 2 2 2" xfId="12701"/>
    <cellStyle name="40% - akcent 3 6 2 3" xfId="9411"/>
    <cellStyle name="40% - akcent 3 6 3" xfId="6065"/>
    <cellStyle name="40% - akcent 3 6 3 2" xfId="12700"/>
    <cellStyle name="40% - akcent 3 6 4" xfId="9410"/>
    <cellStyle name="40% - akcent 3 60" xfId="2223"/>
    <cellStyle name="40% - akcent 3 60 2" xfId="6067"/>
    <cellStyle name="40% - akcent 3 60 2 2" xfId="12702"/>
    <cellStyle name="40% - akcent 3 60 3" xfId="9412"/>
    <cellStyle name="40% - akcent 3 61" xfId="2224"/>
    <cellStyle name="40% - akcent 3 61 2" xfId="6068"/>
    <cellStyle name="40% - akcent 3 61 2 2" xfId="12703"/>
    <cellStyle name="40% - akcent 3 61 3" xfId="9413"/>
    <cellStyle name="40% - akcent 3 62" xfId="2225"/>
    <cellStyle name="40% - akcent 3 62 2" xfId="6069"/>
    <cellStyle name="40% - akcent 3 62 2 2" xfId="12704"/>
    <cellStyle name="40% - akcent 3 62 3" xfId="9414"/>
    <cellStyle name="40% - akcent 3 63" xfId="2226"/>
    <cellStyle name="40% - akcent 3 63 2" xfId="6070"/>
    <cellStyle name="40% - akcent 3 63 2 2" xfId="12705"/>
    <cellStyle name="40% - akcent 3 63 3" xfId="9415"/>
    <cellStyle name="40% - akcent 3 64" xfId="2227"/>
    <cellStyle name="40% - akcent 3 64 2" xfId="6071"/>
    <cellStyle name="40% - akcent 3 64 2 2" xfId="12706"/>
    <cellStyle name="40% - akcent 3 64 3" xfId="9416"/>
    <cellStyle name="40% - akcent 3 65" xfId="2228"/>
    <cellStyle name="40% - akcent 3 65 2" xfId="6072"/>
    <cellStyle name="40% - akcent 3 65 2 2" xfId="12707"/>
    <cellStyle name="40% - akcent 3 65 3" xfId="9417"/>
    <cellStyle name="40% - akcent 3 66" xfId="2229"/>
    <cellStyle name="40% - akcent 3 66 2" xfId="6073"/>
    <cellStyle name="40% - akcent 3 66 2 2" xfId="12708"/>
    <cellStyle name="40% - akcent 3 66 3" xfId="9418"/>
    <cellStyle name="40% - akcent 3 67" xfId="2230"/>
    <cellStyle name="40% - akcent 3 67 2" xfId="6074"/>
    <cellStyle name="40% - akcent 3 67 2 2" xfId="12709"/>
    <cellStyle name="40% - akcent 3 67 3" xfId="9419"/>
    <cellStyle name="40% - akcent 3 68" xfId="2231"/>
    <cellStyle name="40% - akcent 3 68 2" xfId="6075"/>
    <cellStyle name="40% - akcent 3 68 2 2" xfId="12710"/>
    <cellStyle name="40% - akcent 3 68 3" xfId="9420"/>
    <cellStyle name="40% - akcent 3 69" xfId="2232"/>
    <cellStyle name="40% - akcent 3 69 2" xfId="6076"/>
    <cellStyle name="40% - akcent 3 69 2 2" xfId="12711"/>
    <cellStyle name="40% - akcent 3 69 3" xfId="9421"/>
    <cellStyle name="40% - akcent 3 7" xfId="2233"/>
    <cellStyle name="40% - akcent 3 7 2" xfId="2234"/>
    <cellStyle name="40% - akcent 3 7 2 2" xfId="6078"/>
    <cellStyle name="40% - akcent 3 7 2 2 2" xfId="12713"/>
    <cellStyle name="40% - akcent 3 7 2 3" xfId="9423"/>
    <cellStyle name="40% - akcent 3 7 3" xfId="6077"/>
    <cellStyle name="40% - akcent 3 7 3 2" xfId="12712"/>
    <cellStyle name="40% - akcent 3 7 4" xfId="9422"/>
    <cellStyle name="40% - akcent 3 70" xfId="2235"/>
    <cellStyle name="40% - akcent 3 70 2" xfId="6079"/>
    <cellStyle name="40% - akcent 3 70 2 2" xfId="12714"/>
    <cellStyle name="40% - akcent 3 70 3" xfId="9424"/>
    <cellStyle name="40% - akcent 3 71" xfId="2236"/>
    <cellStyle name="40% - akcent 3 71 2" xfId="6080"/>
    <cellStyle name="40% - akcent 3 71 2 2" xfId="12715"/>
    <cellStyle name="40% - akcent 3 71 3" xfId="9425"/>
    <cellStyle name="40% - akcent 3 72" xfId="2237"/>
    <cellStyle name="40% - akcent 3 72 2" xfId="6081"/>
    <cellStyle name="40% - akcent 3 72 2 2" xfId="12716"/>
    <cellStyle name="40% - akcent 3 72 3" xfId="9426"/>
    <cellStyle name="40% - akcent 3 73" xfId="2238"/>
    <cellStyle name="40% - akcent 3 73 2" xfId="6082"/>
    <cellStyle name="40% - akcent 3 73 2 2" xfId="12717"/>
    <cellStyle name="40% - akcent 3 73 3" xfId="9427"/>
    <cellStyle name="40% - akcent 3 74" xfId="2239"/>
    <cellStyle name="40% - akcent 3 74 2" xfId="6083"/>
    <cellStyle name="40% - akcent 3 74 2 2" xfId="12718"/>
    <cellStyle name="40% - akcent 3 74 3" xfId="9428"/>
    <cellStyle name="40% - akcent 3 75" xfId="2240"/>
    <cellStyle name="40% - akcent 3 75 2" xfId="6084"/>
    <cellStyle name="40% - akcent 3 75 2 2" xfId="12719"/>
    <cellStyle name="40% - akcent 3 75 3" xfId="9429"/>
    <cellStyle name="40% - akcent 3 76" xfId="2241"/>
    <cellStyle name="40% - akcent 3 76 2" xfId="6085"/>
    <cellStyle name="40% - akcent 3 76 2 2" xfId="12720"/>
    <cellStyle name="40% - akcent 3 76 3" xfId="9430"/>
    <cellStyle name="40% - akcent 3 77" xfId="2242"/>
    <cellStyle name="40% - akcent 3 77 2" xfId="6086"/>
    <cellStyle name="40% - akcent 3 77 2 2" xfId="12721"/>
    <cellStyle name="40% - akcent 3 77 3" xfId="9431"/>
    <cellStyle name="40% - akcent 3 78" xfId="2243"/>
    <cellStyle name="40% - akcent 3 78 2" xfId="6087"/>
    <cellStyle name="40% - akcent 3 78 2 2" xfId="12722"/>
    <cellStyle name="40% - akcent 3 78 3" xfId="9432"/>
    <cellStyle name="40% - akcent 3 79" xfId="2244"/>
    <cellStyle name="40% - akcent 3 79 2" xfId="6088"/>
    <cellStyle name="40% - akcent 3 79 2 2" xfId="12723"/>
    <cellStyle name="40% - akcent 3 79 3" xfId="9433"/>
    <cellStyle name="40% - akcent 3 8" xfId="2245"/>
    <cellStyle name="40% - akcent 3 8 2" xfId="2246"/>
    <cellStyle name="40% - akcent 3 8 2 2" xfId="6090"/>
    <cellStyle name="40% - akcent 3 8 2 2 2" xfId="12725"/>
    <cellStyle name="40% - akcent 3 8 2 3" xfId="9435"/>
    <cellStyle name="40% - akcent 3 8 3" xfId="6089"/>
    <cellStyle name="40% - akcent 3 8 3 2" xfId="12724"/>
    <cellStyle name="40% - akcent 3 8 4" xfId="9434"/>
    <cellStyle name="40% - akcent 3 80" xfId="2247"/>
    <cellStyle name="40% - akcent 3 80 2" xfId="6091"/>
    <cellStyle name="40% - akcent 3 80 2 2" xfId="12726"/>
    <cellStyle name="40% - akcent 3 80 3" xfId="9436"/>
    <cellStyle name="40% - akcent 3 81" xfId="2248"/>
    <cellStyle name="40% - akcent 3 81 2" xfId="6092"/>
    <cellStyle name="40% - akcent 3 81 2 2" xfId="12727"/>
    <cellStyle name="40% - akcent 3 81 3" xfId="9437"/>
    <cellStyle name="40% - akcent 3 82" xfId="2249"/>
    <cellStyle name="40% - akcent 3 82 2" xfId="6093"/>
    <cellStyle name="40% - akcent 3 82 2 2" xfId="12728"/>
    <cellStyle name="40% - akcent 3 82 3" xfId="9438"/>
    <cellStyle name="40% - akcent 3 83" xfId="2250"/>
    <cellStyle name="40% - akcent 3 83 2" xfId="6094"/>
    <cellStyle name="40% - akcent 3 83 2 2" xfId="12729"/>
    <cellStyle name="40% - akcent 3 83 3" xfId="9439"/>
    <cellStyle name="40% - akcent 3 84" xfId="2251"/>
    <cellStyle name="40% - akcent 3 84 2" xfId="6095"/>
    <cellStyle name="40% - akcent 3 84 2 2" xfId="12730"/>
    <cellStyle name="40% - akcent 3 84 3" xfId="9440"/>
    <cellStyle name="40% - akcent 3 85" xfId="2252"/>
    <cellStyle name="40% - akcent 3 85 2" xfId="6096"/>
    <cellStyle name="40% - akcent 3 85 2 2" xfId="12731"/>
    <cellStyle name="40% - akcent 3 85 3" xfId="9441"/>
    <cellStyle name="40% - akcent 3 86" xfId="2253"/>
    <cellStyle name="40% - akcent 3 86 2" xfId="6097"/>
    <cellStyle name="40% - akcent 3 86 2 2" xfId="12732"/>
    <cellStyle name="40% - akcent 3 86 3" xfId="9442"/>
    <cellStyle name="40% - akcent 3 87" xfId="2254"/>
    <cellStyle name="40% - akcent 3 87 2" xfId="6098"/>
    <cellStyle name="40% - akcent 3 87 2 2" xfId="12733"/>
    <cellStyle name="40% - akcent 3 87 3" xfId="9443"/>
    <cellStyle name="40% - akcent 3 88" xfId="2255"/>
    <cellStyle name="40% - akcent 3 88 2" xfId="6099"/>
    <cellStyle name="40% - akcent 3 88 2 2" xfId="12734"/>
    <cellStyle name="40% - akcent 3 88 3" xfId="9444"/>
    <cellStyle name="40% - akcent 3 89" xfId="2256"/>
    <cellStyle name="40% - akcent 3 89 2" xfId="6100"/>
    <cellStyle name="40% - akcent 3 89 2 2" xfId="12735"/>
    <cellStyle name="40% - akcent 3 89 3" xfId="9445"/>
    <cellStyle name="40% - akcent 3 9" xfId="2257"/>
    <cellStyle name="40% - akcent 3 9 2" xfId="2258"/>
    <cellStyle name="40% - akcent 3 9 2 2" xfId="6102"/>
    <cellStyle name="40% - akcent 3 9 2 2 2" xfId="12737"/>
    <cellStyle name="40% - akcent 3 9 2 3" xfId="9447"/>
    <cellStyle name="40% - akcent 3 9 3" xfId="6101"/>
    <cellStyle name="40% - akcent 3 9 3 2" xfId="12736"/>
    <cellStyle name="40% - akcent 3 9 4" xfId="9446"/>
    <cellStyle name="40% - akcent 3 90" xfId="2259"/>
    <cellStyle name="40% - akcent 3 90 2" xfId="6103"/>
    <cellStyle name="40% - akcent 3 90 2 2" xfId="12738"/>
    <cellStyle name="40% - akcent 3 90 3" xfId="9448"/>
    <cellStyle name="40% - akcent 3 91" xfId="2260"/>
    <cellStyle name="40% - akcent 3 91 2" xfId="6104"/>
    <cellStyle name="40% - akcent 3 91 2 2" xfId="12739"/>
    <cellStyle name="40% - akcent 3 91 3" xfId="9449"/>
    <cellStyle name="40% - akcent 3 92" xfId="2261"/>
    <cellStyle name="40% - akcent 3 92 2" xfId="6105"/>
    <cellStyle name="40% - akcent 3 92 2 2" xfId="12740"/>
    <cellStyle name="40% - akcent 3 92 3" xfId="9450"/>
    <cellStyle name="40% - akcent 3 93" xfId="2262"/>
    <cellStyle name="40% - akcent 3 93 2" xfId="6106"/>
    <cellStyle name="40% - akcent 3 93 2 2" xfId="12741"/>
    <cellStyle name="40% - akcent 3 93 3" xfId="9451"/>
    <cellStyle name="40% - akcent 3 94" xfId="2263"/>
    <cellStyle name="40% - akcent 3 94 2" xfId="6107"/>
    <cellStyle name="40% - akcent 3 94 2 2" xfId="12742"/>
    <cellStyle name="40% - akcent 3 94 3" xfId="9452"/>
    <cellStyle name="40% - akcent 3 95" xfId="2264"/>
    <cellStyle name="40% - akcent 3 95 2" xfId="6108"/>
    <cellStyle name="40% - akcent 3 95 2 2" xfId="12743"/>
    <cellStyle name="40% - akcent 3 95 3" xfId="9453"/>
    <cellStyle name="40% - akcent 3 96" xfId="2265"/>
    <cellStyle name="40% - akcent 3 96 2" xfId="6109"/>
    <cellStyle name="40% - akcent 3 96 2 2" xfId="12744"/>
    <cellStyle name="40% - akcent 3 96 3" xfId="9454"/>
    <cellStyle name="40% - akcent 3 97" xfId="2266"/>
    <cellStyle name="40% - akcent 3 97 2" xfId="6110"/>
    <cellStyle name="40% - akcent 3 97 2 2" xfId="12745"/>
    <cellStyle name="40% - akcent 3 97 3" xfId="9455"/>
    <cellStyle name="40% - akcent 3 98" xfId="2267"/>
    <cellStyle name="40% - akcent 3 98 2" xfId="6111"/>
    <cellStyle name="40% - akcent 3 98 2 2" xfId="12746"/>
    <cellStyle name="40% - akcent 3 98 3" xfId="9456"/>
    <cellStyle name="40% - akcent 3 99" xfId="2268"/>
    <cellStyle name="40% - akcent 3 99 2" xfId="6112"/>
    <cellStyle name="40% - akcent 3 99 2 2" xfId="12747"/>
    <cellStyle name="40% - akcent 3 99 3" xfId="9457"/>
    <cellStyle name="40% - akcent 4" xfId="2269" builtinId="43" customBuiltin="1"/>
    <cellStyle name="40% - akcent 4 10" xfId="2270"/>
    <cellStyle name="40% - akcent 4 10 2" xfId="2271"/>
    <cellStyle name="40% - akcent 4 10 2 2" xfId="6114"/>
    <cellStyle name="40% - akcent 4 10 2 2 2" xfId="12749"/>
    <cellStyle name="40% - akcent 4 10 2 3" xfId="9459"/>
    <cellStyle name="40% - akcent 4 10 3" xfId="6113"/>
    <cellStyle name="40% - akcent 4 10 3 2" xfId="12748"/>
    <cellStyle name="40% - akcent 4 10 4" xfId="9458"/>
    <cellStyle name="40% - akcent 4 100" xfId="2272"/>
    <cellStyle name="40% - akcent 4 100 2" xfId="6115"/>
    <cellStyle name="40% - akcent 4 100 2 2" xfId="12750"/>
    <cellStyle name="40% - akcent 4 100 3" xfId="9460"/>
    <cellStyle name="40% - akcent 4 101" xfId="2273"/>
    <cellStyle name="40% - akcent 4 101 2" xfId="6116"/>
    <cellStyle name="40% - akcent 4 101 2 2" xfId="12751"/>
    <cellStyle name="40% - akcent 4 101 3" xfId="9461"/>
    <cellStyle name="40% - akcent 4 102" xfId="2274"/>
    <cellStyle name="40% - akcent 4 102 2" xfId="6117"/>
    <cellStyle name="40% - akcent 4 102 2 2" xfId="12752"/>
    <cellStyle name="40% - akcent 4 102 3" xfId="9462"/>
    <cellStyle name="40% - akcent 4 103" xfId="2275"/>
    <cellStyle name="40% - akcent 4 103 2" xfId="6118"/>
    <cellStyle name="40% - akcent 4 103 2 2" xfId="12753"/>
    <cellStyle name="40% - akcent 4 103 3" xfId="9463"/>
    <cellStyle name="40% - akcent 4 104" xfId="2276"/>
    <cellStyle name="40% - akcent 4 104 2" xfId="6119"/>
    <cellStyle name="40% - akcent 4 104 2 2" xfId="12754"/>
    <cellStyle name="40% - akcent 4 104 3" xfId="9464"/>
    <cellStyle name="40% - akcent 4 105" xfId="2277"/>
    <cellStyle name="40% - akcent 4 105 2" xfId="6120"/>
    <cellStyle name="40% - akcent 4 105 2 2" xfId="12755"/>
    <cellStyle name="40% - akcent 4 105 3" xfId="9465"/>
    <cellStyle name="40% - akcent 4 106" xfId="2278"/>
    <cellStyle name="40% - akcent 4 106 2" xfId="6121"/>
    <cellStyle name="40% - akcent 4 106 2 2" xfId="12756"/>
    <cellStyle name="40% - akcent 4 106 3" xfId="9466"/>
    <cellStyle name="40% - akcent 4 107" xfId="2279"/>
    <cellStyle name="40% - akcent 4 107 2" xfId="6122"/>
    <cellStyle name="40% - akcent 4 107 2 2" xfId="12757"/>
    <cellStyle name="40% - akcent 4 107 3" xfId="9467"/>
    <cellStyle name="40% - akcent 4 108" xfId="2280"/>
    <cellStyle name="40% - akcent 4 108 2" xfId="6123"/>
    <cellStyle name="40% - akcent 4 108 2 2" xfId="12758"/>
    <cellStyle name="40% - akcent 4 108 3" xfId="9468"/>
    <cellStyle name="40% - akcent 4 109" xfId="2281"/>
    <cellStyle name="40% - akcent 4 109 2" xfId="6124"/>
    <cellStyle name="40% - akcent 4 109 2 2" xfId="12759"/>
    <cellStyle name="40% - akcent 4 109 3" xfId="9469"/>
    <cellStyle name="40% - akcent 4 11" xfId="2282"/>
    <cellStyle name="40% - akcent 4 11 2" xfId="2283"/>
    <cellStyle name="40% - akcent 4 11 2 2" xfId="6126"/>
    <cellStyle name="40% - akcent 4 11 2 2 2" xfId="12761"/>
    <cellStyle name="40% - akcent 4 11 2 3" xfId="9471"/>
    <cellStyle name="40% - akcent 4 11 3" xfId="6125"/>
    <cellStyle name="40% - akcent 4 11 3 2" xfId="12760"/>
    <cellStyle name="40% - akcent 4 11 4" xfId="9470"/>
    <cellStyle name="40% - akcent 4 110" xfId="2284"/>
    <cellStyle name="40% - akcent 4 110 2" xfId="6127"/>
    <cellStyle name="40% - akcent 4 110 2 2" xfId="12762"/>
    <cellStyle name="40% - akcent 4 110 3" xfId="9472"/>
    <cellStyle name="40% - akcent 4 111" xfId="2285"/>
    <cellStyle name="40% - akcent 4 111 2" xfId="6128"/>
    <cellStyle name="40% - akcent 4 111 2 2" xfId="12763"/>
    <cellStyle name="40% - akcent 4 111 3" xfId="9473"/>
    <cellStyle name="40% - akcent 4 112" xfId="2286"/>
    <cellStyle name="40% - akcent 4 112 2" xfId="6129"/>
    <cellStyle name="40% - akcent 4 112 2 2" xfId="12764"/>
    <cellStyle name="40% - akcent 4 112 3" xfId="9474"/>
    <cellStyle name="40% - akcent 4 113" xfId="2287"/>
    <cellStyle name="40% - akcent 4 113 2" xfId="6130"/>
    <cellStyle name="40% - akcent 4 113 2 2" xfId="12765"/>
    <cellStyle name="40% - akcent 4 113 3" xfId="9475"/>
    <cellStyle name="40% - akcent 4 114" xfId="2288"/>
    <cellStyle name="40% - akcent 4 114 2" xfId="6131"/>
    <cellStyle name="40% - akcent 4 114 2 2" xfId="12766"/>
    <cellStyle name="40% - akcent 4 114 3" xfId="9476"/>
    <cellStyle name="40% - akcent 4 115" xfId="2289"/>
    <cellStyle name="40% - akcent 4 115 2" xfId="6132"/>
    <cellStyle name="40% - akcent 4 115 2 2" xfId="12767"/>
    <cellStyle name="40% - akcent 4 115 3" xfId="9477"/>
    <cellStyle name="40% - akcent 4 116" xfId="2290"/>
    <cellStyle name="40% - akcent 4 116 2" xfId="6133"/>
    <cellStyle name="40% - akcent 4 116 2 2" xfId="12768"/>
    <cellStyle name="40% - akcent 4 116 3" xfId="9478"/>
    <cellStyle name="40% - akcent 4 117" xfId="2291"/>
    <cellStyle name="40% - akcent 4 117 2" xfId="6134"/>
    <cellStyle name="40% - akcent 4 117 2 2" xfId="12769"/>
    <cellStyle name="40% - akcent 4 117 3" xfId="9479"/>
    <cellStyle name="40% - akcent 4 118" xfId="2292"/>
    <cellStyle name="40% - akcent 4 118 2" xfId="6135"/>
    <cellStyle name="40% - akcent 4 118 2 2" xfId="12770"/>
    <cellStyle name="40% - akcent 4 118 3" xfId="9480"/>
    <cellStyle name="40% - akcent 4 119" xfId="2293"/>
    <cellStyle name="40% - akcent 4 119 2" xfId="6136"/>
    <cellStyle name="40% - akcent 4 119 2 2" xfId="12771"/>
    <cellStyle name="40% - akcent 4 119 3" xfId="9481"/>
    <cellStyle name="40% - akcent 4 12" xfId="2294"/>
    <cellStyle name="40% - akcent 4 12 2" xfId="2295"/>
    <cellStyle name="40% - akcent 4 12 2 2" xfId="6138"/>
    <cellStyle name="40% - akcent 4 12 2 2 2" xfId="12773"/>
    <cellStyle name="40% - akcent 4 12 2 3" xfId="9483"/>
    <cellStyle name="40% - akcent 4 12 3" xfId="6137"/>
    <cellStyle name="40% - akcent 4 12 3 2" xfId="12772"/>
    <cellStyle name="40% - akcent 4 12 4" xfId="9482"/>
    <cellStyle name="40% - akcent 4 120" xfId="2296"/>
    <cellStyle name="40% - akcent 4 120 2" xfId="6139"/>
    <cellStyle name="40% - akcent 4 120 2 2" xfId="12774"/>
    <cellStyle name="40% - akcent 4 120 3" xfId="9484"/>
    <cellStyle name="40% - akcent 4 121" xfId="2297"/>
    <cellStyle name="40% - akcent 4 121 2" xfId="6140"/>
    <cellStyle name="40% - akcent 4 121 2 2" xfId="12775"/>
    <cellStyle name="40% - akcent 4 121 3" xfId="9485"/>
    <cellStyle name="40% - akcent 4 122" xfId="2298"/>
    <cellStyle name="40% - akcent 4 122 2" xfId="6141"/>
    <cellStyle name="40% - akcent 4 122 2 2" xfId="12776"/>
    <cellStyle name="40% - akcent 4 122 3" xfId="9486"/>
    <cellStyle name="40% - akcent 4 123" xfId="2299"/>
    <cellStyle name="40% - akcent 4 123 2" xfId="6142"/>
    <cellStyle name="40% - akcent 4 123 2 2" xfId="12777"/>
    <cellStyle name="40% - akcent 4 123 3" xfId="9487"/>
    <cellStyle name="40% - akcent 4 124" xfId="2300"/>
    <cellStyle name="40% - akcent 4 124 2" xfId="6143"/>
    <cellStyle name="40% - akcent 4 124 2 2" xfId="12778"/>
    <cellStyle name="40% - akcent 4 124 3" xfId="9488"/>
    <cellStyle name="40% - akcent 4 125" xfId="2301"/>
    <cellStyle name="40% - akcent 4 125 2" xfId="6144"/>
    <cellStyle name="40% - akcent 4 125 2 2" xfId="12779"/>
    <cellStyle name="40% - akcent 4 125 3" xfId="9489"/>
    <cellStyle name="40% - akcent 4 126" xfId="2302"/>
    <cellStyle name="40% - akcent 4 126 2" xfId="6145"/>
    <cellStyle name="40% - akcent 4 126 2 2" xfId="12780"/>
    <cellStyle name="40% - akcent 4 126 3" xfId="9490"/>
    <cellStyle name="40% - akcent 4 127" xfId="2303"/>
    <cellStyle name="40% - akcent 4 127 2" xfId="6146"/>
    <cellStyle name="40% - akcent 4 127 2 2" xfId="12781"/>
    <cellStyle name="40% - akcent 4 127 3" xfId="9491"/>
    <cellStyle name="40% - akcent 4 128" xfId="2304"/>
    <cellStyle name="40% - akcent 4 128 2" xfId="6147"/>
    <cellStyle name="40% - akcent 4 128 2 2" xfId="12782"/>
    <cellStyle name="40% - akcent 4 128 3" xfId="9492"/>
    <cellStyle name="40% - akcent 4 129" xfId="2305"/>
    <cellStyle name="40% - akcent 4 129 2" xfId="6148"/>
    <cellStyle name="40% - akcent 4 129 2 2" xfId="12783"/>
    <cellStyle name="40% - akcent 4 129 3" xfId="9493"/>
    <cellStyle name="40% - akcent 4 13" xfId="2306"/>
    <cellStyle name="40% - akcent 4 13 2" xfId="2307"/>
    <cellStyle name="40% - akcent 4 13 2 2" xfId="6150"/>
    <cellStyle name="40% - akcent 4 13 2 2 2" xfId="12785"/>
    <cellStyle name="40% - akcent 4 13 2 3" xfId="9495"/>
    <cellStyle name="40% - akcent 4 13 3" xfId="6149"/>
    <cellStyle name="40% - akcent 4 13 3 2" xfId="12784"/>
    <cellStyle name="40% - akcent 4 13 4" xfId="9494"/>
    <cellStyle name="40% - akcent 4 130" xfId="2308"/>
    <cellStyle name="40% - akcent 4 130 2" xfId="6151"/>
    <cellStyle name="40% - akcent 4 130 2 2" xfId="12786"/>
    <cellStyle name="40% - akcent 4 130 3" xfId="9496"/>
    <cellStyle name="40% - akcent 4 131" xfId="2309"/>
    <cellStyle name="40% - akcent 4 131 2" xfId="6152"/>
    <cellStyle name="40% - akcent 4 131 2 2" xfId="12787"/>
    <cellStyle name="40% - akcent 4 131 3" xfId="9497"/>
    <cellStyle name="40% - akcent 4 132" xfId="2310"/>
    <cellStyle name="40% - akcent 4 132 2" xfId="6153"/>
    <cellStyle name="40% - akcent 4 132 2 2" xfId="12788"/>
    <cellStyle name="40% - akcent 4 132 3" xfId="9498"/>
    <cellStyle name="40% - akcent 4 133" xfId="2311"/>
    <cellStyle name="40% - akcent 4 133 2" xfId="6154"/>
    <cellStyle name="40% - akcent 4 133 2 2" xfId="12789"/>
    <cellStyle name="40% - akcent 4 133 3" xfId="9499"/>
    <cellStyle name="40% - akcent 4 134" xfId="2312"/>
    <cellStyle name="40% - akcent 4 134 2" xfId="6155"/>
    <cellStyle name="40% - akcent 4 134 2 2" xfId="12790"/>
    <cellStyle name="40% - akcent 4 134 3" xfId="9500"/>
    <cellStyle name="40% - akcent 4 135" xfId="2313"/>
    <cellStyle name="40% - akcent 4 135 2" xfId="6156"/>
    <cellStyle name="40% - akcent 4 135 2 2" xfId="12791"/>
    <cellStyle name="40% - akcent 4 135 3" xfId="9501"/>
    <cellStyle name="40% - akcent 4 136" xfId="2314"/>
    <cellStyle name="40% - akcent 4 136 2" xfId="6157"/>
    <cellStyle name="40% - akcent 4 136 2 2" xfId="12792"/>
    <cellStyle name="40% - akcent 4 136 3" xfId="9502"/>
    <cellStyle name="40% - akcent 4 137" xfId="2315"/>
    <cellStyle name="40% - akcent 4 137 2" xfId="6158"/>
    <cellStyle name="40% - akcent 4 137 2 2" xfId="12793"/>
    <cellStyle name="40% - akcent 4 137 3" xfId="9503"/>
    <cellStyle name="40% - akcent 4 138" xfId="2316"/>
    <cellStyle name="40% - akcent 4 138 2" xfId="6159"/>
    <cellStyle name="40% - akcent 4 138 2 2" xfId="12794"/>
    <cellStyle name="40% - akcent 4 138 3" xfId="9504"/>
    <cellStyle name="40% - akcent 4 139" xfId="2317"/>
    <cellStyle name="40% - akcent 4 139 2" xfId="6160"/>
    <cellStyle name="40% - akcent 4 139 2 2" xfId="12795"/>
    <cellStyle name="40% - akcent 4 139 3" xfId="9505"/>
    <cellStyle name="40% - akcent 4 14" xfId="2318"/>
    <cellStyle name="40% - akcent 4 14 2" xfId="2319"/>
    <cellStyle name="40% - akcent 4 14 2 2" xfId="6162"/>
    <cellStyle name="40% - akcent 4 14 2 2 2" xfId="12797"/>
    <cellStyle name="40% - akcent 4 14 2 3" xfId="9507"/>
    <cellStyle name="40% - akcent 4 14 3" xfId="6161"/>
    <cellStyle name="40% - akcent 4 14 3 2" xfId="12796"/>
    <cellStyle name="40% - akcent 4 14 4" xfId="9506"/>
    <cellStyle name="40% - akcent 4 140" xfId="2320"/>
    <cellStyle name="40% - akcent 4 140 2" xfId="6163"/>
    <cellStyle name="40% - akcent 4 140 2 2" xfId="12798"/>
    <cellStyle name="40% - akcent 4 140 3" xfId="9508"/>
    <cellStyle name="40% - akcent 4 141" xfId="2321"/>
    <cellStyle name="40% - akcent 4 141 2" xfId="6164"/>
    <cellStyle name="40% - akcent 4 141 2 2" xfId="12799"/>
    <cellStyle name="40% - akcent 4 141 3" xfId="9509"/>
    <cellStyle name="40% - akcent 4 142" xfId="2322"/>
    <cellStyle name="40% - akcent 4 142 2" xfId="6165"/>
    <cellStyle name="40% - akcent 4 142 2 2" xfId="12800"/>
    <cellStyle name="40% - akcent 4 142 3" xfId="9510"/>
    <cellStyle name="40% - akcent 4 143" xfId="2323"/>
    <cellStyle name="40% - akcent 4 143 2" xfId="6166"/>
    <cellStyle name="40% - akcent 4 143 2 2" xfId="12801"/>
    <cellStyle name="40% - akcent 4 143 3" xfId="9511"/>
    <cellStyle name="40% - akcent 4 144" xfId="2324"/>
    <cellStyle name="40% - akcent 4 144 2" xfId="6167"/>
    <cellStyle name="40% - akcent 4 144 2 2" xfId="12802"/>
    <cellStyle name="40% - akcent 4 144 3" xfId="9512"/>
    <cellStyle name="40% - akcent 4 145" xfId="2325"/>
    <cellStyle name="40% - akcent 4 145 2" xfId="6168"/>
    <cellStyle name="40% - akcent 4 145 2 2" xfId="12803"/>
    <cellStyle name="40% - akcent 4 145 3" xfId="9513"/>
    <cellStyle name="40% - akcent 4 146" xfId="2326"/>
    <cellStyle name="40% - akcent 4 146 2" xfId="6169"/>
    <cellStyle name="40% - akcent 4 146 2 2" xfId="12804"/>
    <cellStyle name="40% - akcent 4 146 3" xfId="9514"/>
    <cellStyle name="40% - akcent 4 147" xfId="2327"/>
    <cellStyle name="40% - akcent 4 147 2" xfId="6170"/>
    <cellStyle name="40% - akcent 4 147 2 2" xfId="12805"/>
    <cellStyle name="40% - akcent 4 147 3" xfId="9515"/>
    <cellStyle name="40% - akcent 4 148" xfId="2328"/>
    <cellStyle name="40% - akcent 4 148 2" xfId="6171"/>
    <cellStyle name="40% - akcent 4 148 2 2" xfId="12806"/>
    <cellStyle name="40% - akcent 4 148 3" xfId="9516"/>
    <cellStyle name="40% - akcent 4 149" xfId="2329"/>
    <cellStyle name="40% - akcent 4 149 2" xfId="6172"/>
    <cellStyle name="40% - akcent 4 149 2 2" xfId="12807"/>
    <cellStyle name="40% - akcent 4 149 3" xfId="9517"/>
    <cellStyle name="40% - akcent 4 15" xfId="2330"/>
    <cellStyle name="40% - akcent 4 15 2" xfId="2331"/>
    <cellStyle name="40% - akcent 4 15 2 2" xfId="6174"/>
    <cellStyle name="40% - akcent 4 15 2 2 2" xfId="12809"/>
    <cellStyle name="40% - akcent 4 15 2 3" xfId="9519"/>
    <cellStyle name="40% - akcent 4 15 3" xfId="6173"/>
    <cellStyle name="40% - akcent 4 15 3 2" xfId="12808"/>
    <cellStyle name="40% - akcent 4 15 4" xfId="9518"/>
    <cellStyle name="40% - akcent 4 150" xfId="2332"/>
    <cellStyle name="40% - akcent 4 150 2" xfId="6175"/>
    <cellStyle name="40% - akcent 4 150 2 2" xfId="12810"/>
    <cellStyle name="40% - akcent 4 150 3" xfId="9520"/>
    <cellStyle name="40% - akcent 4 151" xfId="2333"/>
    <cellStyle name="40% - akcent 4 151 2" xfId="6176"/>
    <cellStyle name="40% - akcent 4 151 2 2" xfId="12811"/>
    <cellStyle name="40% - akcent 4 151 3" xfId="9521"/>
    <cellStyle name="40% - akcent 4 152" xfId="2334"/>
    <cellStyle name="40% - akcent 4 152 2" xfId="6177"/>
    <cellStyle name="40% - akcent 4 152 2 2" xfId="12812"/>
    <cellStyle name="40% - akcent 4 152 3" xfId="9522"/>
    <cellStyle name="40% - akcent 4 153" xfId="2335"/>
    <cellStyle name="40% - akcent 4 153 2" xfId="6178"/>
    <cellStyle name="40% - akcent 4 153 2 2" xfId="12813"/>
    <cellStyle name="40% - akcent 4 153 3" xfId="9523"/>
    <cellStyle name="40% - akcent 4 154" xfId="2336"/>
    <cellStyle name="40% - akcent 4 154 2" xfId="6179"/>
    <cellStyle name="40% - akcent 4 154 2 2" xfId="12814"/>
    <cellStyle name="40% - akcent 4 154 3" xfId="9524"/>
    <cellStyle name="40% - akcent 4 155" xfId="2337"/>
    <cellStyle name="40% - akcent 4 155 2" xfId="6180"/>
    <cellStyle name="40% - akcent 4 155 2 2" xfId="12815"/>
    <cellStyle name="40% - akcent 4 155 3" xfId="9525"/>
    <cellStyle name="40% - akcent 4 156" xfId="2338"/>
    <cellStyle name="40% - akcent 4 156 2" xfId="6181"/>
    <cellStyle name="40% - akcent 4 156 2 2" xfId="12816"/>
    <cellStyle name="40% - akcent 4 156 3" xfId="9526"/>
    <cellStyle name="40% - akcent 4 157" xfId="2339"/>
    <cellStyle name="40% - akcent 4 157 2" xfId="6182"/>
    <cellStyle name="40% - akcent 4 157 2 2" xfId="12817"/>
    <cellStyle name="40% - akcent 4 157 3" xfId="9527"/>
    <cellStyle name="40% - akcent 4 158" xfId="2340"/>
    <cellStyle name="40% - akcent 4 158 2" xfId="6183"/>
    <cellStyle name="40% - akcent 4 158 2 2" xfId="12818"/>
    <cellStyle name="40% - akcent 4 158 3" xfId="9528"/>
    <cellStyle name="40% - akcent 4 159" xfId="2341"/>
    <cellStyle name="40% - akcent 4 159 2" xfId="6184"/>
    <cellStyle name="40% - akcent 4 159 2 2" xfId="12819"/>
    <cellStyle name="40% - akcent 4 159 3" xfId="9529"/>
    <cellStyle name="40% - akcent 4 16" xfId="2342"/>
    <cellStyle name="40% - akcent 4 16 2" xfId="2343"/>
    <cellStyle name="40% - akcent 4 16 2 2" xfId="6186"/>
    <cellStyle name="40% - akcent 4 16 2 2 2" xfId="12821"/>
    <cellStyle name="40% - akcent 4 16 2 3" xfId="9531"/>
    <cellStyle name="40% - akcent 4 16 3" xfId="6185"/>
    <cellStyle name="40% - akcent 4 16 3 2" xfId="12820"/>
    <cellStyle name="40% - akcent 4 16 4" xfId="9530"/>
    <cellStyle name="40% - akcent 4 160" xfId="2344"/>
    <cellStyle name="40% - akcent 4 160 2" xfId="6187"/>
    <cellStyle name="40% - akcent 4 160 2 2" xfId="12822"/>
    <cellStyle name="40% - akcent 4 160 3" xfId="9532"/>
    <cellStyle name="40% - akcent 4 161" xfId="2345"/>
    <cellStyle name="40% - akcent 4 161 2" xfId="6188"/>
    <cellStyle name="40% - akcent 4 161 2 2" xfId="12823"/>
    <cellStyle name="40% - akcent 4 161 3" xfId="9533"/>
    <cellStyle name="40% - akcent 4 162" xfId="2346"/>
    <cellStyle name="40% - akcent 4 162 2" xfId="6189"/>
    <cellStyle name="40% - akcent 4 162 2 2" xfId="12824"/>
    <cellStyle name="40% - akcent 4 162 3" xfId="9534"/>
    <cellStyle name="40% - akcent 4 163" xfId="2347"/>
    <cellStyle name="40% - akcent 4 163 2" xfId="6190"/>
    <cellStyle name="40% - akcent 4 163 2 2" xfId="12825"/>
    <cellStyle name="40% - akcent 4 163 3" xfId="9535"/>
    <cellStyle name="40% - akcent 4 164" xfId="2348"/>
    <cellStyle name="40% - akcent 4 164 2" xfId="6191"/>
    <cellStyle name="40% - akcent 4 164 2 2" xfId="12826"/>
    <cellStyle name="40% - akcent 4 164 3" xfId="9536"/>
    <cellStyle name="40% - akcent 4 165" xfId="2349"/>
    <cellStyle name="40% - akcent 4 165 2" xfId="6192"/>
    <cellStyle name="40% - akcent 4 165 2 2" xfId="12827"/>
    <cellStyle name="40% - akcent 4 165 3" xfId="9537"/>
    <cellStyle name="40% - akcent 4 166" xfId="2350"/>
    <cellStyle name="40% - akcent 4 166 2" xfId="6193"/>
    <cellStyle name="40% - akcent 4 166 2 2" xfId="12828"/>
    <cellStyle name="40% - akcent 4 166 3" xfId="9538"/>
    <cellStyle name="40% - akcent 4 167" xfId="2351"/>
    <cellStyle name="40% - akcent 4 167 2" xfId="6194"/>
    <cellStyle name="40% - akcent 4 167 2 2" xfId="12829"/>
    <cellStyle name="40% - akcent 4 167 3" xfId="9539"/>
    <cellStyle name="40% - akcent 4 168" xfId="2352"/>
    <cellStyle name="40% - akcent 4 168 2" xfId="6195"/>
    <cellStyle name="40% - akcent 4 168 2 2" xfId="12830"/>
    <cellStyle name="40% - akcent 4 168 3" xfId="9540"/>
    <cellStyle name="40% - akcent 4 169" xfId="2353"/>
    <cellStyle name="40% - akcent 4 169 2" xfId="6196"/>
    <cellStyle name="40% - akcent 4 169 2 2" xfId="12831"/>
    <cellStyle name="40% - akcent 4 169 3" xfId="9541"/>
    <cellStyle name="40% - akcent 4 17" xfId="2354"/>
    <cellStyle name="40% - akcent 4 17 2" xfId="2355"/>
    <cellStyle name="40% - akcent 4 17 2 2" xfId="6198"/>
    <cellStyle name="40% - akcent 4 17 2 2 2" xfId="12833"/>
    <cellStyle name="40% - akcent 4 17 2 3" xfId="9543"/>
    <cellStyle name="40% - akcent 4 17 3" xfId="6197"/>
    <cellStyle name="40% - akcent 4 17 3 2" xfId="12832"/>
    <cellStyle name="40% - akcent 4 17 4" xfId="9542"/>
    <cellStyle name="40% - akcent 4 170" xfId="2356"/>
    <cellStyle name="40% - akcent 4 170 2" xfId="6199"/>
    <cellStyle name="40% - akcent 4 170 2 2" xfId="12834"/>
    <cellStyle name="40% - akcent 4 170 3" xfId="9544"/>
    <cellStyle name="40% - akcent 4 171" xfId="2357"/>
    <cellStyle name="40% - akcent 4 171 2" xfId="6200"/>
    <cellStyle name="40% - akcent 4 171 2 2" xfId="12835"/>
    <cellStyle name="40% - akcent 4 171 3" xfId="9545"/>
    <cellStyle name="40% - akcent 4 172" xfId="2358"/>
    <cellStyle name="40% - akcent 4 172 2" xfId="6201"/>
    <cellStyle name="40% - akcent 4 172 2 2" xfId="12836"/>
    <cellStyle name="40% - akcent 4 172 3" xfId="9546"/>
    <cellStyle name="40% - akcent 4 173" xfId="2359"/>
    <cellStyle name="40% - akcent 4 173 2" xfId="6202"/>
    <cellStyle name="40% - akcent 4 173 2 2" xfId="12837"/>
    <cellStyle name="40% - akcent 4 173 3" xfId="9547"/>
    <cellStyle name="40% - akcent 4 174" xfId="2360"/>
    <cellStyle name="40% - akcent 4 174 2" xfId="6203"/>
    <cellStyle name="40% - akcent 4 174 2 2" xfId="12838"/>
    <cellStyle name="40% - akcent 4 174 3" xfId="9548"/>
    <cellStyle name="40% - akcent 4 175" xfId="2361"/>
    <cellStyle name="40% - akcent 4 175 2" xfId="6204"/>
    <cellStyle name="40% - akcent 4 175 2 2" xfId="12839"/>
    <cellStyle name="40% - akcent 4 175 3" xfId="9549"/>
    <cellStyle name="40% - akcent 4 176" xfId="2362"/>
    <cellStyle name="40% - akcent 4 176 2" xfId="6205"/>
    <cellStyle name="40% - akcent 4 176 2 2" xfId="12840"/>
    <cellStyle name="40% - akcent 4 176 3" xfId="9550"/>
    <cellStyle name="40% - akcent 4 177" xfId="2363"/>
    <cellStyle name="40% - akcent 4 177 2" xfId="6206"/>
    <cellStyle name="40% - akcent 4 177 2 2" xfId="12841"/>
    <cellStyle name="40% - akcent 4 177 3" xfId="9551"/>
    <cellStyle name="40% - akcent 4 178" xfId="2364"/>
    <cellStyle name="40% - akcent 4 178 2" xfId="6207"/>
    <cellStyle name="40% - akcent 4 178 2 2" xfId="12842"/>
    <cellStyle name="40% - akcent 4 178 3" xfId="9552"/>
    <cellStyle name="40% - akcent 4 179" xfId="2365"/>
    <cellStyle name="40% - akcent 4 179 2" xfId="6208"/>
    <cellStyle name="40% - akcent 4 179 2 2" xfId="12843"/>
    <cellStyle name="40% - akcent 4 179 3" xfId="9553"/>
    <cellStyle name="40% - akcent 4 18" xfId="2366"/>
    <cellStyle name="40% - akcent 4 18 2" xfId="2367"/>
    <cellStyle name="40% - akcent 4 18 2 2" xfId="6210"/>
    <cellStyle name="40% - akcent 4 18 2 2 2" xfId="12845"/>
    <cellStyle name="40% - akcent 4 18 2 3" xfId="9555"/>
    <cellStyle name="40% - akcent 4 18 3" xfId="6209"/>
    <cellStyle name="40% - akcent 4 18 3 2" xfId="12844"/>
    <cellStyle name="40% - akcent 4 18 4" xfId="9554"/>
    <cellStyle name="40% - akcent 4 180" xfId="2368"/>
    <cellStyle name="40% - akcent 4 180 2" xfId="6211"/>
    <cellStyle name="40% - akcent 4 180 2 2" xfId="12846"/>
    <cellStyle name="40% - akcent 4 180 3" xfId="9556"/>
    <cellStyle name="40% - akcent 4 181" xfId="2369"/>
    <cellStyle name="40% - akcent 4 181 2" xfId="6212"/>
    <cellStyle name="40% - akcent 4 181 2 2" xfId="12847"/>
    <cellStyle name="40% - akcent 4 181 3" xfId="9557"/>
    <cellStyle name="40% - akcent 4 182" xfId="2370"/>
    <cellStyle name="40% - akcent 4 182 2" xfId="6213"/>
    <cellStyle name="40% - akcent 4 182 2 2" xfId="12848"/>
    <cellStyle name="40% - akcent 4 182 3" xfId="9558"/>
    <cellStyle name="40% - akcent 4 183" xfId="2371"/>
    <cellStyle name="40% - akcent 4 183 2" xfId="6214"/>
    <cellStyle name="40% - akcent 4 183 2 2" xfId="12849"/>
    <cellStyle name="40% - akcent 4 183 3" xfId="9559"/>
    <cellStyle name="40% - akcent 4 184" xfId="2372"/>
    <cellStyle name="40% - akcent 4 184 2" xfId="6215"/>
    <cellStyle name="40% - akcent 4 184 2 2" xfId="12850"/>
    <cellStyle name="40% - akcent 4 184 3" xfId="9560"/>
    <cellStyle name="40% - akcent 4 185" xfId="2373"/>
    <cellStyle name="40% - akcent 4 185 2" xfId="6216"/>
    <cellStyle name="40% - akcent 4 185 2 2" xfId="12851"/>
    <cellStyle name="40% - akcent 4 185 3" xfId="9561"/>
    <cellStyle name="40% - akcent 4 186" xfId="2374"/>
    <cellStyle name="40% - akcent 4 186 2" xfId="6217"/>
    <cellStyle name="40% - akcent 4 186 2 2" xfId="12852"/>
    <cellStyle name="40% - akcent 4 186 3" xfId="9562"/>
    <cellStyle name="40% - akcent 4 187" xfId="2375"/>
    <cellStyle name="40% - akcent 4 187 2" xfId="6218"/>
    <cellStyle name="40% - akcent 4 187 2 2" xfId="12853"/>
    <cellStyle name="40% - akcent 4 187 3" xfId="9563"/>
    <cellStyle name="40% - akcent 4 188" xfId="2376"/>
    <cellStyle name="40% - akcent 4 188 2" xfId="6219"/>
    <cellStyle name="40% - akcent 4 188 2 2" xfId="12854"/>
    <cellStyle name="40% - akcent 4 188 3" xfId="9564"/>
    <cellStyle name="40% - akcent 4 189" xfId="2377"/>
    <cellStyle name="40% - akcent 4 189 2" xfId="6220"/>
    <cellStyle name="40% - akcent 4 189 2 2" xfId="12855"/>
    <cellStyle name="40% - akcent 4 189 3" xfId="9565"/>
    <cellStyle name="40% - akcent 4 19" xfId="2378"/>
    <cellStyle name="40% - akcent 4 19 2" xfId="2379"/>
    <cellStyle name="40% - akcent 4 19 2 2" xfId="6222"/>
    <cellStyle name="40% - akcent 4 19 2 2 2" xfId="12857"/>
    <cellStyle name="40% - akcent 4 19 2 3" xfId="9567"/>
    <cellStyle name="40% - akcent 4 19 3" xfId="6221"/>
    <cellStyle name="40% - akcent 4 19 3 2" xfId="12856"/>
    <cellStyle name="40% - akcent 4 19 4" xfId="9566"/>
    <cellStyle name="40% - akcent 4 190" xfId="2380"/>
    <cellStyle name="40% - akcent 4 190 2" xfId="6223"/>
    <cellStyle name="40% - akcent 4 190 2 2" xfId="12858"/>
    <cellStyle name="40% - akcent 4 190 3" xfId="9568"/>
    <cellStyle name="40% - akcent 4 191" xfId="2381"/>
    <cellStyle name="40% - akcent 4 191 2" xfId="6224"/>
    <cellStyle name="40% - akcent 4 191 2 2" xfId="12859"/>
    <cellStyle name="40% - akcent 4 191 3" xfId="9569"/>
    <cellStyle name="40% - akcent 4 192" xfId="2382"/>
    <cellStyle name="40% - akcent 4 192 2" xfId="6225"/>
    <cellStyle name="40% - akcent 4 192 2 2" xfId="12860"/>
    <cellStyle name="40% - akcent 4 192 3" xfId="9570"/>
    <cellStyle name="40% - akcent 4 193" xfId="2383"/>
    <cellStyle name="40% - akcent 4 193 2" xfId="6226"/>
    <cellStyle name="40% - akcent 4 193 2 2" xfId="12861"/>
    <cellStyle name="40% - akcent 4 193 3" xfId="9571"/>
    <cellStyle name="40% - akcent 4 194" xfId="2384"/>
    <cellStyle name="40% - akcent 4 194 2" xfId="6227"/>
    <cellStyle name="40% - akcent 4 194 2 2" xfId="12862"/>
    <cellStyle name="40% - akcent 4 194 3" xfId="9572"/>
    <cellStyle name="40% - akcent 4 195" xfId="3844"/>
    <cellStyle name="40% - akcent 4 195 2" xfId="10479"/>
    <cellStyle name="40% - akcent 4 196" xfId="7126"/>
    <cellStyle name="40% - akcent 4 197" xfId="7193"/>
    <cellStyle name="40% - akcent 4 2" xfId="2385"/>
    <cellStyle name="40% - akcent 4 2 2" xfId="2386"/>
    <cellStyle name="40% - akcent 4 2 2 2" xfId="6229"/>
    <cellStyle name="40% - akcent 4 2 2 2 2" xfId="12864"/>
    <cellStyle name="40% - akcent 4 2 2 3" xfId="9574"/>
    <cellStyle name="40% - akcent 4 2 3" xfId="6228"/>
    <cellStyle name="40% - akcent 4 2 3 2" xfId="12863"/>
    <cellStyle name="40% - akcent 4 2 4" xfId="9573"/>
    <cellStyle name="40% - akcent 4 20" xfId="2387"/>
    <cellStyle name="40% - akcent 4 20 2" xfId="2388"/>
    <cellStyle name="40% - akcent 4 20 2 2" xfId="6231"/>
    <cellStyle name="40% - akcent 4 20 2 2 2" xfId="12866"/>
    <cellStyle name="40% - akcent 4 20 2 3" xfId="9576"/>
    <cellStyle name="40% - akcent 4 20 3" xfId="6230"/>
    <cellStyle name="40% - akcent 4 20 3 2" xfId="12865"/>
    <cellStyle name="40% - akcent 4 20 4" xfId="9575"/>
    <cellStyle name="40% - akcent 4 21" xfId="2389"/>
    <cellStyle name="40% - akcent 4 21 2" xfId="2390"/>
    <cellStyle name="40% - akcent 4 21 2 2" xfId="6233"/>
    <cellStyle name="40% - akcent 4 21 2 2 2" xfId="12868"/>
    <cellStyle name="40% - akcent 4 21 2 3" xfId="9578"/>
    <cellStyle name="40% - akcent 4 21 3" xfId="6232"/>
    <cellStyle name="40% - akcent 4 21 3 2" xfId="12867"/>
    <cellStyle name="40% - akcent 4 21 4" xfId="9577"/>
    <cellStyle name="40% - akcent 4 22" xfId="2391"/>
    <cellStyle name="40% - akcent 4 22 2" xfId="2392"/>
    <cellStyle name="40% - akcent 4 22 2 2" xfId="6235"/>
    <cellStyle name="40% - akcent 4 22 2 2 2" xfId="12870"/>
    <cellStyle name="40% - akcent 4 22 2 3" xfId="9580"/>
    <cellStyle name="40% - akcent 4 22 3" xfId="6234"/>
    <cellStyle name="40% - akcent 4 22 3 2" xfId="12869"/>
    <cellStyle name="40% - akcent 4 22 4" xfId="9579"/>
    <cellStyle name="40% - akcent 4 23" xfId="2393"/>
    <cellStyle name="40% - akcent 4 23 2" xfId="2394"/>
    <cellStyle name="40% - akcent 4 23 2 2" xfId="6237"/>
    <cellStyle name="40% - akcent 4 23 2 2 2" xfId="12872"/>
    <cellStyle name="40% - akcent 4 23 2 3" xfId="9582"/>
    <cellStyle name="40% - akcent 4 23 3" xfId="6236"/>
    <cellStyle name="40% - akcent 4 23 3 2" xfId="12871"/>
    <cellStyle name="40% - akcent 4 23 4" xfId="9581"/>
    <cellStyle name="40% - akcent 4 24" xfId="2395"/>
    <cellStyle name="40% - akcent 4 24 2" xfId="2396"/>
    <cellStyle name="40% - akcent 4 24 2 2" xfId="6239"/>
    <cellStyle name="40% - akcent 4 24 2 2 2" xfId="12874"/>
    <cellStyle name="40% - akcent 4 24 2 3" xfId="9584"/>
    <cellStyle name="40% - akcent 4 24 3" xfId="6238"/>
    <cellStyle name="40% - akcent 4 24 3 2" xfId="12873"/>
    <cellStyle name="40% - akcent 4 24 4" xfId="9583"/>
    <cellStyle name="40% - akcent 4 25" xfId="2397"/>
    <cellStyle name="40% - akcent 4 25 2" xfId="2398"/>
    <cellStyle name="40% - akcent 4 25 2 2" xfId="6241"/>
    <cellStyle name="40% - akcent 4 25 2 2 2" xfId="12876"/>
    <cellStyle name="40% - akcent 4 25 2 3" xfId="9586"/>
    <cellStyle name="40% - akcent 4 25 3" xfId="6240"/>
    <cellStyle name="40% - akcent 4 25 3 2" xfId="12875"/>
    <cellStyle name="40% - akcent 4 25 4" xfId="9585"/>
    <cellStyle name="40% - akcent 4 26" xfId="2399"/>
    <cellStyle name="40% - akcent 4 26 2" xfId="2400"/>
    <cellStyle name="40% - akcent 4 26 2 2" xfId="6243"/>
    <cellStyle name="40% - akcent 4 26 2 2 2" xfId="12878"/>
    <cellStyle name="40% - akcent 4 26 2 3" xfId="9588"/>
    <cellStyle name="40% - akcent 4 26 3" xfId="6242"/>
    <cellStyle name="40% - akcent 4 26 3 2" xfId="12877"/>
    <cellStyle name="40% - akcent 4 26 4" xfId="9587"/>
    <cellStyle name="40% - akcent 4 27" xfId="2401"/>
    <cellStyle name="40% - akcent 4 27 2" xfId="2402"/>
    <cellStyle name="40% - akcent 4 27 2 2" xfId="6245"/>
    <cellStyle name="40% - akcent 4 27 2 2 2" xfId="12880"/>
    <cellStyle name="40% - akcent 4 27 2 3" xfId="9590"/>
    <cellStyle name="40% - akcent 4 27 3" xfId="6244"/>
    <cellStyle name="40% - akcent 4 27 3 2" xfId="12879"/>
    <cellStyle name="40% - akcent 4 27 4" xfId="9589"/>
    <cellStyle name="40% - akcent 4 28" xfId="2403"/>
    <cellStyle name="40% - akcent 4 28 2" xfId="2404"/>
    <cellStyle name="40% - akcent 4 28 2 2" xfId="6247"/>
    <cellStyle name="40% - akcent 4 28 2 2 2" xfId="12882"/>
    <cellStyle name="40% - akcent 4 28 2 3" xfId="9592"/>
    <cellStyle name="40% - akcent 4 28 3" xfId="6246"/>
    <cellStyle name="40% - akcent 4 28 3 2" xfId="12881"/>
    <cellStyle name="40% - akcent 4 28 4" xfId="9591"/>
    <cellStyle name="40% - akcent 4 29" xfId="2405"/>
    <cellStyle name="40% - akcent 4 29 2" xfId="2406"/>
    <cellStyle name="40% - akcent 4 29 2 2" xfId="6249"/>
    <cellStyle name="40% - akcent 4 29 2 2 2" xfId="12884"/>
    <cellStyle name="40% - akcent 4 29 2 3" xfId="9594"/>
    <cellStyle name="40% - akcent 4 29 3" xfId="6248"/>
    <cellStyle name="40% - akcent 4 29 3 2" xfId="12883"/>
    <cellStyle name="40% - akcent 4 29 4" xfId="9593"/>
    <cellStyle name="40% - akcent 4 3" xfId="2407"/>
    <cellStyle name="40% - akcent 4 3 2" xfId="2408"/>
    <cellStyle name="40% - akcent 4 3 2 2" xfId="6251"/>
    <cellStyle name="40% - akcent 4 3 2 2 2" xfId="12886"/>
    <cellStyle name="40% - akcent 4 3 2 3" xfId="9596"/>
    <cellStyle name="40% - akcent 4 3 3" xfId="6250"/>
    <cellStyle name="40% - akcent 4 3 3 2" xfId="12885"/>
    <cellStyle name="40% - akcent 4 3 4" xfId="9595"/>
    <cellStyle name="40% - akcent 4 30" xfId="2409"/>
    <cellStyle name="40% - akcent 4 30 2" xfId="2410"/>
    <cellStyle name="40% - akcent 4 30 2 2" xfId="6253"/>
    <cellStyle name="40% - akcent 4 30 2 2 2" xfId="12888"/>
    <cellStyle name="40% - akcent 4 30 2 3" xfId="9598"/>
    <cellStyle name="40% - akcent 4 30 3" xfId="6252"/>
    <cellStyle name="40% - akcent 4 30 3 2" xfId="12887"/>
    <cellStyle name="40% - akcent 4 30 4" xfId="9597"/>
    <cellStyle name="40% - akcent 4 31" xfId="2411"/>
    <cellStyle name="40% - akcent 4 31 2" xfId="2412"/>
    <cellStyle name="40% - akcent 4 31 2 2" xfId="6255"/>
    <cellStyle name="40% - akcent 4 31 2 2 2" xfId="12890"/>
    <cellStyle name="40% - akcent 4 31 2 3" xfId="9600"/>
    <cellStyle name="40% - akcent 4 31 3" xfId="6254"/>
    <cellStyle name="40% - akcent 4 31 3 2" xfId="12889"/>
    <cellStyle name="40% - akcent 4 31 4" xfId="9599"/>
    <cellStyle name="40% - akcent 4 32" xfId="2413"/>
    <cellStyle name="40% - akcent 4 32 2" xfId="2414"/>
    <cellStyle name="40% - akcent 4 32 2 2" xfId="6257"/>
    <cellStyle name="40% - akcent 4 32 2 2 2" xfId="12892"/>
    <cellStyle name="40% - akcent 4 32 2 3" xfId="9602"/>
    <cellStyle name="40% - akcent 4 32 3" xfId="6256"/>
    <cellStyle name="40% - akcent 4 32 3 2" xfId="12891"/>
    <cellStyle name="40% - akcent 4 32 4" xfId="9601"/>
    <cellStyle name="40% - akcent 4 33" xfId="2415"/>
    <cellStyle name="40% - akcent 4 33 2" xfId="2416"/>
    <cellStyle name="40% - akcent 4 33 2 2" xfId="6259"/>
    <cellStyle name="40% - akcent 4 33 2 2 2" xfId="12894"/>
    <cellStyle name="40% - akcent 4 33 2 3" xfId="9604"/>
    <cellStyle name="40% - akcent 4 33 3" xfId="6258"/>
    <cellStyle name="40% - akcent 4 33 3 2" xfId="12893"/>
    <cellStyle name="40% - akcent 4 33 4" xfId="9603"/>
    <cellStyle name="40% - akcent 4 34" xfId="2417"/>
    <cellStyle name="40% - akcent 4 34 2" xfId="2418"/>
    <cellStyle name="40% - akcent 4 34 2 2" xfId="6261"/>
    <cellStyle name="40% - akcent 4 34 2 2 2" xfId="12896"/>
    <cellStyle name="40% - akcent 4 34 2 3" xfId="9606"/>
    <cellStyle name="40% - akcent 4 34 3" xfId="6260"/>
    <cellStyle name="40% - akcent 4 34 3 2" xfId="12895"/>
    <cellStyle name="40% - akcent 4 34 4" xfId="9605"/>
    <cellStyle name="40% - akcent 4 35" xfId="2419"/>
    <cellStyle name="40% - akcent 4 35 2" xfId="2420"/>
    <cellStyle name="40% - akcent 4 35 2 2" xfId="6263"/>
    <cellStyle name="40% - akcent 4 35 2 2 2" xfId="12898"/>
    <cellStyle name="40% - akcent 4 35 2 3" xfId="9608"/>
    <cellStyle name="40% - akcent 4 35 3" xfId="6262"/>
    <cellStyle name="40% - akcent 4 35 3 2" xfId="12897"/>
    <cellStyle name="40% - akcent 4 35 4" xfId="9607"/>
    <cellStyle name="40% - akcent 4 36" xfId="2421"/>
    <cellStyle name="40% - akcent 4 36 2" xfId="2422"/>
    <cellStyle name="40% - akcent 4 36 2 2" xfId="6265"/>
    <cellStyle name="40% - akcent 4 36 2 2 2" xfId="12900"/>
    <cellStyle name="40% - akcent 4 36 2 3" xfId="9610"/>
    <cellStyle name="40% - akcent 4 36 3" xfId="6264"/>
    <cellStyle name="40% - akcent 4 36 3 2" xfId="12899"/>
    <cellStyle name="40% - akcent 4 36 4" xfId="9609"/>
    <cellStyle name="40% - akcent 4 37" xfId="2423"/>
    <cellStyle name="40% - akcent 4 37 2" xfId="2424"/>
    <cellStyle name="40% - akcent 4 37 2 2" xfId="6267"/>
    <cellStyle name="40% - akcent 4 37 2 2 2" xfId="12902"/>
    <cellStyle name="40% - akcent 4 37 2 3" xfId="9612"/>
    <cellStyle name="40% - akcent 4 37 3" xfId="6266"/>
    <cellStyle name="40% - akcent 4 37 3 2" xfId="12901"/>
    <cellStyle name="40% - akcent 4 37 4" xfId="9611"/>
    <cellStyle name="40% - akcent 4 38" xfId="2425"/>
    <cellStyle name="40% - akcent 4 38 2" xfId="2426"/>
    <cellStyle name="40% - akcent 4 38 2 2" xfId="6269"/>
    <cellStyle name="40% - akcent 4 38 2 2 2" xfId="12904"/>
    <cellStyle name="40% - akcent 4 38 2 3" xfId="9614"/>
    <cellStyle name="40% - akcent 4 38 3" xfId="6268"/>
    <cellStyle name="40% - akcent 4 38 3 2" xfId="12903"/>
    <cellStyle name="40% - akcent 4 38 4" xfId="9613"/>
    <cellStyle name="40% - akcent 4 39" xfId="2427"/>
    <cellStyle name="40% - akcent 4 39 2" xfId="2428"/>
    <cellStyle name="40% - akcent 4 39 2 2" xfId="6271"/>
    <cellStyle name="40% - akcent 4 39 2 2 2" xfId="12906"/>
    <cellStyle name="40% - akcent 4 39 2 3" xfId="9616"/>
    <cellStyle name="40% - akcent 4 39 3" xfId="6270"/>
    <cellStyle name="40% - akcent 4 39 3 2" xfId="12905"/>
    <cellStyle name="40% - akcent 4 39 4" xfId="9615"/>
    <cellStyle name="40% - akcent 4 4" xfId="2429"/>
    <cellStyle name="40% - akcent 4 4 2" xfId="2430"/>
    <cellStyle name="40% - akcent 4 4 2 2" xfId="6273"/>
    <cellStyle name="40% - akcent 4 4 2 2 2" xfId="12908"/>
    <cellStyle name="40% - akcent 4 4 2 3" xfId="9618"/>
    <cellStyle name="40% - akcent 4 4 3" xfId="6272"/>
    <cellStyle name="40% - akcent 4 4 3 2" xfId="12907"/>
    <cellStyle name="40% - akcent 4 4 4" xfId="9617"/>
    <cellStyle name="40% - akcent 4 40" xfId="2431"/>
    <cellStyle name="40% - akcent 4 40 2" xfId="2432"/>
    <cellStyle name="40% - akcent 4 40 2 2" xfId="6275"/>
    <cellStyle name="40% - akcent 4 40 2 2 2" xfId="12910"/>
    <cellStyle name="40% - akcent 4 40 2 3" xfId="9620"/>
    <cellStyle name="40% - akcent 4 40 3" xfId="6274"/>
    <cellStyle name="40% - akcent 4 40 3 2" xfId="12909"/>
    <cellStyle name="40% - akcent 4 40 4" xfId="9619"/>
    <cellStyle name="40% - akcent 4 41" xfId="2433"/>
    <cellStyle name="40% - akcent 4 41 2" xfId="2434"/>
    <cellStyle name="40% - akcent 4 41 2 2" xfId="6277"/>
    <cellStyle name="40% - akcent 4 41 2 2 2" xfId="12912"/>
    <cellStyle name="40% - akcent 4 41 2 3" xfId="9622"/>
    <cellStyle name="40% - akcent 4 41 3" xfId="6276"/>
    <cellStyle name="40% - akcent 4 41 3 2" xfId="12911"/>
    <cellStyle name="40% - akcent 4 41 4" xfId="9621"/>
    <cellStyle name="40% - akcent 4 42" xfId="2435"/>
    <cellStyle name="40% - akcent 4 42 2" xfId="2436"/>
    <cellStyle name="40% - akcent 4 42 2 2" xfId="6279"/>
    <cellStyle name="40% - akcent 4 42 2 2 2" xfId="12914"/>
    <cellStyle name="40% - akcent 4 42 2 3" xfId="9624"/>
    <cellStyle name="40% - akcent 4 42 3" xfId="6278"/>
    <cellStyle name="40% - akcent 4 42 3 2" xfId="12913"/>
    <cellStyle name="40% - akcent 4 42 4" xfId="9623"/>
    <cellStyle name="40% - akcent 4 43" xfId="2437"/>
    <cellStyle name="40% - akcent 4 43 2" xfId="2438"/>
    <cellStyle name="40% - akcent 4 43 2 2" xfId="6281"/>
    <cellStyle name="40% - akcent 4 43 2 2 2" xfId="12916"/>
    <cellStyle name="40% - akcent 4 43 2 3" xfId="9626"/>
    <cellStyle name="40% - akcent 4 43 3" xfId="6280"/>
    <cellStyle name="40% - akcent 4 43 3 2" xfId="12915"/>
    <cellStyle name="40% - akcent 4 43 4" xfId="9625"/>
    <cellStyle name="40% - akcent 4 44" xfId="2439"/>
    <cellStyle name="40% - akcent 4 44 2" xfId="2440"/>
    <cellStyle name="40% - akcent 4 44 2 2" xfId="6283"/>
    <cellStyle name="40% - akcent 4 44 2 2 2" xfId="12918"/>
    <cellStyle name="40% - akcent 4 44 2 3" xfId="9628"/>
    <cellStyle name="40% - akcent 4 44 3" xfId="6282"/>
    <cellStyle name="40% - akcent 4 44 3 2" xfId="12917"/>
    <cellStyle name="40% - akcent 4 44 4" xfId="9627"/>
    <cellStyle name="40% - akcent 4 45" xfId="2441"/>
    <cellStyle name="40% - akcent 4 45 2" xfId="2442"/>
    <cellStyle name="40% - akcent 4 45 2 2" xfId="6285"/>
    <cellStyle name="40% - akcent 4 45 2 2 2" xfId="12920"/>
    <cellStyle name="40% - akcent 4 45 2 3" xfId="9630"/>
    <cellStyle name="40% - akcent 4 45 3" xfId="6284"/>
    <cellStyle name="40% - akcent 4 45 3 2" xfId="12919"/>
    <cellStyle name="40% - akcent 4 45 4" xfId="9629"/>
    <cellStyle name="40% - akcent 4 46" xfId="2443"/>
    <cellStyle name="40% - akcent 4 46 2" xfId="2444"/>
    <cellStyle name="40% - akcent 4 46 2 2" xfId="6287"/>
    <cellStyle name="40% - akcent 4 46 2 2 2" xfId="12922"/>
    <cellStyle name="40% - akcent 4 46 2 3" xfId="9632"/>
    <cellStyle name="40% - akcent 4 46 3" xfId="6286"/>
    <cellStyle name="40% - akcent 4 46 3 2" xfId="12921"/>
    <cellStyle name="40% - akcent 4 46 4" xfId="9631"/>
    <cellStyle name="40% - akcent 4 47" xfId="2445"/>
    <cellStyle name="40% - akcent 4 47 2" xfId="2446"/>
    <cellStyle name="40% - akcent 4 47 2 2" xfId="6289"/>
    <cellStyle name="40% - akcent 4 47 2 2 2" xfId="12924"/>
    <cellStyle name="40% - akcent 4 47 2 3" xfId="9634"/>
    <cellStyle name="40% - akcent 4 47 3" xfId="6288"/>
    <cellStyle name="40% - akcent 4 47 3 2" xfId="12923"/>
    <cellStyle name="40% - akcent 4 47 4" xfId="9633"/>
    <cellStyle name="40% - akcent 4 48" xfId="2447"/>
    <cellStyle name="40% - akcent 4 48 2" xfId="2448"/>
    <cellStyle name="40% - akcent 4 48 2 2" xfId="6291"/>
    <cellStyle name="40% - akcent 4 48 2 2 2" xfId="12926"/>
    <cellStyle name="40% - akcent 4 48 2 3" xfId="9636"/>
    <cellStyle name="40% - akcent 4 48 3" xfId="6290"/>
    <cellStyle name="40% - akcent 4 48 3 2" xfId="12925"/>
    <cellStyle name="40% - akcent 4 48 4" xfId="9635"/>
    <cellStyle name="40% - akcent 4 49" xfId="2449"/>
    <cellStyle name="40% - akcent 4 49 2" xfId="2450"/>
    <cellStyle name="40% - akcent 4 49 2 2" xfId="6293"/>
    <cellStyle name="40% - akcent 4 49 2 2 2" xfId="12928"/>
    <cellStyle name="40% - akcent 4 49 2 3" xfId="9638"/>
    <cellStyle name="40% - akcent 4 49 3" xfId="6292"/>
    <cellStyle name="40% - akcent 4 49 3 2" xfId="12927"/>
    <cellStyle name="40% - akcent 4 49 4" xfId="9637"/>
    <cellStyle name="40% - akcent 4 5" xfId="2451"/>
    <cellStyle name="40% - akcent 4 5 2" xfId="2452"/>
    <cellStyle name="40% - akcent 4 5 2 2" xfId="6295"/>
    <cellStyle name="40% - akcent 4 5 2 2 2" xfId="12930"/>
    <cellStyle name="40% - akcent 4 5 2 3" xfId="9640"/>
    <cellStyle name="40% - akcent 4 5 3" xfId="6294"/>
    <cellStyle name="40% - akcent 4 5 3 2" xfId="12929"/>
    <cellStyle name="40% - akcent 4 5 4" xfId="9639"/>
    <cellStyle name="40% - akcent 4 50" xfId="2453"/>
    <cellStyle name="40% - akcent 4 50 2" xfId="2454"/>
    <cellStyle name="40% - akcent 4 50 2 2" xfId="6297"/>
    <cellStyle name="40% - akcent 4 50 2 2 2" xfId="12932"/>
    <cellStyle name="40% - akcent 4 50 2 3" xfId="9642"/>
    <cellStyle name="40% - akcent 4 50 3" xfId="6296"/>
    <cellStyle name="40% - akcent 4 50 3 2" xfId="12931"/>
    <cellStyle name="40% - akcent 4 50 4" xfId="9641"/>
    <cellStyle name="40% - akcent 4 51" xfId="2455"/>
    <cellStyle name="40% - akcent 4 51 2" xfId="2456"/>
    <cellStyle name="40% - akcent 4 51 2 2" xfId="6299"/>
    <cellStyle name="40% - akcent 4 51 2 2 2" xfId="12934"/>
    <cellStyle name="40% - akcent 4 51 2 3" xfId="9644"/>
    <cellStyle name="40% - akcent 4 51 3" xfId="6298"/>
    <cellStyle name="40% - akcent 4 51 3 2" xfId="12933"/>
    <cellStyle name="40% - akcent 4 51 4" xfId="9643"/>
    <cellStyle name="40% - akcent 4 52" xfId="2457"/>
    <cellStyle name="40% - akcent 4 52 2" xfId="2458"/>
    <cellStyle name="40% - akcent 4 52 2 2" xfId="6301"/>
    <cellStyle name="40% - akcent 4 52 2 2 2" xfId="12936"/>
    <cellStyle name="40% - akcent 4 52 2 3" xfId="9646"/>
    <cellStyle name="40% - akcent 4 52 3" xfId="6300"/>
    <cellStyle name="40% - akcent 4 52 3 2" xfId="12935"/>
    <cellStyle name="40% - akcent 4 52 4" xfId="9645"/>
    <cellStyle name="40% - akcent 4 53" xfId="2459"/>
    <cellStyle name="40% - akcent 4 53 2" xfId="2460"/>
    <cellStyle name="40% - akcent 4 53 2 2" xfId="6303"/>
    <cellStyle name="40% - akcent 4 53 2 2 2" xfId="12938"/>
    <cellStyle name="40% - akcent 4 53 2 3" xfId="9648"/>
    <cellStyle name="40% - akcent 4 53 3" xfId="6302"/>
    <cellStyle name="40% - akcent 4 53 3 2" xfId="12937"/>
    <cellStyle name="40% - akcent 4 53 4" xfId="9647"/>
    <cellStyle name="40% - akcent 4 54" xfId="2461"/>
    <cellStyle name="40% - akcent 4 54 2" xfId="2462"/>
    <cellStyle name="40% - akcent 4 54 2 2" xfId="6305"/>
    <cellStyle name="40% - akcent 4 54 2 2 2" xfId="12940"/>
    <cellStyle name="40% - akcent 4 54 2 3" xfId="9650"/>
    <cellStyle name="40% - akcent 4 54 3" xfId="6304"/>
    <cellStyle name="40% - akcent 4 54 3 2" xfId="12939"/>
    <cellStyle name="40% - akcent 4 54 4" xfId="9649"/>
    <cellStyle name="40% - akcent 4 55" xfId="2463"/>
    <cellStyle name="40% - akcent 4 55 2" xfId="2464"/>
    <cellStyle name="40% - akcent 4 55 2 2" xfId="6307"/>
    <cellStyle name="40% - akcent 4 55 2 2 2" xfId="12942"/>
    <cellStyle name="40% - akcent 4 55 2 3" xfId="9652"/>
    <cellStyle name="40% - akcent 4 55 3" xfId="6306"/>
    <cellStyle name="40% - akcent 4 55 3 2" xfId="12941"/>
    <cellStyle name="40% - akcent 4 55 4" xfId="9651"/>
    <cellStyle name="40% - akcent 4 56" xfId="2465"/>
    <cellStyle name="40% - akcent 4 56 2" xfId="2466"/>
    <cellStyle name="40% - akcent 4 56 2 2" xfId="6309"/>
    <cellStyle name="40% - akcent 4 56 2 2 2" xfId="12944"/>
    <cellStyle name="40% - akcent 4 56 2 3" xfId="9654"/>
    <cellStyle name="40% - akcent 4 56 3" xfId="6308"/>
    <cellStyle name="40% - akcent 4 56 3 2" xfId="12943"/>
    <cellStyle name="40% - akcent 4 56 4" xfId="9653"/>
    <cellStyle name="40% - akcent 4 57" xfId="2467"/>
    <cellStyle name="40% - akcent 4 57 2" xfId="2468"/>
    <cellStyle name="40% - akcent 4 57 2 2" xfId="6311"/>
    <cellStyle name="40% - akcent 4 57 2 2 2" xfId="12946"/>
    <cellStyle name="40% - akcent 4 57 2 3" xfId="9656"/>
    <cellStyle name="40% - akcent 4 57 3" xfId="6310"/>
    <cellStyle name="40% - akcent 4 57 3 2" xfId="12945"/>
    <cellStyle name="40% - akcent 4 57 4" xfId="9655"/>
    <cellStyle name="40% - akcent 4 58" xfId="2469"/>
    <cellStyle name="40% - akcent 4 58 2" xfId="2470"/>
    <cellStyle name="40% - akcent 4 58 2 2" xfId="6313"/>
    <cellStyle name="40% - akcent 4 58 2 2 2" xfId="12948"/>
    <cellStyle name="40% - akcent 4 58 2 3" xfId="9658"/>
    <cellStyle name="40% - akcent 4 58 3" xfId="6312"/>
    <cellStyle name="40% - akcent 4 58 3 2" xfId="12947"/>
    <cellStyle name="40% - akcent 4 58 4" xfId="9657"/>
    <cellStyle name="40% - akcent 4 59" xfId="2471"/>
    <cellStyle name="40% - akcent 4 59 2" xfId="2472"/>
    <cellStyle name="40% - akcent 4 59 2 2" xfId="6315"/>
    <cellStyle name="40% - akcent 4 59 2 2 2" xfId="12950"/>
    <cellStyle name="40% - akcent 4 59 2 3" xfId="9660"/>
    <cellStyle name="40% - akcent 4 59 3" xfId="6314"/>
    <cellStyle name="40% - akcent 4 59 3 2" xfId="12949"/>
    <cellStyle name="40% - akcent 4 59 4" xfId="9659"/>
    <cellStyle name="40% - akcent 4 6" xfId="2473"/>
    <cellStyle name="40% - akcent 4 6 2" xfId="2474"/>
    <cellStyle name="40% - akcent 4 6 2 2" xfId="6317"/>
    <cellStyle name="40% - akcent 4 6 2 2 2" xfId="12952"/>
    <cellStyle name="40% - akcent 4 6 2 3" xfId="9662"/>
    <cellStyle name="40% - akcent 4 6 3" xfId="6316"/>
    <cellStyle name="40% - akcent 4 6 3 2" xfId="12951"/>
    <cellStyle name="40% - akcent 4 6 4" xfId="9661"/>
    <cellStyle name="40% - akcent 4 60" xfId="2475"/>
    <cellStyle name="40% - akcent 4 60 2" xfId="6318"/>
    <cellStyle name="40% - akcent 4 60 2 2" xfId="12953"/>
    <cellStyle name="40% - akcent 4 60 3" xfId="9663"/>
    <cellStyle name="40% - akcent 4 61" xfId="2476"/>
    <cellStyle name="40% - akcent 4 61 2" xfId="6319"/>
    <cellStyle name="40% - akcent 4 61 2 2" xfId="12954"/>
    <cellStyle name="40% - akcent 4 61 3" xfId="9664"/>
    <cellStyle name="40% - akcent 4 62" xfId="2477"/>
    <cellStyle name="40% - akcent 4 62 2" xfId="6320"/>
    <cellStyle name="40% - akcent 4 62 2 2" xfId="12955"/>
    <cellStyle name="40% - akcent 4 62 3" xfId="9665"/>
    <cellStyle name="40% - akcent 4 63" xfId="2478"/>
    <cellStyle name="40% - akcent 4 63 2" xfId="6321"/>
    <cellStyle name="40% - akcent 4 63 2 2" xfId="12956"/>
    <cellStyle name="40% - akcent 4 63 3" xfId="9666"/>
    <cellStyle name="40% - akcent 4 64" xfId="2479"/>
    <cellStyle name="40% - akcent 4 64 2" xfId="6322"/>
    <cellStyle name="40% - akcent 4 64 2 2" xfId="12957"/>
    <cellStyle name="40% - akcent 4 64 3" xfId="9667"/>
    <cellStyle name="40% - akcent 4 65" xfId="2480"/>
    <cellStyle name="40% - akcent 4 65 2" xfId="6323"/>
    <cellStyle name="40% - akcent 4 65 2 2" xfId="12958"/>
    <cellStyle name="40% - akcent 4 65 3" xfId="9668"/>
    <cellStyle name="40% - akcent 4 66" xfId="2481"/>
    <cellStyle name="40% - akcent 4 66 2" xfId="6324"/>
    <cellStyle name="40% - akcent 4 66 2 2" xfId="12959"/>
    <cellStyle name="40% - akcent 4 66 3" xfId="9669"/>
    <cellStyle name="40% - akcent 4 67" xfId="2482"/>
    <cellStyle name="40% - akcent 4 67 2" xfId="6325"/>
    <cellStyle name="40% - akcent 4 67 2 2" xfId="12960"/>
    <cellStyle name="40% - akcent 4 67 3" xfId="9670"/>
    <cellStyle name="40% - akcent 4 68" xfId="2483"/>
    <cellStyle name="40% - akcent 4 68 2" xfId="6326"/>
    <cellStyle name="40% - akcent 4 68 2 2" xfId="12961"/>
    <cellStyle name="40% - akcent 4 68 3" xfId="9671"/>
    <cellStyle name="40% - akcent 4 69" xfId="2484"/>
    <cellStyle name="40% - akcent 4 69 2" xfId="6327"/>
    <cellStyle name="40% - akcent 4 69 2 2" xfId="12962"/>
    <cellStyle name="40% - akcent 4 69 3" xfId="9672"/>
    <cellStyle name="40% - akcent 4 7" xfId="2485"/>
    <cellStyle name="40% - akcent 4 7 2" xfId="2486"/>
    <cellStyle name="40% - akcent 4 7 2 2" xfId="6329"/>
    <cellStyle name="40% - akcent 4 7 2 2 2" xfId="12964"/>
    <cellStyle name="40% - akcent 4 7 2 3" xfId="9674"/>
    <cellStyle name="40% - akcent 4 7 3" xfId="6328"/>
    <cellStyle name="40% - akcent 4 7 3 2" xfId="12963"/>
    <cellStyle name="40% - akcent 4 7 4" xfId="9673"/>
    <cellStyle name="40% - akcent 4 70" xfId="2487"/>
    <cellStyle name="40% - akcent 4 70 2" xfId="6330"/>
    <cellStyle name="40% - akcent 4 70 2 2" xfId="12965"/>
    <cellStyle name="40% - akcent 4 70 3" xfId="9675"/>
    <cellStyle name="40% - akcent 4 71" xfId="2488"/>
    <cellStyle name="40% - akcent 4 71 2" xfId="6331"/>
    <cellStyle name="40% - akcent 4 71 2 2" xfId="12966"/>
    <cellStyle name="40% - akcent 4 71 3" xfId="9676"/>
    <cellStyle name="40% - akcent 4 72" xfId="2489"/>
    <cellStyle name="40% - akcent 4 72 2" xfId="6332"/>
    <cellStyle name="40% - akcent 4 72 2 2" xfId="12967"/>
    <cellStyle name="40% - akcent 4 72 3" xfId="9677"/>
    <cellStyle name="40% - akcent 4 73" xfId="2490"/>
    <cellStyle name="40% - akcent 4 73 2" xfId="6333"/>
    <cellStyle name="40% - akcent 4 73 2 2" xfId="12968"/>
    <cellStyle name="40% - akcent 4 73 3" xfId="9678"/>
    <cellStyle name="40% - akcent 4 74" xfId="2491"/>
    <cellStyle name="40% - akcent 4 74 2" xfId="6334"/>
    <cellStyle name="40% - akcent 4 74 2 2" xfId="12969"/>
    <cellStyle name="40% - akcent 4 74 3" xfId="9679"/>
    <cellStyle name="40% - akcent 4 75" xfId="2492"/>
    <cellStyle name="40% - akcent 4 75 2" xfId="6335"/>
    <cellStyle name="40% - akcent 4 75 2 2" xfId="12970"/>
    <cellStyle name="40% - akcent 4 75 3" xfId="9680"/>
    <cellStyle name="40% - akcent 4 76" xfId="2493"/>
    <cellStyle name="40% - akcent 4 76 2" xfId="6336"/>
    <cellStyle name="40% - akcent 4 76 2 2" xfId="12971"/>
    <cellStyle name="40% - akcent 4 76 3" xfId="9681"/>
    <cellStyle name="40% - akcent 4 77" xfId="2494"/>
    <cellStyle name="40% - akcent 4 77 2" xfId="6337"/>
    <cellStyle name="40% - akcent 4 77 2 2" xfId="12972"/>
    <cellStyle name="40% - akcent 4 77 3" xfId="9682"/>
    <cellStyle name="40% - akcent 4 78" xfId="2495"/>
    <cellStyle name="40% - akcent 4 78 2" xfId="6338"/>
    <cellStyle name="40% - akcent 4 78 2 2" xfId="12973"/>
    <cellStyle name="40% - akcent 4 78 3" xfId="9683"/>
    <cellStyle name="40% - akcent 4 79" xfId="2496"/>
    <cellStyle name="40% - akcent 4 79 2" xfId="6339"/>
    <cellStyle name="40% - akcent 4 79 2 2" xfId="12974"/>
    <cellStyle name="40% - akcent 4 79 3" xfId="9684"/>
    <cellStyle name="40% - akcent 4 8" xfId="2497"/>
    <cellStyle name="40% - akcent 4 8 2" xfId="2498"/>
    <cellStyle name="40% - akcent 4 8 2 2" xfId="6341"/>
    <cellStyle name="40% - akcent 4 8 2 2 2" xfId="12976"/>
    <cellStyle name="40% - akcent 4 8 2 3" xfId="9686"/>
    <cellStyle name="40% - akcent 4 8 3" xfId="6340"/>
    <cellStyle name="40% - akcent 4 8 3 2" xfId="12975"/>
    <cellStyle name="40% - akcent 4 8 4" xfId="9685"/>
    <cellStyle name="40% - akcent 4 80" xfId="2499"/>
    <cellStyle name="40% - akcent 4 80 2" xfId="6342"/>
    <cellStyle name="40% - akcent 4 80 2 2" xfId="12977"/>
    <cellStyle name="40% - akcent 4 80 3" xfId="9687"/>
    <cellStyle name="40% - akcent 4 81" xfId="2500"/>
    <cellStyle name="40% - akcent 4 81 2" xfId="6343"/>
    <cellStyle name="40% - akcent 4 81 2 2" xfId="12978"/>
    <cellStyle name="40% - akcent 4 81 3" xfId="9688"/>
    <cellStyle name="40% - akcent 4 82" xfId="2501"/>
    <cellStyle name="40% - akcent 4 82 2" xfId="6344"/>
    <cellStyle name="40% - akcent 4 82 2 2" xfId="12979"/>
    <cellStyle name="40% - akcent 4 82 3" xfId="9689"/>
    <cellStyle name="40% - akcent 4 83" xfId="2502"/>
    <cellStyle name="40% - akcent 4 83 2" xfId="6345"/>
    <cellStyle name="40% - akcent 4 83 2 2" xfId="12980"/>
    <cellStyle name="40% - akcent 4 83 3" xfId="9690"/>
    <cellStyle name="40% - akcent 4 84" xfId="2503"/>
    <cellStyle name="40% - akcent 4 84 2" xfId="6346"/>
    <cellStyle name="40% - akcent 4 84 2 2" xfId="12981"/>
    <cellStyle name="40% - akcent 4 84 3" xfId="9691"/>
    <cellStyle name="40% - akcent 4 85" xfId="2504"/>
    <cellStyle name="40% - akcent 4 85 2" xfId="6347"/>
    <cellStyle name="40% - akcent 4 85 2 2" xfId="12982"/>
    <cellStyle name="40% - akcent 4 85 3" xfId="9692"/>
    <cellStyle name="40% - akcent 4 86" xfId="2505"/>
    <cellStyle name="40% - akcent 4 86 2" xfId="6348"/>
    <cellStyle name="40% - akcent 4 86 2 2" xfId="12983"/>
    <cellStyle name="40% - akcent 4 86 3" xfId="9693"/>
    <cellStyle name="40% - akcent 4 87" xfId="2506"/>
    <cellStyle name="40% - akcent 4 87 2" xfId="6349"/>
    <cellStyle name="40% - akcent 4 87 2 2" xfId="12984"/>
    <cellStyle name="40% - akcent 4 87 3" xfId="9694"/>
    <cellStyle name="40% - akcent 4 88" xfId="2507"/>
    <cellStyle name="40% - akcent 4 88 2" xfId="6350"/>
    <cellStyle name="40% - akcent 4 88 2 2" xfId="12985"/>
    <cellStyle name="40% - akcent 4 88 3" xfId="9695"/>
    <cellStyle name="40% - akcent 4 89" xfId="2508"/>
    <cellStyle name="40% - akcent 4 89 2" xfId="6351"/>
    <cellStyle name="40% - akcent 4 89 2 2" xfId="12986"/>
    <cellStyle name="40% - akcent 4 89 3" xfId="9696"/>
    <cellStyle name="40% - akcent 4 9" xfId="2509"/>
    <cellStyle name="40% - akcent 4 9 2" xfId="2510"/>
    <cellStyle name="40% - akcent 4 9 2 2" xfId="6353"/>
    <cellStyle name="40% - akcent 4 9 2 2 2" xfId="12988"/>
    <cellStyle name="40% - akcent 4 9 2 3" xfId="9698"/>
    <cellStyle name="40% - akcent 4 9 3" xfId="6352"/>
    <cellStyle name="40% - akcent 4 9 3 2" xfId="12987"/>
    <cellStyle name="40% - akcent 4 9 4" xfId="9697"/>
    <cellStyle name="40% - akcent 4 90" xfId="2511"/>
    <cellStyle name="40% - akcent 4 90 2" xfId="6354"/>
    <cellStyle name="40% - akcent 4 90 2 2" xfId="12989"/>
    <cellStyle name="40% - akcent 4 90 3" xfId="9699"/>
    <cellStyle name="40% - akcent 4 91" xfId="2512"/>
    <cellStyle name="40% - akcent 4 91 2" xfId="6355"/>
    <cellStyle name="40% - akcent 4 91 2 2" xfId="12990"/>
    <cellStyle name="40% - akcent 4 91 3" xfId="9700"/>
    <cellStyle name="40% - akcent 4 92" xfId="2513"/>
    <cellStyle name="40% - akcent 4 92 2" xfId="6356"/>
    <cellStyle name="40% - akcent 4 92 2 2" xfId="12991"/>
    <cellStyle name="40% - akcent 4 92 3" xfId="9701"/>
    <cellStyle name="40% - akcent 4 93" xfId="2514"/>
    <cellStyle name="40% - akcent 4 93 2" xfId="6357"/>
    <cellStyle name="40% - akcent 4 93 2 2" xfId="12992"/>
    <cellStyle name="40% - akcent 4 93 3" xfId="9702"/>
    <cellStyle name="40% - akcent 4 94" xfId="2515"/>
    <cellStyle name="40% - akcent 4 94 2" xfId="6358"/>
    <cellStyle name="40% - akcent 4 94 2 2" xfId="12993"/>
    <cellStyle name="40% - akcent 4 94 3" xfId="9703"/>
    <cellStyle name="40% - akcent 4 95" xfId="2516"/>
    <cellStyle name="40% - akcent 4 95 2" xfId="6359"/>
    <cellStyle name="40% - akcent 4 95 2 2" xfId="12994"/>
    <cellStyle name="40% - akcent 4 95 3" xfId="9704"/>
    <cellStyle name="40% - akcent 4 96" xfId="2517"/>
    <cellStyle name="40% - akcent 4 96 2" xfId="6360"/>
    <cellStyle name="40% - akcent 4 96 2 2" xfId="12995"/>
    <cellStyle name="40% - akcent 4 96 3" xfId="9705"/>
    <cellStyle name="40% - akcent 4 97" xfId="2518"/>
    <cellStyle name="40% - akcent 4 97 2" xfId="6361"/>
    <cellStyle name="40% - akcent 4 97 2 2" xfId="12996"/>
    <cellStyle name="40% - akcent 4 97 3" xfId="9706"/>
    <cellStyle name="40% - akcent 4 98" xfId="2519"/>
    <cellStyle name="40% - akcent 4 98 2" xfId="6362"/>
    <cellStyle name="40% - akcent 4 98 2 2" xfId="12997"/>
    <cellStyle name="40% - akcent 4 98 3" xfId="9707"/>
    <cellStyle name="40% - akcent 4 99" xfId="2520"/>
    <cellStyle name="40% - akcent 4 99 2" xfId="6363"/>
    <cellStyle name="40% - akcent 4 99 2 2" xfId="12998"/>
    <cellStyle name="40% - akcent 4 99 3" xfId="9708"/>
    <cellStyle name="40% - akcent 5" xfId="2521" builtinId="47" customBuiltin="1"/>
    <cellStyle name="40% - akcent 5 10" xfId="2522"/>
    <cellStyle name="40% - akcent 5 10 2" xfId="2523"/>
    <cellStyle name="40% - akcent 5 10 2 2" xfId="6365"/>
    <cellStyle name="40% - akcent 5 10 2 2 2" xfId="13000"/>
    <cellStyle name="40% - akcent 5 10 2 3" xfId="9710"/>
    <cellStyle name="40% - akcent 5 10 3" xfId="6364"/>
    <cellStyle name="40% - akcent 5 10 3 2" xfId="12999"/>
    <cellStyle name="40% - akcent 5 10 4" xfId="9709"/>
    <cellStyle name="40% - akcent 5 100" xfId="2524"/>
    <cellStyle name="40% - akcent 5 100 2" xfId="6366"/>
    <cellStyle name="40% - akcent 5 100 2 2" xfId="13001"/>
    <cellStyle name="40% - akcent 5 100 3" xfId="9711"/>
    <cellStyle name="40% - akcent 5 101" xfId="2525"/>
    <cellStyle name="40% - akcent 5 101 2" xfId="6367"/>
    <cellStyle name="40% - akcent 5 101 2 2" xfId="13002"/>
    <cellStyle name="40% - akcent 5 101 3" xfId="9712"/>
    <cellStyle name="40% - akcent 5 102" xfId="2526"/>
    <cellStyle name="40% - akcent 5 102 2" xfId="6368"/>
    <cellStyle name="40% - akcent 5 102 2 2" xfId="13003"/>
    <cellStyle name="40% - akcent 5 102 3" xfId="9713"/>
    <cellStyle name="40% - akcent 5 103" xfId="2527"/>
    <cellStyle name="40% - akcent 5 103 2" xfId="6369"/>
    <cellStyle name="40% - akcent 5 103 2 2" xfId="13004"/>
    <cellStyle name="40% - akcent 5 103 3" xfId="9714"/>
    <cellStyle name="40% - akcent 5 104" xfId="2528"/>
    <cellStyle name="40% - akcent 5 104 2" xfId="6370"/>
    <cellStyle name="40% - akcent 5 104 2 2" xfId="13005"/>
    <cellStyle name="40% - akcent 5 104 3" xfId="9715"/>
    <cellStyle name="40% - akcent 5 105" xfId="2529"/>
    <cellStyle name="40% - akcent 5 105 2" xfId="6371"/>
    <cellStyle name="40% - akcent 5 105 2 2" xfId="13006"/>
    <cellStyle name="40% - akcent 5 105 3" xfId="9716"/>
    <cellStyle name="40% - akcent 5 106" xfId="2530"/>
    <cellStyle name="40% - akcent 5 106 2" xfId="6372"/>
    <cellStyle name="40% - akcent 5 106 2 2" xfId="13007"/>
    <cellStyle name="40% - akcent 5 106 3" xfId="9717"/>
    <cellStyle name="40% - akcent 5 107" xfId="2531"/>
    <cellStyle name="40% - akcent 5 107 2" xfId="6373"/>
    <cellStyle name="40% - akcent 5 107 2 2" xfId="13008"/>
    <cellStyle name="40% - akcent 5 107 3" xfId="9718"/>
    <cellStyle name="40% - akcent 5 108" xfId="2532"/>
    <cellStyle name="40% - akcent 5 108 2" xfId="6374"/>
    <cellStyle name="40% - akcent 5 108 2 2" xfId="13009"/>
    <cellStyle name="40% - akcent 5 108 3" xfId="9719"/>
    <cellStyle name="40% - akcent 5 109" xfId="2533"/>
    <cellStyle name="40% - akcent 5 109 2" xfId="6375"/>
    <cellStyle name="40% - akcent 5 109 2 2" xfId="13010"/>
    <cellStyle name="40% - akcent 5 109 3" xfId="9720"/>
    <cellStyle name="40% - akcent 5 11" xfId="2534"/>
    <cellStyle name="40% - akcent 5 11 2" xfId="2535"/>
    <cellStyle name="40% - akcent 5 11 2 2" xfId="6377"/>
    <cellStyle name="40% - akcent 5 11 2 2 2" xfId="13012"/>
    <cellStyle name="40% - akcent 5 11 2 3" xfId="9722"/>
    <cellStyle name="40% - akcent 5 11 3" xfId="6376"/>
    <cellStyle name="40% - akcent 5 11 3 2" xfId="13011"/>
    <cellStyle name="40% - akcent 5 11 4" xfId="9721"/>
    <cellStyle name="40% - akcent 5 110" xfId="2536"/>
    <cellStyle name="40% - akcent 5 110 2" xfId="6378"/>
    <cellStyle name="40% - akcent 5 110 2 2" xfId="13013"/>
    <cellStyle name="40% - akcent 5 110 3" xfId="9723"/>
    <cellStyle name="40% - akcent 5 111" xfId="2537"/>
    <cellStyle name="40% - akcent 5 111 2" xfId="6379"/>
    <cellStyle name="40% - akcent 5 111 2 2" xfId="13014"/>
    <cellStyle name="40% - akcent 5 111 3" xfId="9724"/>
    <cellStyle name="40% - akcent 5 112" xfId="2538"/>
    <cellStyle name="40% - akcent 5 112 2" xfId="6380"/>
    <cellStyle name="40% - akcent 5 112 2 2" xfId="13015"/>
    <cellStyle name="40% - akcent 5 112 3" xfId="9725"/>
    <cellStyle name="40% - akcent 5 113" xfId="2539"/>
    <cellStyle name="40% - akcent 5 113 2" xfId="6381"/>
    <cellStyle name="40% - akcent 5 113 2 2" xfId="13016"/>
    <cellStyle name="40% - akcent 5 113 3" xfId="9726"/>
    <cellStyle name="40% - akcent 5 114" xfId="2540"/>
    <cellStyle name="40% - akcent 5 114 2" xfId="6382"/>
    <cellStyle name="40% - akcent 5 114 2 2" xfId="13017"/>
    <cellStyle name="40% - akcent 5 114 3" xfId="9727"/>
    <cellStyle name="40% - akcent 5 115" xfId="2541"/>
    <cellStyle name="40% - akcent 5 115 2" xfId="6383"/>
    <cellStyle name="40% - akcent 5 115 2 2" xfId="13018"/>
    <cellStyle name="40% - akcent 5 115 3" xfId="9728"/>
    <cellStyle name="40% - akcent 5 116" xfId="2542"/>
    <cellStyle name="40% - akcent 5 116 2" xfId="6384"/>
    <cellStyle name="40% - akcent 5 116 2 2" xfId="13019"/>
    <cellStyle name="40% - akcent 5 116 3" xfId="9729"/>
    <cellStyle name="40% - akcent 5 117" xfId="2543"/>
    <cellStyle name="40% - akcent 5 117 2" xfId="6385"/>
    <cellStyle name="40% - akcent 5 117 2 2" xfId="13020"/>
    <cellStyle name="40% - akcent 5 117 3" xfId="9730"/>
    <cellStyle name="40% - akcent 5 118" xfId="2544"/>
    <cellStyle name="40% - akcent 5 118 2" xfId="6386"/>
    <cellStyle name="40% - akcent 5 118 2 2" xfId="13021"/>
    <cellStyle name="40% - akcent 5 118 3" xfId="9731"/>
    <cellStyle name="40% - akcent 5 119" xfId="2545"/>
    <cellStyle name="40% - akcent 5 119 2" xfId="6387"/>
    <cellStyle name="40% - akcent 5 119 2 2" xfId="13022"/>
    <cellStyle name="40% - akcent 5 119 3" xfId="9732"/>
    <cellStyle name="40% - akcent 5 12" xfId="2546"/>
    <cellStyle name="40% - akcent 5 12 2" xfId="2547"/>
    <cellStyle name="40% - akcent 5 12 2 2" xfId="6389"/>
    <cellStyle name="40% - akcent 5 12 2 2 2" xfId="13024"/>
    <cellStyle name="40% - akcent 5 12 2 3" xfId="9734"/>
    <cellStyle name="40% - akcent 5 12 3" xfId="6388"/>
    <cellStyle name="40% - akcent 5 12 3 2" xfId="13023"/>
    <cellStyle name="40% - akcent 5 12 4" xfId="9733"/>
    <cellStyle name="40% - akcent 5 120" xfId="2548"/>
    <cellStyle name="40% - akcent 5 120 2" xfId="6390"/>
    <cellStyle name="40% - akcent 5 120 2 2" xfId="13025"/>
    <cellStyle name="40% - akcent 5 120 3" xfId="9735"/>
    <cellStyle name="40% - akcent 5 121" xfId="2549"/>
    <cellStyle name="40% - akcent 5 121 2" xfId="6391"/>
    <cellStyle name="40% - akcent 5 121 2 2" xfId="13026"/>
    <cellStyle name="40% - akcent 5 121 3" xfId="9736"/>
    <cellStyle name="40% - akcent 5 122" xfId="2550"/>
    <cellStyle name="40% - akcent 5 122 2" xfId="6392"/>
    <cellStyle name="40% - akcent 5 122 2 2" xfId="13027"/>
    <cellStyle name="40% - akcent 5 122 3" xfId="9737"/>
    <cellStyle name="40% - akcent 5 123" xfId="2551"/>
    <cellStyle name="40% - akcent 5 123 2" xfId="6393"/>
    <cellStyle name="40% - akcent 5 123 2 2" xfId="13028"/>
    <cellStyle name="40% - akcent 5 123 3" xfId="9738"/>
    <cellStyle name="40% - akcent 5 124" xfId="2552"/>
    <cellStyle name="40% - akcent 5 124 2" xfId="6394"/>
    <cellStyle name="40% - akcent 5 124 2 2" xfId="13029"/>
    <cellStyle name="40% - akcent 5 124 3" xfId="9739"/>
    <cellStyle name="40% - akcent 5 125" xfId="2553"/>
    <cellStyle name="40% - akcent 5 125 2" xfId="6395"/>
    <cellStyle name="40% - akcent 5 125 2 2" xfId="13030"/>
    <cellStyle name="40% - akcent 5 125 3" xfId="9740"/>
    <cellStyle name="40% - akcent 5 126" xfId="2554"/>
    <cellStyle name="40% - akcent 5 126 2" xfId="6396"/>
    <cellStyle name="40% - akcent 5 126 2 2" xfId="13031"/>
    <cellStyle name="40% - akcent 5 126 3" xfId="9741"/>
    <cellStyle name="40% - akcent 5 127" xfId="2555"/>
    <cellStyle name="40% - akcent 5 127 2" xfId="6397"/>
    <cellStyle name="40% - akcent 5 127 2 2" xfId="13032"/>
    <cellStyle name="40% - akcent 5 127 3" xfId="9742"/>
    <cellStyle name="40% - akcent 5 128" xfId="2556"/>
    <cellStyle name="40% - akcent 5 128 2" xfId="6398"/>
    <cellStyle name="40% - akcent 5 128 2 2" xfId="13033"/>
    <cellStyle name="40% - akcent 5 128 3" xfId="9743"/>
    <cellStyle name="40% - akcent 5 129" xfId="2557"/>
    <cellStyle name="40% - akcent 5 129 2" xfId="6399"/>
    <cellStyle name="40% - akcent 5 129 2 2" xfId="13034"/>
    <cellStyle name="40% - akcent 5 129 3" xfId="9744"/>
    <cellStyle name="40% - akcent 5 13" xfId="2558"/>
    <cellStyle name="40% - akcent 5 13 2" xfId="2559"/>
    <cellStyle name="40% - akcent 5 13 2 2" xfId="6401"/>
    <cellStyle name="40% - akcent 5 13 2 2 2" xfId="13036"/>
    <cellStyle name="40% - akcent 5 13 2 3" xfId="9746"/>
    <cellStyle name="40% - akcent 5 13 3" xfId="6400"/>
    <cellStyle name="40% - akcent 5 13 3 2" xfId="13035"/>
    <cellStyle name="40% - akcent 5 13 4" xfId="9745"/>
    <cellStyle name="40% - akcent 5 130" xfId="2560"/>
    <cellStyle name="40% - akcent 5 130 2" xfId="6402"/>
    <cellStyle name="40% - akcent 5 130 2 2" xfId="13037"/>
    <cellStyle name="40% - akcent 5 130 3" xfId="9747"/>
    <cellStyle name="40% - akcent 5 131" xfId="2561"/>
    <cellStyle name="40% - akcent 5 131 2" xfId="6403"/>
    <cellStyle name="40% - akcent 5 131 2 2" xfId="13038"/>
    <cellStyle name="40% - akcent 5 131 3" xfId="9748"/>
    <cellStyle name="40% - akcent 5 132" xfId="2562"/>
    <cellStyle name="40% - akcent 5 132 2" xfId="6404"/>
    <cellStyle name="40% - akcent 5 132 2 2" xfId="13039"/>
    <cellStyle name="40% - akcent 5 132 3" xfId="9749"/>
    <cellStyle name="40% - akcent 5 133" xfId="2563"/>
    <cellStyle name="40% - akcent 5 133 2" xfId="6405"/>
    <cellStyle name="40% - akcent 5 133 2 2" xfId="13040"/>
    <cellStyle name="40% - akcent 5 133 3" xfId="9750"/>
    <cellStyle name="40% - akcent 5 134" xfId="2564"/>
    <cellStyle name="40% - akcent 5 134 2" xfId="6406"/>
    <cellStyle name="40% - akcent 5 134 2 2" xfId="13041"/>
    <cellStyle name="40% - akcent 5 134 3" xfId="9751"/>
    <cellStyle name="40% - akcent 5 135" xfId="2565"/>
    <cellStyle name="40% - akcent 5 135 2" xfId="6407"/>
    <cellStyle name="40% - akcent 5 135 2 2" xfId="13042"/>
    <cellStyle name="40% - akcent 5 135 3" xfId="9752"/>
    <cellStyle name="40% - akcent 5 136" xfId="2566"/>
    <cellStyle name="40% - akcent 5 136 2" xfId="6408"/>
    <cellStyle name="40% - akcent 5 136 2 2" xfId="13043"/>
    <cellStyle name="40% - akcent 5 136 3" xfId="9753"/>
    <cellStyle name="40% - akcent 5 137" xfId="2567"/>
    <cellStyle name="40% - akcent 5 137 2" xfId="6409"/>
    <cellStyle name="40% - akcent 5 137 2 2" xfId="13044"/>
    <cellStyle name="40% - akcent 5 137 3" xfId="9754"/>
    <cellStyle name="40% - akcent 5 138" xfId="2568"/>
    <cellStyle name="40% - akcent 5 138 2" xfId="6410"/>
    <cellStyle name="40% - akcent 5 138 2 2" xfId="13045"/>
    <cellStyle name="40% - akcent 5 138 3" xfId="9755"/>
    <cellStyle name="40% - akcent 5 139" xfId="2569"/>
    <cellStyle name="40% - akcent 5 139 2" xfId="6411"/>
    <cellStyle name="40% - akcent 5 139 2 2" xfId="13046"/>
    <cellStyle name="40% - akcent 5 139 3" xfId="9756"/>
    <cellStyle name="40% - akcent 5 14" xfId="2570"/>
    <cellStyle name="40% - akcent 5 14 2" xfId="2571"/>
    <cellStyle name="40% - akcent 5 14 2 2" xfId="6413"/>
    <cellStyle name="40% - akcent 5 14 2 2 2" xfId="13048"/>
    <cellStyle name="40% - akcent 5 14 2 3" xfId="9758"/>
    <cellStyle name="40% - akcent 5 14 3" xfId="6412"/>
    <cellStyle name="40% - akcent 5 14 3 2" xfId="13047"/>
    <cellStyle name="40% - akcent 5 14 4" xfId="9757"/>
    <cellStyle name="40% - akcent 5 140" xfId="2572"/>
    <cellStyle name="40% - akcent 5 140 2" xfId="6414"/>
    <cellStyle name="40% - akcent 5 140 2 2" xfId="13049"/>
    <cellStyle name="40% - akcent 5 140 3" xfId="9759"/>
    <cellStyle name="40% - akcent 5 141" xfId="2573"/>
    <cellStyle name="40% - akcent 5 141 2" xfId="6415"/>
    <cellStyle name="40% - akcent 5 141 2 2" xfId="13050"/>
    <cellStyle name="40% - akcent 5 141 3" xfId="9760"/>
    <cellStyle name="40% - akcent 5 142" xfId="2574"/>
    <cellStyle name="40% - akcent 5 142 2" xfId="6416"/>
    <cellStyle name="40% - akcent 5 142 2 2" xfId="13051"/>
    <cellStyle name="40% - akcent 5 142 3" xfId="9761"/>
    <cellStyle name="40% - akcent 5 143" xfId="2575"/>
    <cellStyle name="40% - akcent 5 143 2" xfId="6417"/>
    <cellStyle name="40% - akcent 5 143 2 2" xfId="13052"/>
    <cellStyle name="40% - akcent 5 143 3" xfId="9762"/>
    <cellStyle name="40% - akcent 5 144" xfId="2576"/>
    <cellStyle name="40% - akcent 5 144 2" xfId="6418"/>
    <cellStyle name="40% - akcent 5 144 2 2" xfId="13053"/>
    <cellStyle name="40% - akcent 5 144 3" xfId="9763"/>
    <cellStyle name="40% - akcent 5 145" xfId="2577"/>
    <cellStyle name="40% - akcent 5 145 2" xfId="6419"/>
    <cellStyle name="40% - akcent 5 145 2 2" xfId="13054"/>
    <cellStyle name="40% - akcent 5 145 3" xfId="9764"/>
    <cellStyle name="40% - akcent 5 146" xfId="2578"/>
    <cellStyle name="40% - akcent 5 146 2" xfId="6420"/>
    <cellStyle name="40% - akcent 5 146 2 2" xfId="13055"/>
    <cellStyle name="40% - akcent 5 146 3" xfId="9765"/>
    <cellStyle name="40% - akcent 5 147" xfId="2579"/>
    <cellStyle name="40% - akcent 5 147 2" xfId="6421"/>
    <cellStyle name="40% - akcent 5 147 2 2" xfId="13056"/>
    <cellStyle name="40% - akcent 5 147 3" xfId="9766"/>
    <cellStyle name="40% - akcent 5 148" xfId="2580"/>
    <cellStyle name="40% - akcent 5 148 2" xfId="6422"/>
    <cellStyle name="40% - akcent 5 148 2 2" xfId="13057"/>
    <cellStyle name="40% - akcent 5 148 3" xfId="9767"/>
    <cellStyle name="40% - akcent 5 149" xfId="2581"/>
    <cellStyle name="40% - akcent 5 149 2" xfId="6423"/>
    <cellStyle name="40% - akcent 5 149 2 2" xfId="13058"/>
    <cellStyle name="40% - akcent 5 149 3" xfId="9768"/>
    <cellStyle name="40% - akcent 5 15" xfId="2582"/>
    <cellStyle name="40% - akcent 5 15 2" xfId="2583"/>
    <cellStyle name="40% - akcent 5 15 2 2" xfId="6425"/>
    <cellStyle name="40% - akcent 5 15 2 2 2" xfId="13060"/>
    <cellStyle name="40% - akcent 5 15 2 3" xfId="9770"/>
    <cellStyle name="40% - akcent 5 15 3" xfId="6424"/>
    <cellStyle name="40% - akcent 5 15 3 2" xfId="13059"/>
    <cellStyle name="40% - akcent 5 15 4" xfId="9769"/>
    <cellStyle name="40% - akcent 5 150" xfId="2584"/>
    <cellStyle name="40% - akcent 5 150 2" xfId="6426"/>
    <cellStyle name="40% - akcent 5 150 2 2" xfId="13061"/>
    <cellStyle name="40% - akcent 5 150 3" xfId="9771"/>
    <cellStyle name="40% - akcent 5 151" xfId="2585"/>
    <cellStyle name="40% - akcent 5 151 2" xfId="6427"/>
    <cellStyle name="40% - akcent 5 151 2 2" xfId="13062"/>
    <cellStyle name="40% - akcent 5 151 3" xfId="9772"/>
    <cellStyle name="40% - akcent 5 152" xfId="2586"/>
    <cellStyle name="40% - akcent 5 152 2" xfId="6428"/>
    <cellStyle name="40% - akcent 5 152 2 2" xfId="13063"/>
    <cellStyle name="40% - akcent 5 152 3" xfId="9773"/>
    <cellStyle name="40% - akcent 5 153" xfId="2587"/>
    <cellStyle name="40% - akcent 5 153 2" xfId="6429"/>
    <cellStyle name="40% - akcent 5 153 2 2" xfId="13064"/>
    <cellStyle name="40% - akcent 5 153 3" xfId="9774"/>
    <cellStyle name="40% - akcent 5 154" xfId="2588"/>
    <cellStyle name="40% - akcent 5 154 2" xfId="6430"/>
    <cellStyle name="40% - akcent 5 154 2 2" xfId="13065"/>
    <cellStyle name="40% - akcent 5 154 3" xfId="9775"/>
    <cellStyle name="40% - akcent 5 155" xfId="2589"/>
    <cellStyle name="40% - akcent 5 155 2" xfId="6431"/>
    <cellStyle name="40% - akcent 5 155 2 2" xfId="13066"/>
    <cellStyle name="40% - akcent 5 155 3" xfId="9776"/>
    <cellStyle name="40% - akcent 5 156" xfId="2590"/>
    <cellStyle name="40% - akcent 5 156 2" xfId="6432"/>
    <cellStyle name="40% - akcent 5 156 2 2" xfId="13067"/>
    <cellStyle name="40% - akcent 5 156 3" xfId="9777"/>
    <cellStyle name="40% - akcent 5 157" xfId="2591"/>
    <cellStyle name="40% - akcent 5 157 2" xfId="6433"/>
    <cellStyle name="40% - akcent 5 157 2 2" xfId="13068"/>
    <cellStyle name="40% - akcent 5 157 3" xfId="9778"/>
    <cellStyle name="40% - akcent 5 158" xfId="2592"/>
    <cellStyle name="40% - akcent 5 158 2" xfId="6434"/>
    <cellStyle name="40% - akcent 5 158 2 2" xfId="13069"/>
    <cellStyle name="40% - akcent 5 158 3" xfId="9779"/>
    <cellStyle name="40% - akcent 5 159" xfId="2593"/>
    <cellStyle name="40% - akcent 5 159 2" xfId="6435"/>
    <cellStyle name="40% - akcent 5 159 2 2" xfId="13070"/>
    <cellStyle name="40% - akcent 5 159 3" xfId="9780"/>
    <cellStyle name="40% - akcent 5 16" xfId="2594"/>
    <cellStyle name="40% - akcent 5 16 2" xfId="2595"/>
    <cellStyle name="40% - akcent 5 16 2 2" xfId="6437"/>
    <cellStyle name="40% - akcent 5 16 2 2 2" xfId="13072"/>
    <cellStyle name="40% - akcent 5 16 2 3" xfId="9782"/>
    <cellStyle name="40% - akcent 5 16 3" xfId="6436"/>
    <cellStyle name="40% - akcent 5 16 3 2" xfId="13071"/>
    <cellStyle name="40% - akcent 5 16 4" xfId="9781"/>
    <cellStyle name="40% - akcent 5 160" xfId="2596"/>
    <cellStyle name="40% - akcent 5 160 2" xfId="6438"/>
    <cellStyle name="40% - akcent 5 160 2 2" xfId="13073"/>
    <cellStyle name="40% - akcent 5 160 3" xfId="9783"/>
    <cellStyle name="40% - akcent 5 161" xfId="2597"/>
    <cellStyle name="40% - akcent 5 161 2" xfId="6439"/>
    <cellStyle name="40% - akcent 5 161 2 2" xfId="13074"/>
    <cellStyle name="40% - akcent 5 161 3" xfId="9784"/>
    <cellStyle name="40% - akcent 5 162" xfId="2598"/>
    <cellStyle name="40% - akcent 5 162 2" xfId="6440"/>
    <cellStyle name="40% - akcent 5 162 2 2" xfId="13075"/>
    <cellStyle name="40% - akcent 5 162 3" xfId="9785"/>
    <cellStyle name="40% - akcent 5 163" xfId="2599"/>
    <cellStyle name="40% - akcent 5 163 2" xfId="6441"/>
    <cellStyle name="40% - akcent 5 163 2 2" xfId="13076"/>
    <cellStyle name="40% - akcent 5 163 3" xfId="9786"/>
    <cellStyle name="40% - akcent 5 164" xfId="2600"/>
    <cellStyle name="40% - akcent 5 164 2" xfId="6442"/>
    <cellStyle name="40% - akcent 5 164 2 2" xfId="13077"/>
    <cellStyle name="40% - akcent 5 164 3" xfId="9787"/>
    <cellStyle name="40% - akcent 5 165" xfId="2601"/>
    <cellStyle name="40% - akcent 5 165 2" xfId="6443"/>
    <cellStyle name="40% - akcent 5 165 2 2" xfId="13078"/>
    <cellStyle name="40% - akcent 5 165 3" xfId="9788"/>
    <cellStyle name="40% - akcent 5 166" xfId="2602"/>
    <cellStyle name="40% - akcent 5 166 2" xfId="6444"/>
    <cellStyle name="40% - akcent 5 166 2 2" xfId="13079"/>
    <cellStyle name="40% - akcent 5 166 3" xfId="9789"/>
    <cellStyle name="40% - akcent 5 167" xfId="2603"/>
    <cellStyle name="40% - akcent 5 167 2" xfId="6445"/>
    <cellStyle name="40% - akcent 5 167 2 2" xfId="13080"/>
    <cellStyle name="40% - akcent 5 167 3" xfId="9790"/>
    <cellStyle name="40% - akcent 5 168" xfId="2604"/>
    <cellStyle name="40% - akcent 5 168 2" xfId="6446"/>
    <cellStyle name="40% - akcent 5 168 2 2" xfId="13081"/>
    <cellStyle name="40% - akcent 5 168 3" xfId="9791"/>
    <cellStyle name="40% - akcent 5 169" xfId="2605"/>
    <cellStyle name="40% - akcent 5 169 2" xfId="6447"/>
    <cellStyle name="40% - akcent 5 169 2 2" xfId="13082"/>
    <cellStyle name="40% - akcent 5 169 3" xfId="9792"/>
    <cellStyle name="40% - akcent 5 17" xfId="2606"/>
    <cellStyle name="40% - akcent 5 17 2" xfId="2607"/>
    <cellStyle name="40% - akcent 5 17 2 2" xfId="6449"/>
    <cellStyle name="40% - akcent 5 17 2 2 2" xfId="13084"/>
    <cellStyle name="40% - akcent 5 17 2 3" xfId="9794"/>
    <cellStyle name="40% - akcent 5 17 3" xfId="6448"/>
    <cellStyle name="40% - akcent 5 17 3 2" xfId="13083"/>
    <cellStyle name="40% - akcent 5 17 4" xfId="9793"/>
    <cellStyle name="40% - akcent 5 170" xfId="2608"/>
    <cellStyle name="40% - akcent 5 170 2" xfId="6450"/>
    <cellStyle name="40% - akcent 5 170 2 2" xfId="13085"/>
    <cellStyle name="40% - akcent 5 170 3" xfId="9795"/>
    <cellStyle name="40% - akcent 5 171" xfId="2609"/>
    <cellStyle name="40% - akcent 5 171 2" xfId="6451"/>
    <cellStyle name="40% - akcent 5 171 2 2" xfId="13086"/>
    <cellStyle name="40% - akcent 5 171 3" xfId="9796"/>
    <cellStyle name="40% - akcent 5 172" xfId="2610"/>
    <cellStyle name="40% - akcent 5 172 2" xfId="6452"/>
    <cellStyle name="40% - akcent 5 172 2 2" xfId="13087"/>
    <cellStyle name="40% - akcent 5 172 3" xfId="9797"/>
    <cellStyle name="40% - akcent 5 173" xfId="2611"/>
    <cellStyle name="40% - akcent 5 173 2" xfId="6453"/>
    <cellStyle name="40% - akcent 5 173 2 2" xfId="13088"/>
    <cellStyle name="40% - akcent 5 173 3" xfId="9798"/>
    <cellStyle name="40% - akcent 5 174" xfId="2612"/>
    <cellStyle name="40% - akcent 5 174 2" xfId="6454"/>
    <cellStyle name="40% - akcent 5 174 2 2" xfId="13089"/>
    <cellStyle name="40% - akcent 5 174 3" xfId="9799"/>
    <cellStyle name="40% - akcent 5 175" xfId="2613"/>
    <cellStyle name="40% - akcent 5 175 2" xfId="6455"/>
    <cellStyle name="40% - akcent 5 175 2 2" xfId="13090"/>
    <cellStyle name="40% - akcent 5 175 3" xfId="9800"/>
    <cellStyle name="40% - akcent 5 176" xfId="2614"/>
    <cellStyle name="40% - akcent 5 176 2" xfId="6456"/>
    <cellStyle name="40% - akcent 5 176 2 2" xfId="13091"/>
    <cellStyle name="40% - akcent 5 176 3" xfId="9801"/>
    <cellStyle name="40% - akcent 5 177" xfId="2615"/>
    <cellStyle name="40% - akcent 5 177 2" xfId="6457"/>
    <cellStyle name="40% - akcent 5 177 2 2" xfId="13092"/>
    <cellStyle name="40% - akcent 5 177 3" xfId="9802"/>
    <cellStyle name="40% - akcent 5 178" xfId="2616"/>
    <cellStyle name="40% - akcent 5 178 2" xfId="6458"/>
    <cellStyle name="40% - akcent 5 178 2 2" xfId="13093"/>
    <cellStyle name="40% - akcent 5 178 3" xfId="9803"/>
    <cellStyle name="40% - akcent 5 179" xfId="2617"/>
    <cellStyle name="40% - akcent 5 179 2" xfId="6459"/>
    <cellStyle name="40% - akcent 5 179 2 2" xfId="13094"/>
    <cellStyle name="40% - akcent 5 179 3" xfId="9804"/>
    <cellStyle name="40% - akcent 5 18" xfId="2618"/>
    <cellStyle name="40% - akcent 5 18 2" xfId="2619"/>
    <cellStyle name="40% - akcent 5 18 2 2" xfId="6461"/>
    <cellStyle name="40% - akcent 5 18 2 2 2" xfId="13096"/>
    <cellStyle name="40% - akcent 5 18 2 3" xfId="9806"/>
    <cellStyle name="40% - akcent 5 18 3" xfId="6460"/>
    <cellStyle name="40% - akcent 5 18 3 2" xfId="13095"/>
    <cellStyle name="40% - akcent 5 18 4" xfId="9805"/>
    <cellStyle name="40% - akcent 5 180" xfId="2620"/>
    <cellStyle name="40% - akcent 5 180 2" xfId="6462"/>
    <cellStyle name="40% - akcent 5 180 2 2" xfId="13097"/>
    <cellStyle name="40% - akcent 5 180 3" xfId="9807"/>
    <cellStyle name="40% - akcent 5 181" xfId="2621"/>
    <cellStyle name="40% - akcent 5 181 2" xfId="6463"/>
    <cellStyle name="40% - akcent 5 181 2 2" xfId="13098"/>
    <cellStyle name="40% - akcent 5 181 3" xfId="9808"/>
    <cellStyle name="40% - akcent 5 182" xfId="2622"/>
    <cellStyle name="40% - akcent 5 182 2" xfId="6464"/>
    <cellStyle name="40% - akcent 5 182 2 2" xfId="13099"/>
    <cellStyle name="40% - akcent 5 182 3" xfId="9809"/>
    <cellStyle name="40% - akcent 5 183" xfId="2623"/>
    <cellStyle name="40% - akcent 5 183 2" xfId="6465"/>
    <cellStyle name="40% - akcent 5 183 2 2" xfId="13100"/>
    <cellStyle name="40% - akcent 5 183 3" xfId="9810"/>
    <cellStyle name="40% - akcent 5 184" xfId="2624"/>
    <cellStyle name="40% - akcent 5 184 2" xfId="6466"/>
    <cellStyle name="40% - akcent 5 184 2 2" xfId="13101"/>
    <cellStyle name="40% - akcent 5 184 3" xfId="9811"/>
    <cellStyle name="40% - akcent 5 185" xfId="2625"/>
    <cellStyle name="40% - akcent 5 185 2" xfId="6467"/>
    <cellStyle name="40% - akcent 5 185 2 2" xfId="13102"/>
    <cellStyle name="40% - akcent 5 185 3" xfId="9812"/>
    <cellStyle name="40% - akcent 5 186" xfId="2626"/>
    <cellStyle name="40% - akcent 5 186 2" xfId="6468"/>
    <cellStyle name="40% - akcent 5 186 2 2" xfId="13103"/>
    <cellStyle name="40% - akcent 5 186 3" xfId="9813"/>
    <cellStyle name="40% - akcent 5 187" xfId="2627"/>
    <cellStyle name="40% - akcent 5 187 2" xfId="6469"/>
    <cellStyle name="40% - akcent 5 187 2 2" xfId="13104"/>
    <cellStyle name="40% - akcent 5 187 3" xfId="9814"/>
    <cellStyle name="40% - akcent 5 188" xfId="2628"/>
    <cellStyle name="40% - akcent 5 188 2" xfId="6470"/>
    <cellStyle name="40% - akcent 5 188 2 2" xfId="13105"/>
    <cellStyle name="40% - akcent 5 188 3" xfId="9815"/>
    <cellStyle name="40% - akcent 5 189" xfId="2629"/>
    <cellStyle name="40% - akcent 5 189 2" xfId="6471"/>
    <cellStyle name="40% - akcent 5 189 2 2" xfId="13106"/>
    <cellStyle name="40% - akcent 5 189 3" xfId="9816"/>
    <cellStyle name="40% - akcent 5 19" xfId="2630"/>
    <cellStyle name="40% - akcent 5 19 2" xfId="2631"/>
    <cellStyle name="40% - akcent 5 19 2 2" xfId="6473"/>
    <cellStyle name="40% - akcent 5 19 2 2 2" xfId="13108"/>
    <cellStyle name="40% - akcent 5 19 2 3" xfId="9818"/>
    <cellStyle name="40% - akcent 5 19 3" xfId="6472"/>
    <cellStyle name="40% - akcent 5 19 3 2" xfId="13107"/>
    <cellStyle name="40% - akcent 5 19 4" xfId="9817"/>
    <cellStyle name="40% - akcent 5 190" xfId="2632"/>
    <cellStyle name="40% - akcent 5 190 2" xfId="6474"/>
    <cellStyle name="40% - akcent 5 190 2 2" xfId="13109"/>
    <cellStyle name="40% - akcent 5 190 3" xfId="9819"/>
    <cellStyle name="40% - akcent 5 191" xfId="2633"/>
    <cellStyle name="40% - akcent 5 191 2" xfId="6475"/>
    <cellStyle name="40% - akcent 5 191 2 2" xfId="13110"/>
    <cellStyle name="40% - akcent 5 191 3" xfId="9820"/>
    <cellStyle name="40% - akcent 5 192" xfId="2634"/>
    <cellStyle name="40% - akcent 5 192 2" xfId="6476"/>
    <cellStyle name="40% - akcent 5 192 2 2" xfId="13111"/>
    <cellStyle name="40% - akcent 5 192 3" xfId="9821"/>
    <cellStyle name="40% - akcent 5 193" xfId="2635"/>
    <cellStyle name="40% - akcent 5 193 2" xfId="6477"/>
    <cellStyle name="40% - akcent 5 193 2 2" xfId="13112"/>
    <cellStyle name="40% - akcent 5 193 3" xfId="9822"/>
    <cellStyle name="40% - akcent 5 194" xfId="2636"/>
    <cellStyle name="40% - akcent 5 194 2" xfId="6478"/>
    <cellStyle name="40% - akcent 5 194 2 2" xfId="13113"/>
    <cellStyle name="40% - akcent 5 194 3" xfId="9823"/>
    <cellStyle name="40% - akcent 5 195" xfId="3846"/>
    <cellStyle name="40% - akcent 5 195 2" xfId="10481"/>
    <cellStyle name="40% - akcent 5 196" xfId="7127"/>
    <cellStyle name="40% - akcent 5 197" xfId="7195"/>
    <cellStyle name="40% - akcent 5 2" xfId="2637"/>
    <cellStyle name="40% - akcent 5 2 2" xfId="2638"/>
    <cellStyle name="40% - akcent 5 2 2 2" xfId="6480"/>
    <cellStyle name="40% - akcent 5 2 2 2 2" xfId="13115"/>
    <cellStyle name="40% - akcent 5 2 2 3" xfId="9825"/>
    <cellStyle name="40% - akcent 5 2 3" xfId="6479"/>
    <cellStyle name="40% - akcent 5 2 3 2" xfId="13114"/>
    <cellStyle name="40% - akcent 5 2 4" xfId="9824"/>
    <cellStyle name="40% - akcent 5 20" xfId="2639"/>
    <cellStyle name="40% - akcent 5 20 2" xfId="2640"/>
    <cellStyle name="40% - akcent 5 20 2 2" xfId="6482"/>
    <cellStyle name="40% - akcent 5 20 2 2 2" xfId="13117"/>
    <cellStyle name="40% - akcent 5 20 2 3" xfId="9827"/>
    <cellStyle name="40% - akcent 5 20 3" xfId="6481"/>
    <cellStyle name="40% - akcent 5 20 3 2" xfId="13116"/>
    <cellStyle name="40% - akcent 5 20 4" xfId="9826"/>
    <cellStyle name="40% - akcent 5 21" xfId="2641"/>
    <cellStyle name="40% - akcent 5 21 2" xfId="2642"/>
    <cellStyle name="40% - akcent 5 21 2 2" xfId="6484"/>
    <cellStyle name="40% - akcent 5 21 2 2 2" xfId="13119"/>
    <cellStyle name="40% - akcent 5 21 2 3" xfId="9829"/>
    <cellStyle name="40% - akcent 5 21 3" xfId="6483"/>
    <cellStyle name="40% - akcent 5 21 3 2" xfId="13118"/>
    <cellStyle name="40% - akcent 5 21 4" xfId="9828"/>
    <cellStyle name="40% - akcent 5 22" xfId="2643"/>
    <cellStyle name="40% - akcent 5 22 2" xfId="2644"/>
    <cellStyle name="40% - akcent 5 22 2 2" xfId="6486"/>
    <cellStyle name="40% - akcent 5 22 2 2 2" xfId="13121"/>
    <cellStyle name="40% - akcent 5 22 2 3" xfId="9831"/>
    <cellStyle name="40% - akcent 5 22 3" xfId="6485"/>
    <cellStyle name="40% - akcent 5 22 3 2" xfId="13120"/>
    <cellStyle name="40% - akcent 5 22 4" xfId="9830"/>
    <cellStyle name="40% - akcent 5 23" xfId="2645"/>
    <cellStyle name="40% - akcent 5 23 2" xfId="2646"/>
    <cellStyle name="40% - akcent 5 23 2 2" xfId="6488"/>
    <cellStyle name="40% - akcent 5 23 2 2 2" xfId="13123"/>
    <cellStyle name="40% - akcent 5 23 2 3" xfId="9833"/>
    <cellStyle name="40% - akcent 5 23 3" xfId="6487"/>
    <cellStyle name="40% - akcent 5 23 3 2" xfId="13122"/>
    <cellStyle name="40% - akcent 5 23 4" xfId="9832"/>
    <cellStyle name="40% - akcent 5 24" xfId="2647"/>
    <cellStyle name="40% - akcent 5 24 2" xfId="2648"/>
    <cellStyle name="40% - akcent 5 24 2 2" xfId="6490"/>
    <cellStyle name="40% - akcent 5 24 2 2 2" xfId="13125"/>
    <cellStyle name="40% - akcent 5 24 2 3" xfId="9835"/>
    <cellStyle name="40% - akcent 5 24 3" xfId="6489"/>
    <cellStyle name="40% - akcent 5 24 3 2" xfId="13124"/>
    <cellStyle name="40% - akcent 5 24 4" xfId="9834"/>
    <cellStyle name="40% - akcent 5 25" xfId="2649"/>
    <cellStyle name="40% - akcent 5 25 2" xfId="2650"/>
    <cellStyle name="40% - akcent 5 25 2 2" xfId="6492"/>
    <cellStyle name="40% - akcent 5 25 2 2 2" xfId="13127"/>
    <cellStyle name="40% - akcent 5 25 2 3" xfId="9837"/>
    <cellStyle name="40% - akcent 5 25 3" xfId="6491"/>
    <cellStyle name="40% - akcent 5 25 3 2" xfId="13126"/>
    <cellStyle name="40% - akcent 5 25 4" xfId="9836"/>
    <cellStyle name="40% - akcent 5 26" xfId="2651"/>
    <cellStyle name="40% - akcent 5 26 2" xfId="2652"/>
    <cellStyle name="40% - akcent 5 26 2 2" xfId="6494"/>
    <cellStyle name="40% - akcent 5 26 2 2 2" xfId="13129"/>
    <cellStyle name="40% - akcent 5 26 2 3" xfId="9839"/>
    <cellStyle name="40% - akcent 5 26 3" xfId="6493"/>
    <cellStyle name="40% - akcent 5 26 3 2" xfId="13128"/>
    <cellStyle name="40% - akcent 5 26 4" xfId="9838"/>
    <cellStyle name="40% - akcent 5 27" xfId="2653"/>
    <cellStyle name="40% - akcent 5 27 2" xfId="2654"/>
    <cellStyle name="40% - akcent 5 27 2 2" xfId="6496"/>
    <cellStyle name="40% - akcent 5 27 2 2 2" xfId="13131"/>
    <cellStyle name="40% - akcent 5 27 2 3" xfId="9841"/>
    <cellStyle name="40% - akcent 5 27 3" xfId="6495"/>
    <cellStyle name="40% - akcent 5 27 3 2" xfId="13130"/>
    <cellStyle name="40% - akcent 5 27 4" xfId="9840"/>
    <cellStyle name="40% - akcent 5 28" xfId="2655"/>
    <cellStyle name="40% - akcent 5 28 2" xfId="2656"/>
    <cellStyle name="40% - akcent 5 28 2 2" xfId="6498"/>
    <cellStyle name="40% - akcent 5 28 2 2 2" xfId="13133"/>
    <cellStyle name="40% - akcent 5 28 2 3" xfId="9843"/>
    <cellStyle name="40% - akcent 5 28 3" xfId="6497"/>
    <cellStyle name="40% - akcent 5 28 3 2" xfId="13132"/>
    <cellStyle name="40% - akcent 5 28 4" xfId="9842"/>
    <cellStyle name="40% - akcent 5 29" xfId="2657"/>
    <cellStyle name="40% - akcent 5 29 2" xfId="2658"/>
    <cellStyle name="40% - akcent 5 29 2 2" xfId="6500"/>
    <cellStyle name="40% - akcent 5 29 2 2 2" xfId="13135"/>
    <cellStyle name="40% - akcent 5 29 2 3" xfId="9845"/>
    <cellStyle name="40% - akcent 5 29 3" xfId="6499"/>
    <cellStyle name="40% - akcent 5 29 3 2" xfId="13134"/>
    <cellStyle name="40% - akcent 5 29 4" xfId="9844"/>
    <cellStyle name="40% - akcent 5 3" xfId="2659"/>
    <cellStyle name="40% - akcent 5 3 2" xfId="2660"/>
    <cellStyle name="40% - akcent 5 3 2 2" xfId="6502"/>
    <cellStyle name="40% - akcent 5 3 2 2 2" xfId="13137"/>
    <cellStyle name="40% - akcent 5 3 2 3" xfId="9847"/>
    <cellStyle name="40% - akcent 5 3 3" xfId="6501"/>
    <cellStyle name="40% - akcent 5 3 3 2" xfId="13136"/>
    <cellStyle name="40% - akcent 5 3 4" xfId="9846"/>
    <cellStyle name="40% - akcent 5 30" xfId="2661"/>
    <cellStyle name="40% - akcent 5 30 2" xfId="2662"/>
    <cellStyle name="40% - akcent 5 30 2 2" xfId="6504"/>
    <cellStyle name="40% - akcent 5 30 2 2 2" xfId="13139"/>
    <cellStyle name="40% - akcent 5 30 2 3" xfId="9849"/>
    <cellStyle name="40% - akcent 5 30 3" xfId="6503"/>
    <cellStyle name="40% - akcent 5 30 3 2" xfId="13138"/>
    <cellStyle name="40% - akcent 5 30 4" xfId="9848"/>
    <cellStyle name="40% - akcent 5 31" xfId="2663"/>
    <cellStyle name="40% - akcent 5 31 2" xfId="2664"/>
    <cellStyle name="40% - akcent 5 31 2 2" xfId="6506"/>
    <cellStyle name="40% - akcent 5 31 2 2 2" xfId="13141"/>
    <cellStyle name="40% - akcent 5 31 2 3" xfId="9851"/>
    <cellStyle name="40% - akcent 5 31 3" xfId="6505"/>
    <cellStyle name="40% - akcent 5 31 3 2" xfId="13140"/>
    <cellStyle name="40% - akcent 5 31 4" xfId="9850"/>
    <cellStyle name="40% - akcent 5 32" xfId="2665"/>
    <cellStyle name="40% - akcent 5 32 2" xfId="2666"/>
    <cellStyle name="40% - akcent 5 32 2 2" xfId="6508"/>
    <cellStyle name="40% - akcent 5 32 2 2 2" xfId="13143"/>
    <cellStyle name="40% - akcent 5 32 2 3" xfId="9853"/>
    <cellStyle name="40% - akcent 5 32 3" xfId="6507"/>
    <cellStyle name="40% - akcent 5 32 3 2" xfId="13142"/>
    <cellStyle name="40% - akcent 5 32 4" xfId="9852"/>
    <cellStyle name="40% - akcent 5 33" xfId="2667"/>
    <cellStyle name="40% - akcent 5 33 2" xfId="2668"/>
    <cellStyle name="40% - akcent 5 33 2 2" xfId="6510"/>
    <cellStyle name="40% - akcent 5 33 2 2 2" xfId="13145"/>
    <cellStyle name="40% - akcent 5 33 2 3" xfId="9855"/>
    <cellStyle name="40% - akcent 5 33 3" xfId="6509"/>
    <cellStyle name="40% - akcent 5 33 3 2" xfId="13144"/>
    <cellStyle name="40% - akcent 5 33 4" xfId="9854"/>
    <cellStyle name="40% - akcent 5 34" xfId="2669"/>
    <cellStyle name="40% - akcent 5 34 2" xfId="2670"/>
    <cellStyle name="40% - akcent 5 34 2 2" xfId="6512"/>
    <cellStyle name="40% - akcent 5 34 2 2 2" xfId="13147"/>
    <cellStyle name="40% - akcent 5 34 2 3" xfId="9857"/>
    <cellStyle name="40% - akcent 5 34 3" xfId="6511"/>
    <cellStyle name="40% - akcent 5 34 3 2" xfId="13146"/>
    <cellStyle name="40% - akcent 5 34 4" xfId="9856"/>
    <cellStyle name="40% - akcent 5 35" xfId="2671"/>
    <cellStyle name="40% - akcent 5 35 2" xfId="2672"/>
    <cellStyle name="40% - akcent 5 35 2 2" xfId="6514"/>
    <cellStyle name="40% - akcent 5 35 2 2 2" xfId="13149"/>
    <cellStyle name="40% - akcent 5 35 2 3" xfId="9859"/>
    <cellStyle name="40% - akcent 5 35 3" xfId="6513"/>
    <cellStyle name="40% - akcent 5 35 3 2" xfId="13148"/>
    <cellStyle name="40% - akcent 5 35 4" xfId="9858"/>
    <cellStyle name="40% - akcent 5 36" xfId="2673"/>
    <cellStyle name="40% - akcent 5 36 2" xfId="2674"/>
    <cellStyle name="40% - akcent 5 36 2 2" xfId="6516"/>
    <cellStyle name="40% - akcent 5 36 2 2 2" xfId="13151"/>
    <cellStyle name="40% - akcent 5 36 2 3" xfId="9861"/>
    <cellStyle name="40% - akcent 5 36 3" xfId="6515"/>
    <cellStyle name="40% - akcent 5 36 3 2" xfId="13150"/>
    <cellStyle name="40% - akcent 5 36 4" xfId="9860"/>
    <cellStyle name="40% - akcent 5 37" xfId="2675"/>
    <cellStyle name="40% - akcent 5 37 2" xfId="2676"/>
    <cellStyle name="40% - akcent 5 37 2 2" xfId="6518"/>
    <cellStyle name="40% - akcent 5 37 2 2 2" xfId="13153"/>
    <cellStyle name="40% - akcent 5 37 2 3" xfId="9863"/>
    <cellStyle name="40% - akcent 5 37 3" xfId="6517"/>
    <cellStyle name="40% - akcent 5 37 3 2" xfId="13152"/>
    <cellStyle name="40% - akcent 5 37 4" xfId="9862"/>
    <cellStyle name="40% - akcent 5 38" xfId="2677"/>
    <cellStyle name="40% - akcent 5 38 2" xfId="2678"/>
    <cellStyle name="40% - akcent 5 38 2 2" xfId="6520"/>
    <cellStyle name="40% - akcent 5 38 2 2 2" xfId="13155"/>
    <cellStyle name="40% - akcent 5 38 2 3" xfId="9865"/>
    <cellStyle name="40% - akcent 5 38 3" xfId="6519"/>
    <cellStyle name="40% - akcent 5 38 3 2" xfId="13154"/>
    <cellStyle name="40% - akcent 5 38 4" xfId="9864"/>
    <cellStyle name="40% - akcent 5 39" xfId="2679"/>
    <cellStyle name="40% - akcent 5 39 2" xfId="2680"/>
    <cellStyle name="40% - akcent 5 39 2 2" xfId="6522"/>
    <cellStyle name="40% - akcent 5 39 2 2 2" xfId="13157"/>
    <cellStyle name="40% - akcent 5 39 2 3" xfId="9867"/>
    <cellStyle name="40% - akcent 5 39 3" xfId="6521"/>
    <cellStyle name="40% - akcent 5 39 3 2" xfId="13156"/>
    <cellStyle name="40% - akcent 5 39 4" xfId="9866"/>
    <cellStyle name="40% - akcent 5 4" xfId="2681"/>
    <cellStyle name="40% - akcent 5 4 2" xfId="2682"/>
    <cellStyle name="40% - akcent 5 4 2 2" xfId="6524"/>
    <cellStyle name="40% - akcent 5 4 2 2 2" xfId="13159"/>
    <cellStyle name="40% - akcent 5 4 2 3" xfId="9869"/>
    <cellStyle name="40% - akcent 5 4 3" xfId="6523"/>
    <cellStyle name="40% - akcent 5 4 3 2" xfId="13158"/>
    <cellStyle name="40% - akcent 5 4 4" xfId="9868"/>
    <cellStyle name="40% - akcent 5 40" xfId="2683"/>
    <cellStyle name="40% - akcent 5 40 2" xfId="2684"/>
    <cellStyle name="40% - akcent 5 40 2 2" xfId="6526"/>
    <cellStyle name="40% - akcent 5 40 2 2 2" xfId="13161"/>
    <cellStyle name="40% - akcent 5 40 2 3" xfId="9871"/>
    <cellStyle name="40% - akcent 5 40 3" xfId="6525"/>
    <cellStyle name="40% - akcent 5 40 3 2" xfId="13160"/>
    <cellStyle name="40% - akcent 5 40 4" xfId="9870"/>
    <cellStyle name="40% - akcent 5 41" xfId="2685"/>
    <cellStyle name="40% - akcent 5 41 2" xfId="2686"/>
    <cellStyle name="40% - akcent 5 41 2 2" xfId="6528"/>
    <cellStyle name="40% - akcent 5 41 2 2 2" xfId="13163"/>
    <cellStyle name="40% - akcent 5 41 2 3" xfId="9873"/>
    <cellStyle name="40% - akcent 5 41 3" xfId="6527"/>
    <cellStyle name="40% - akcent 5 41 3 2" xfId="13162"/>
    <cellStyle name="40% - akcent 5 41 4" xfId="9872"/>
    <cellStyle name="40% - akcent 5 42" xfId="2687"/>
    <cellStyle name="40% - akcent 5 42 2" xfId="2688"/>
    <cellStyle name="40% - akcent 5 42 2 2" xfId="6530"/>
    <cellStyle name="40% - akcent 5 42 2 2 2" xfId="13165"/>
    <cellStyle name="40% - akcent 5 42 2 3" xfId="9875"/>
    <cellStyle name="40% - akcent 5 42 3" xfId="6529"/>
    <cellStyle name="40% - akcent 5 42 3 2" xfId="13164"/>
    <cellStyle name="40% - akcent 5 42 4" xfId="9874"/>
    <cellStyle name="40% - akcent 5 43" xfId="2689"/>
    <cellStyle name="40% - akcent 5 43 2" xfId="2690"/>
    <cellStyle name="40% - akcent 5 43 2 2" xfId="6532"/>
    <cellStyle name="40% - akcent 5 43 2 2 2" xfId="13167"/>
    <cellStyle name="40% - akcent 5 43 2 3" xfId="9877"/>
    <cellStyle name="40% - akcent 5 43 3" xfId="6531"/>
    <cellStyle name="40% - akcent 5 43 3 2" xfId="13166"/>
    <cellStyle name="40% - akcent 5 43 4" xfId="9876"/>
    <cellStyle name="40% - akcent 5 44" xfId="2691"/>
    <cellStyle name="40% - akcent 5 44 2" xfId="2692"/>
    <cellStyle name="40% - akcent 5 44 2 2" xfId="6534"/>
    <cellStyle name="40% - akcent 5 44 2 2 2" xfId="13169"/>
    <cellStyle name="40% - akcent 5 44 2 3" xfId="9879"/>
    <cellStyle name="40% - akcent 5 44 3" xfId="6533"/>
    <cellStyle name="40% - akcent 5 44 3 2" xfId="13168"/>
    <cellStyle name="40% - akcent 5 44 4" xfId="9878"/>
    <cellStyle name="40% - akcent 5 45" xfId="2693"/>
    <cellStyle name="40% - akcent 5 45 2" xfId="2694"/>
    <cellStyle name="40% - akcent 5 45 2 2" xfId="6536"/>
    <cellStyle name="40% - akcent 5 45 2 2 2" xfId="13171"/>
    <cellStyle name="40% - akcent 5 45 2 3" xfId="9881"/>
    <cellStyle name="40% - akcent 5 45 3" xfId="6535"/>
    <cellStyle name="40% - akcent 5 45 3 2" xfId="13170"/>
    <cellStyle name="40% - akcent 5 45 4" xfId="9880"/>
    <cellStyle name="40% - akcent 5 46" xfId="2695"/>
    <cellStyle name="40% - akcent 5 46 2" xfId="2696"/>
    <cellStyle name="40% - akcent 5 46 2 2" xfId="6538"/>
    <cellStyle name="40% - akcent 5 46 2 2 2" xfId="13173"/>
    <cellStyle name="40% - akcent 5 46 2 3" xfId="9883"/>
    <cellStyle name="40% - akcent 5 46 3" xfId="6537"/>
    <cellStyle name="40% - akcent 5 46 3 2" xfId="13172"/>
    <cellStyle name="40% - akcent 5 46 4" xfId="9882"/>
    <cellStyle name="40% - akcent 5 47" xfId="2697"/>
    <cellStyle name="40% - akcent 5 47 2" xfId="2698"/>
    <cellStyle name="40% - akcent 5 47 2 2" xfId="6540"/>
    <cellStyle name="40% - akcent 5 47 2 2 2" xfId="13175"/>
    <cellStyle name="40% - akcent 5 47 2 3" xfId="9885"/>
    <cellStyle name="40% - akcent 5 47 3" xfId="6539"/>
    <cellStyle name="40% - akcent 5 47 3 2" xfId="13174"/>
    <cellStyle name="40% - akcent 5 47 4" xfId="9884"/>
    <cellStyle name="40% - akcent 5 48" xfId="2699"/>
    <cellStyle name="40% - akcent 5 48 2" xfId="2700"/>
    <cellStyle name="40% - akcent 5 48 2 2" xfId="6542"/>
    <cellStyle name="40% - akcent 5 48 2 2 2" xfId="13177"/>
    <cellStyle name="40% - akcent 5 48 2 3" xfId="9887"/>
    <cellStyle name="40% - akcent 5 48 3" xfId="6541"/>
    <cellStyle name="40% - akcent 5 48 3 2" xfId="13176"/>
    <cellStyle name="40% - akcent 5 48 4" xfId="9886"/>
    <cellStyle name="40% - akcent 5 49" xfId="2701"/>
    <cellStyle name="40% - akcent 5 49 2" xfId="2702"/>
    <cellStyle name="40% - akcent 5 49 2 2" xfId="6544"/>
    <cellStyle name="40% - akcent 5 49 2 2 2" xfId="13179"/>
    <cellStyle name="40% - akcent 5 49 2 3" xfId="9889"/>
    <cellStyle name="40% - akcent 5 49 3" xfId="6543"/>
    <cellStyle name="40% - akcent 5 49 3 2" xfId="13178"/>
    <cellStyle name="40% - akcent 5 49 4" xfId="9888"/>
    <cellStyle name="40% - akcent 5 5" xfId="2703"/>
    <cellStyle name="40% - akcent 5 5 2" xfId="2704"/>
    <cellStyle name="40% - akcent 5 5 2 2" xfId="6546"/>
    <cellStyle name="40% - akcent 5 5 2 2 2" xfId="13181"/>
    <cellStyle name="40% - akcent 5 5 2 3" xfId="9891"/>
    <cellStyle name="40% - akcent 5 5 3" xfId="6545"/>
    <cellStyle name="40% - akcent 5 5 3 2" xfId="13180"/>
    <cellStyle name="40% - akcent 5 5 4" xfId="9890"/>
    <cellStyle name="40% - akcent 5 50" xfId="2705"/>
    <cellStyle name="40% - akcent 5 50 2" xfId="2706"/>
    <cellStyle name="40% - akcent 5 50 2 2" xfId="6548"/>
    <cellStyle name="40% - akcent 5 50 2 2 2" xfId="13183"/>
    <cellStyle name="40% - akcent 5 50 2 3" xfId="9893"/>
    <cellStyle name="40% - akcent 5 50 3" xfId="6547"/>
    <cellStyle name="40% - akcent 5 50 3 2" xfId="13182"/>
    <cellStyle name="40% - akcent 5 50 4" xfId="9892"/>
    <cellStyle name="40% - akcent 5 51" xfId="2707"/>
    <cellStyle name="40% - akcent 5 51 2" xfId="2708"/>
    <cellStyle name="40% - akcent 5 51 2 2" xfId="6550"/>
    <cellStyle name="40% - akcent 5 51 2 2 2" xfId="13185"/>
    <cellStyle name="40% - akcent 5 51 2 3" xfId="9895"/>
    <cellStyle name="40% - akcent 5 51 3" xfId="6549"/>
    <cellStyle name="40% - akcent 5 51 3 2" xfId="13184"/>
    <cellStyle name="40% - akcent 5 51 4" xfId="9894"/>
    <cellStyle name="40% - akcent 5 52" xfId="2709"/>
    <cellStyle name="40% - akcent 5 52 2" xfId="2710"/>
    <cellStyle name="40% - akcent 5 52 2 2" xfId="6552"/>
    <cellStyle name="40% - akcent 5 52 2 2 2" xfId="13187"/>
    <cellStyle name="40% - akcent 5 52 2 3" xfId="9897"/>
    <cellStyle name="40% - akcent 5 52 3" xfId="6551"/>
    <cellStyle name="40% - akcent 5 52 3 2" xfId="13186"/>
    <cellStyle name="40% - akcent 5 52 4" xfId="9896"/>
    <cellStyle name="40% - akcent 5 53" xfId="2711"/>
    <cellStyle name="40% - akcent 5 53 2" xfId="2712"/>
    <cellStyle name="40% - akcent 5 53 2 2" xfId="6554"/>
    <cellStyle name="40% - akcent 5 53 2 2 2" xfId="13189"/>
    <cellStyle name="40% - akcent 5 53 2 3" xfId="9899"/>
    <cellStyle name="40% - akcent 5 53 3" xfId="6553"/>
    <cellStyle name="40% - akcent 5 53 3 2" xfId="13188"/>
    <cellStyle name="40% - akcent 5 53 4" xfId="9898"/>
    <cellStyle name="40% - akcent 5 54" xfId="2713"/>
    <cellStyle name="40% - akcent 5 54 2" xfId="2714"/>
    <cellStyle name="40% - akcent 5 54 2 2" xfId="6556"/>
    <cellStyle name="40% - akcent 5 54 2 2 2" xfId="13191"/>
    <cellStyle name="40% - akcent 5 54 2 3" xfId="9901"/>
    <cellStyle name="40% - akcent 5 54 3" xfId="6555"/>
    <cellStyle name="40% - akcent 5 54 3 2" xfId="13190"/>
    <cellStyle name="40% - akcent 5 54 4" xfId="9900"/>
    <cellStyle name="40% - akcent 5 55" xfId="2715"/>
    <cellStyle name="40% - akcent 5 55 2" xfId="2716"/>
    <cellStyle name="40% - akcent 5 55 2 2" xfId="6558"/>
    <cellStyle name="40% - akcent 5 55 2 2 2" xfId="13193"/>
    <cellStyle name="40% - akcent 5 55 2 3" xfId="9903"/>
    <cellStyle name="40% - akcent 5 55 3" xfId="6557"/>
    <cellStyle name="40% - akcent 5 55 3 2" xfId="13192"/>
    <cellStyle name="40% - akcent 5 55 4" xfId="9902"/>
    <cellStyle name="40% - akcent 5 56" xfId="2717"/>
    <cellStyle name="40% - akcent 5 56 2" xfId="2718"/>
    <cellStyle name="40% - akcent 5 56 2 2" xfId="6560"/>
    <cellStyle name="40% - akcent 5 56 2 2 2" xfId="13195"/>
    <cellStyle name="40% - akcent 5 56 2 3" xfId="9905"/>
    <cellStyle name="40% - akcent 5 56 3" xfId="6559"/>
    <cellStyle name="40% - akcent 5 56 3 2" xfId="13194"/>
    <cellStyle name="40% - akcent 5 56 4" xfId="9904"/>
    <cellStyle name="40% - akcent 5 57" xfId="2719"/>
    <cellStyle name="40% - akcent 5 57 2" xfId="2720"/>
    <cellStyle name="40% - akcent 5 57 2 2" xfId="6562"/>
    <cellStyle name="40% - akcent 5 57 2 2 2" xfId="13197"/>
    <cellStyle name="40% - akcent 5 57 2 3" xfId="9907"/>
    <cellStyle name="40% - akcent 5 57 3" xfId="6561"/>
    <cellStyle name="40% - akcent 5 57 3 2" xfId="13196"/>
    <cellStyle name="40% - akcent 5 57 4" xfId="9906"/>
    <cellStyle name="40% - akcent 5 58" xfId="2721"/>
    <cellStyle name="40% - akcent 5 58 2" xfId="2722"/>
    <cellStyle name="40% - akcent 5 58 2 2" xfId="6564"/>
    <cellStyle name="40% - akcent 5 58 2 2 2" xfId="13199"/>
    <cellStyle name="40% - akcent 5 58 2 3" xfId="9909"/>
    <cellStyle name="40% - akcent 5 58 3" xfId="6563"/>
    <cellStyle name="40% - akcent 5 58 3 2" xfId="13198"/>
    <cellStyle name="40% - akcent 5 58 4" xfId="9908"/>
    <cellStyle name="40% - akcent 5 59" xfId="2723"/>
    <cellStyle name="40% - akcent 5 59 2" xfId="2724"/>
    <cellStyle name="40% - akcent 5 59 2 2" xfId="6566"/>
    <cellStyle name="40% - akcent 5 59 2 2 2" xfId="13201"/>
    <cellStyle name="40% - akcent 5 59 2 3" xfId="9911"/>
    <cellStyle name="40% - akcent 5 59 3" xfId="6565"/>
    <cellStyle name="40% - akcent 5 59 3 2" xfId="13200"/>
    <cellStyle name="40% - akcent 5 59 4" xfId="9910"/>
    <cellStyle name="40% - akcent 5 6" xfId="2725"/>
    <cellStyle name="40% - akcent 5 6 2" xfId="2726"/>
    <cellStyle name="40% - akcent 5 6 2 2" xfId="6568"/>
    <cellStyle name="40% - akcent 5 6 2 2 2" xfId="13203"/>
    <cellStyle name="40% - akcent 5 6 2 3" xfId="9913"/>
    <cellStyle name="40% - akcent 5 6 3" xfId="6567"/>
    <cellStyle name="40% - akcent 5 6 3 2" xfId="13202"/>
    <cellStyle name="40% - akcent 5 6 4" xfId="9912"/>
    <cellStyle name="40% - akcent 5 60" xfId="2727"/>
    <cellStyle name="40% - akcent 5 60 2" xfId="6569"/>
    <cellStyle name="40% - akcent 5 60 2 2" xfId="13204"/>
    <cellStyle name="40% - akcent 5 60 3" xfId="9914"/>
    <cellStyle name="40% - akcent 5 61" xfId="2728"/>
    <cellStyle name="40% - akcent 5 61 2" xfId="6570"/>
    <cellStyle name="40% - akcent 5 61 2 2" xfId="13205"/>
    <cellStyle name="40% - akcent 5 61 3" xfId="9915"/>
    <cellStyle name="40% - akcent 5 62" xfId="2729"/>
    <cellStyle name="40% - akcent 5 62 2" xfId="6571"/>
    <cellStyle name="40% - akcent 5 62 2 2" xfId="13206"/>
    <cellStyle name="40% - akcent 5 62 3" xfId="9916"/>
    <cellStyle name="40% - akcent 5 63" xfId="2730"/>
    <cellStyle name="40% - akcent 5 63 2" xfId="6572"/>
    <cellStyle name="40% - akcent 5 63 2 2" xfId="13207"/>
    <cellStyle name="40% - akcent 5 63 3" xfId="9917"/>
    <cellStyle name="40% - akcent 5 64" xfId="2731"/>
    <cellStyle name="40% - akcent 5 64 2" xfId="6573"/>
    <cellStyle name="40% - akcent 5 64 2 2" xfId="13208"/>
    <cellStyle name="40% - akcent 5 64 3" xfId="9918"/>
    <cellStyle name="40% - akcent 5 65" xfId="2732"/>
    <cellStyle name="40% - akcent 5 65 2" xfId="6574"/>
    <cellStyle name="40% - akcent 5 65 2 2" xfId="13209"/>
    <cellStyle name="40% - akcent 5 65 3" xfId="9919"/>
    <cellStyle name="40% - akcent 5 66" xfId="2733"/>
    <cellStyle name="40% - akcent 5 66 2" xfId="6575"/>
    <cellStyle name="40% - akcent 5 66 2 2" xfId="13210"/>
    <cellStyle name="40% - akcent 5 66 3" xfId="9920"/>
    <cellStyle name="40% - akcent 5 67" xfId="2734"/>
    <cellStyle name="40% - akcent 5 67 2" xfId="6576"/>
    <cellStyle name="40% - akcent 5 67 2 2" xfId="13211"/>
    <cellStyle name="40% - akcent 5 67 3" xfId="9921"/>
    <cellStyle name="40% - akcent 5 68" xfId="2735"/>
    <cellStyle name="40% - akcent 5 68 2" xfId="6577"/>
    <cellStyle name="40% - akcent 5 68 2 2" xfId="13212"/>
    <cellStyle name="40% - akcent 5 68 3" xfId="9922"/>
    <cellStyle name="40% - akcent 5 69" xfId="2736"/>
    <cellStyle name="40% - akcent 5 69 2" xfId="6578"/>
    <cellStyle name="40% - akcent 5 69 2 2" xfId="13213"/>
    <cellStyle name="40% - akcent 5 69 3" xfId="9923"/>
    <cellStyle name="40% - akcent 5 7" xfId="2737"/>
    <cellStyle name="40% - akcent 5 7 2" xfId="2738"/>
    <cellStyle name="40% - akcent 5 7 2 2" xfId="6580"/>
    <cellStyle name="40% - akcent 5 7 2 2 2" xfId="13215"/>
    <cellStyle name="40% - akcent 5 7 2 3" xfId="9925"/>
    <cellStyle name="40% - akcent 5 7 3" xfId="6579"/>
    <cellStyle name="40% - akcent 5 7 3 2" xfId="13214"/>
    <cellStyle name="40% - akcent 5 7 4" xfId="9924"/>
    <cellStyle name="40% - akcent 5 70" xfId="2739"/>
    <cellStyle name="40% - akcent 5 70 2" xfId="6581"/>
    <cellStyle name="40% - akcent 5 70 2 2" xfId="13216"/>
    <cellStyle name="40% - akcent 5 70 3" xfId="9926"/>
    <cellStyle name="40% - akcent 5 71" xfId="2740"/>
    <cellStyle name="40% - akcent 5 71 2" xfId="6582"/>
    <cellStyle name="40% - akcent 5 71 2 2" xfId="13217"/>
    <cellStyle name="40% - akcent 5 71 3" xfId="9927"/>
    <cellStyle name="40% - akcent 5 72" xfId="2741"/>
    <cellStyle name="40% - akcent 5 72 2" xfId="6583"/>
    <cellStyle name="40% - akcent 5 72 2 2" xfId="13218"/>
    <cellStyle name="40% - akcent 5 72 3" xfId="9928"/>
    <cellStyle name="40% - akcent 5 73" xfId="2742"/>
    <cellStyle name="40% - akcent 5 73 2" xfId="6584"/>
    <cellStyle name="40% - akcent 5 73 2 2" xfId="13219"/>
    <cellStyle name="40% - akcent 5 73 3" xfId="9929"/>
    <cellStyle name="40% - akcent 5 74" xfId="2743"/>
    <cellStyle name="40% - akcent 5 74 2" xfId="6585"/>
    <cellStyle name="40% - akcent 5 74 2 2" xfId="13220"/>
    <cellStyle name="40% - akcent 5 74 3" xfId="9930"/>
    <cellStyle name="40% - akcent 5 75" xfId="2744"/>
    <cellStyle name="40% - akcent 5 75 2" xfId="6586"/>
    <cellStyle name="40% - akcent 5 75 2 2" xfId="13221"/>
    <cellStyle name="40% - akcent 5 75 3" xfId="9931"/>
    <cellStyle name="40% - akcent 5 76" xfId="2745"/>
    <cellStyle name="40% - akcent 5 76 2" xfId="6587"/>
    <cellStyle name="40% - akcent 5 76 2 2" xfId="13222"/>
    <cellStyle name="40% - akcent 5 76 3" xfId="9932"/>
    <cellStyle name="40% - akcent 5 77" xfId="2746"/>
    <cellStyle name="40% - akcent 5 77 2" xfId="6588"/>
    <cellStyle name="40% - akcent 5 77 2 2" xfId="13223"/>
    <cellStyle name="40% - akcent 5 77 3" xfId="9933"/>
    <cellStyle name="40% - akcent 5 78" xfId="2747"/>
    <cellStyle name="40% - akcent 5 78 2" xfId="6589"/>
    <cellStyle name="40% - akcent 5 78 2 2" xfId="13224"/>
    <cellStyle name="40% - akcent 5 78 3" xfId="9934"/>
    <cellStyle name="40% - akcent 5 79" xfId="2748"/>
    <cellStyle name="40% - akcent 5 79 2" xfId="6590"/>
    <cellStyle name="40% - akcent 5 79 2 2" xfId="13225"/>
    <cellStyle name="40% - akcent 5 79 3" xfId="9935"/>
    <cellStyle name="40% - akcent 5 8" xfId="2749"/>
    <cellStyle name="40% - akcent 5 8 2" xfId="2750"/>
    <cellStyle name="40% - akcent 5 8 2 2" xfId="6592"/>
    <cellStyle name="40% - akcent 5 8 2 2 2" xfId="13227"/>
    <cellStyle name="40% - akcent 5 8 2 3" xfId="9937"/>
    <cellStyle name="40% - akcent 5 8 3" xfId="6591"/>
    <cellStyle name="40% - akcent 5 8 3 2" xfId="13226"/>
    <cellStyle name="40% - akcent 5 8 4" xfId="9936"/>
    <cellStyle name="40% - akcent 5 80" xfId="2751"/>
    <cellStyle name="40% - akcent 5 80 2" xfId="6593"/>
    <cellStyle name="40% - akcent 5 80 2 2" xfId="13228"/>
    <cellStyle name="40% - akcent 5 80 3" xfId="9938"/>
    <cellStyle name="40% - akcent 5 81" xfId="2752"/>
    <cellStyle name="40% - akcent 5 81 2" xfId="6594"/>
    <cellStyle name="40% - akcent 5 81 2 2" xfId="13229"/>
    <cellStyle name="40% - akcent 5 81 3" xfId="9939"/>
    <cellStyle name="40% - akcent 5 82" xfId="2753"/>
    <cellStyle name="40% - akcent 5 82 2" xfId="6595"/>
    <cellStyle name="40% - akcent 5 82 2 2" xfId="13230"/>
    <cellStyle name="40% - akcent 5 82 3" xfId="9940"/>
    <cellStyle name="40% - akcent 5 83" xfId="2754"/>
    <cellStyle name="40% - akcent 5 83 2" xfId="6596"/>
    <cellStyle name="40% - akcent 5 83 2 2" xfId="13231"/>
    <cellStyle name="40% - akcent 5 83 3" xfId="9941"/>
    <cellStyle name="40% - akcent 5 84" xfId="2755"/>
    <cellStyle name="40% - akcent 5 84 2" xfId="6597"/>
    <cellStyle name="40% - akcent 5 84 2 2" xfId="13232"/>
    <cellStyle name="40% - akcent 5 84 3" xfId="9942"/>
    <cellStyle name="40% - akcent 5 85" xfId="2756"/>
    <cellStyle name="40% - akcent 5 85 2" xfId="6598"/>
    <cellStyle name="40% - akcent 5 85 2 2" xfId="13233"/>
    <cellStyle name="40% - akcent 5 85 3" xfId="9943"/>
    <cellStyle name="40% - akcent 5 86" xfId="2757"/>
    <cellStyle name="40% - akcent 5 86 2" xfId="6599"/>
    <cellStyle name="40% - akcent 5 86 2 2" xfId="13234"/>
    <cellStyle name="40% - akcent 5 86 3" xfId="9944"/>
    <cellStyle name="40% - akcent 5 87" xfId="2758"/>
    <cellStyle name="40% - akcent 5 87 2" xfId="6600"/>
    <cellStyle name="40% - akcent 5 87 2 2" xfId="13235"/>
    <cellStyle name="40% - akcent 5 87 3" xfId="9945"/>
    <cellStyle name="40% - akcent 5 88" xfId="2759"/>
    <cellStyle name="40% - akcent 5 88 2" xfId="6601"/>
    <cellStyle name="40% - akcent 5 88 2 2" xfId="13236"/>
    <cellStyle name="40% - akcent 5 88 3" xfId="9946"/>
    <cellStyle name="40% - akcent 5 89" xfId="2760"/>
    <cellStyle name="40% - akcent 5 89 2" xfId="6602"/>
    <cellStyle name="40% - akcent 5 89 2 2" xfId="13237"/>
    <cellStyle name="40% - akcent 5 89 3" xfId="9947"/>
    <cellStyle name="40% - akcent 5 9" xfId="2761"/>
    <cellStyle name="40% - akcent 5 9 2" xfId="2762"/>
    <cellStyle name="40% - akcent 5 9 2 2" xfId="6604"/>
    <cellStyle name="40% - akcent 5 9 2 2 2" xfId="13239"/>
    <cellStyle name="40% - akcent 5 9 2 3" xfId="9949"/>
    <cellStyle name="40% - akcent 5 9 3" xfId="6603"/>
    <cellStyle name="40% - akcent 5 9 3 2" xfId="13238"/>
    <cellStyle name="40% - akcent 5 9 4" xfId="9948"/>
    <cellStyle name="40% - akcent 5 90" xfId="2763"/>
    <cellStyle name="40% - akcent 5 90 2" xfId="6605"/>
    <cellStyle name="40% - akcent 5 90 2 2" xfId="13240"/>
    <cellStyle name="40% - akcent 5 90 3" xfId="9950"/>
    <cellStyle name="40% - akcent 5 91" xfId="2764"/>
    <cellStyle name="40% - akcent 5 91 2" xfId="6606"/>
    <cellStyle name="40% - akcent 5 91 2 2" xfId="13241"/>
    <cellStyle name="40% - akcent 5 91 3" xfId="9951"/>
    <cellStyle name="40% - akcent 5 92" xfId="2765"/>
    <cellStyle name="40% - akcent 5 92 2" xfId="6607"/>
    <cellStyle name="40% - akcent 5 92 2 2" xfId="13242"/>
    <cellStyle name="40% - akcent 5 92 3" xfId="9952"/>
    <cellStyle name="40% - akcent 5 93" xfId="2766"/>
    <cellStyle name="40% - akcent 5 93 2" xfId="6608"/>
    <cellStyle name="40% - akcent 5 93 2 2" xfId="13243"/>
    <cellStyle name="40% - akcent 5 93 3" xfId="9953"/>
    <cellStyle name="40% - akcent 5 94" xfId="2767"/>
    <cellStyle name="40% - akcent 5 94 2" xfId="6609"/>
    <cellStyle name="40% - akcent 5 94 2 2" xfId="13244"/>
    <cellStyle name="40% - akcent 5 94 3" xfId="9954"/>
    <cellStyle name="40% - akcent 5 95" xfId="2768"/>
    <cellStyle name="40% - akcent 5 95 2" xfId="6610"/>
    <cellStyle name="40% - akcent 5 95 2 2" xfId="13245"/>
    <cellStyle name="40% - akcent 5 95 3" xfId="9955"/>
    <cellStyle name="40% - akcent 5 96" xfId="2769"/>
    <cellStyle name="40% - akcent 5 96 2" xfId="6611"/>
    <cellStyle name="40% - akcent 5 96 2 2" xfId="13246"/>
    <cellStyle name="40% - akcent 5 96 3" xfId="9956"/>
    <cellStyle name="40% - akcent 5 97" xfId="2770"/>
    <cellStyle name="40% - akcent 5 97 2" xfId="6612"/>
    <cellStyle name="40% - akcent 5 97 2 2" xfId="13247"/>
    <cellStyle name="40% - akcent 5 97 3" xfId="9957"/>
    <cellStyle name="40% - akcent 5 98" xfId="2771"/>
    <cellStyle name="40% - akcent 5 98 2" xfId="6613"/>
    <cellStyle name="40% - akcent 5 98 2 2" xfId="13248"/>
    <cellStyle name="40% - akcent 5 98 3" xfId="9958"/>
    <cellStyle name="40% - akcent 5 99" xfId="2772"/>
    <cellStyle name="40% - akcent 5 99 2" xfId="6614"/>
    <cellStyle name="40% - akcent 5 99 2 2" xfId="13249"/>
    <cellStyle name="40% - akcent 5 99 3" xfId="9959"/>
    <cellStyle name="40% - akcent 6" xfId="2773" builtinId="51" customBuiltin="1"/>
    <cellStyle name="40% - akcent 6 10" xfId="2774"/>
    <cellStyle name="40% - akcent 6 10 2" xfId="2775"/>
    <cellStyle name="40% - akcent 6 10 2 2" xfId="6616"/>
    <cellStyle name="40% - akcent 6 10 2 2 2" xfId="13251"/>
    <cellStyle name="40% - akcent 6 10 2 3" xfId="9961"/>
    <cellStyle name="40% - akcent 6 10 3" xfId="6615"/>
    <cellStyle name="40% - akcent 6 10 3 2" xfId="13250"/>
    <cellStyle name="40% - akcent 6 10 4" xfId="9960"/>
    <cellStyle name="40% - akcent 6 100" xfId="2776"/>
    <cellStyle name="40% - akcent 6 100 2" xfId="6617"/>
    <cellStyle name="40% - akcent 6 100 2 2" xfId="13252"/>
    <cellStyle name="40% - akcent 6 100 3" xfId="9962"/>
    <cellStyle name="40% - akcent 6 101" xfId="2777"/>
    <cellStyle name="40% - akcent 6 101 2" xfId="6618"/>
    <cellStyle name="40% - akcent 6 101 2 2" xfId="13253"/>
    <cellStyle name="40% - akcent 6 101 3" xfId="9963"/>
    <cellStyle name="40% - akcent 6 102" xfId="2778"/>
    <cellStyle name="40% - akcent 6 102 2" xfId="6619"/>
    <cellStyle name="40% - akcent 6 102 2 2" xfId="13254"/>
    <cellStyle name="40% - akcent 6 102 3" xfId="9964"/>
    <cellStyle name="40% - akcent 6 103" xfId="2779"/>
    <cellStyle name="40% - akcent 6 103 2" xfId="6620"/>
    <cellStyle name="40% - akcent 6 103 2 2" xfId="13255"/>
    <cellStyle name="40% - akcent 6 103 3" xfId="9965"/>
    <cellStyle name="40% - akcent 6 104" xfId="2780"/>
    <cellStyle name="40% - akcent 6 104 2" xfId="6621"/>
    <cellStyle name="40% - akcent 6 104 2 2" xfId="13256"/>
    <cellStyle name="40% - akcent 6 104 3" xfId="9966"/>
    <cellStyle name="40% - akcent 6 105" xfId="2781"/>
    <cellStyle name="40% - akcent 6 105 2" xfId="6622"/>
    <cellStyle name="40% - akcent 6 105 2 2" xfId="13257"/>
    <cellStyle name="40% - akcent 6 105 3" xfId="9967"/>
    <cellStyle name="40% - akcent 6 106" xfId="2782"/>
    <cellStyle name="40% - akcent 6 106 2" xfId="6623"/>
    <cellStyle name="40% - akcent 6 106 2 2" xfId="13258"/>
    <cellStyle name="40% - akcent 6 106 3" xfId="9968"/>
    <cellStyle name="40% - akcent 6 107" xfId="2783"/>
    <cellStyle name="40% - akcent 6 107 2" xfId="6624"/>
    <cellStyle name="40% - akcent 6 107 2 2" xfId="13259"/>
    <cellStyle name="40% - akcent 6 107 3" xfId="9969"/>
    <cellStyle name="40% - akcent 6 108" xfId="2784"/>
    <cellStyle name="40% - akcent 6 108 2" xfId="6625"/>
    <cellStyle name="40% - akcent 6 108 2 2" xfId="13260"/>
    <cellStyle name="40% - akcent 6 108 3" xfId="9970"/>
    <cellStyle name="40% - akcent 6 109" xfId="2785"/>
    <cellStyle name="40% - akcent 6 109 2" xfId="6626"/>
    <cellStyle name="40% - akcent 6 109 2 2" xfId="13261"/>
    <cellStyle name="40% - akcent 6 109 3" xfId="9971"/>
    <cellStyle name="40% - akcent 6 11" xfId="2786"/>
    <cellStyle name="40% - akcent 6 11 2" xfId="2787"/>
    <cellStyle name="40% - akcent 6 11 2 2" xfId="6628"/>
    <cellStyle name="40% - akcent 6 11 2 2 2" xfId="13263"/>
    <cellStyle name="40% - akcent 6 11 2 3" xfId="9973"/>
    <cellStyle name="40% - akcent 6 11 3" xfId="6627"/>
    <cellStyle name="40% - akcent 6 11 3 2" xfId="13262"/>
    <cellStyle name="40% - akcent 6 11 4" xfId="9972"/>
    <cellStyle name="40% - akcent 6 110" xfId="2788"/>
    <cellStyle name="40% - akcent 6 110 2" xfId="6629"/>
    <cellStyle name="40% - akcent 6 110 2 2" xfId="13264"/>
    <cellStyle name="40% - akcent 6 110 3" xfId="9974"/>
    <cellStyle name="40% - akcent 6 111" xfId="2789"/>
    <cellStyle name="40% - akcent 6 111 2" xfId="6630"/>
    <cellStyle name="40% - akcent 6 111 2 2" xfId="13265"/>
    <cellStyle name="40% - akcent 6 111 3" xfId="9975"/>
    <cellStyle name="40% - akcent 6 112" xfId="2790"/>
    <cellStyle name="40% - akcent 6 112 2" xfId="6631"/>
    <cellStyle name="40% - akcent 6 112 2 2" xfId="13266"/>
    <cellStyle name="40% - akcent 6 112 3" xfId="9976"/>
    <cellStyle name="40% - akcent 6 113" xfId="2791"/>
    <cellStyle name="40% - akcent 6 113 2" xfId="6632"/>
    <cellStyle name="40% - akcent 6 113 2 2" xfId="13267"/>
    <cellStyle name="40% - akcent 6 113 3" xfId="9977"/>
    <cellStyle name="40% - akcent 6 114" xfId="2792"/>
    <cellStyle name="40% - akcent 6 114 2" xfId="6633"/>
    <cellStyle name="40% - akcent 6 114 2 2" xfId="13268"/>
    <cellStyle name="40% - akcent 6 114 3" xfId="9978"/>
    <cellStyle name="40% - akcent 6 115" xfId="2793"/>
    <cellStyle name="40% - akcent 6 115 2" xfId="6634"/>
    <cellStyle name="40% - akcent 6 115 2 2" xfId="13269"/>
    <cellStyle name="40% - akcent 6 115 3" xfId="9979"/>
    <cellStyle name="40% - akcent 6 116" xfId="2794"/>
    <cellStyle name="40% - akcent 6 116 2" xfId="6635"/>
    <cellStyle name="40% - akcent 6 116 2 2" xfId="13270"/>
    <cellStyle name="40% - akcent 6 116 3" xfId="9980"/>
    <cellStyle name="40% - akcent 6 117" xfId="2795"/>
    <cellStyle name="40% - akcent 6 117 2" xfId="6636"/>
    <cellStyle name="40% - akcent 6 117 2 2" xfId="13271"/>
    <cellStyle name="40% - akcent 6 117 3" xfId="9981"/>
    <cellStyle name="40% - akcent 6 118" xfId="2796"/>
    <cellStyle name="40% - akcent 6 118 2" xfId="6637"/>
    <cellStyle name="40% - akcent 6 118 2 2" xfId="13272"/>
    <cellStyle name="40% - akcent 6 118 3" xfId="9982"/>
    <cellStyle name="40% - akcent 6 119" xfId="2797"/>
    <cellStyle name="40% - akcent 6 119 2" xfId="6638"/>
    <cellStyle name="40% - akcent 6 119 2 2" xfId="13273"/>
    <cellStyle name="40% - akcent 6 119 3" xfId="9983"/>
    <cellStyle name="40% - akcent 6 12" xfId="2798"/>
    <cellStyle name="40% - akcent 6 12 2" xfId="2799"/>
    <cellStyle name="40% - akcent 6 12 2 2" xfId="6640"/>
    <cellStyle name="40% - akcent 6 12 2 2 2" xfId="13275"/>
    <cellStyle name="40% - akcent 6 12 2 3" xfId="9985"/>
    <cellStyle name="40% - akcent 6 12 3" xfId="6639"/>
    <cellStyle name="40% - akcent 6 12 3 2" xfId="13274"/>
    <cellStyle name="40% - akcent 6 12 4" xfId="9984"/>
    <cellStyle name="40% - akcent 6 120" xfId="2800"/>
    <cellStyle name="40% - akcent 6 120 2" xfId="6641"/>
    <cellStyle name="40% - akcent 6 120 2 2" xfId="13276"/>
    <cellStyle name="40% - akcent 6 120 3" xfId="9986"/>
    <cellStyle name="40% - akcent 6 121" xfId="2801"/>
    <cellStyle name="40% - akcent 6 121 2" xfId="6642"/>
    <cellStyle name="40% - akcent 6 121 2 2" xfId="13277"/>
    <cellStyle name="40% - akcent 6 121 3" xfId="9987"/>
    <cellStyle name="40% - akcent 6 122" xfId="2802"/>
    <cellStyle name="40% - akcent 6 122 2" xfId="6643"/>
    <cellStyle name="40% - akcent 6 122 2 2" xfId="13278"/>
    <cellStyle name="40% - akcent 6 122 3" xfId="9988"/>
    <cellStyle name="40% - akcent 6 123" xfId="2803"/>
    <cellStyle name="40% - akcent 6 123 2" xfId="6644"/>
    <cellStyle name="40% - akcent 6 123 2 2" xfId="13279"/>
    <cellStyle name="40% - akcent 6 123 3" xfId="9989"/>
    <cellStyle name="40% - akcent 6 124" xfId="2804"/>
    <cellStyle name="40% - akcent 6 124 2" xfId="6645"/>
    <cellStyle name="40% - akcent 6 124 2 2" xfId="13280"/>
    <cellStyle name="40% - akcent 6 124 3" xfId="9990"/>
    <cellStyle name="40% - akcent 6 125" xfId="2805"/>
    <cellStyle name="40% - akcent 6 125 2" xfId="6646"/>
    <cellStyle name="40% - akcent 6 125 2 2" xfId="13281"/>
    <cellStyle name="40% - akcent 6 125 3" xfId="9991"/>
    <cellStyle name="40% - akcent 6 126" xfId="2806"/>
    <cellStyle name="40% - akcent 6 126 2" xfId="6647"/>
    <cellStyle name="40% - akcent 6 126 2 2" xfId="13282"/>
    <cellStyle name="40% - akcent 6 126 3" xfId="9992"/>
    <cellStyle name="40% - akcent 6 127" xfId="2807"/>
    <cellStyle name="40% - akcent 6 127 2" xfId="6648"/>
    <cellStyle name="40% - akcent 6 127 2 2" xfId="13283"/>
    <cellStyle name="40% - akcent 6 127 3" xfId="9993"/>
    <cellStyle name="40% - akcent 6 128" xfId="2808"/>
    <cellStyle name="40% - akcent 6 128 2" xfId="6649"/>
    <cellStyle name="40% - akcent 6 128 2 2" xfId="13284"/>
    <cellStyle name="40% - akcent 6 128 3" xfId="9994"/>
    <cellStyle name="40% - akcent 6 129" xfId="2809"/>
    <cellStyle name="40% - akcent 6 129 2" xfId="6650"/>
    <cellStyle name="40% - akcent 6 129 2 2" xfId="13285"/>
    <cellStyle name="40% - akcent 6 129 3" xfId="9995"/>
    <cellStyle name="40% - akcent 6 13" xfId="2810"/>
    <cellStyle name="40% - akcent 6 13 2" xfId="2811"/>
    <cellStyle name="40% - akcent 6 13 2 2" xfId="6652"/>
    <cellStyle name="40% - akcent 6 13 2 2 2" xfId="13287"/>
    <cellStyle name="40% - akcent 6 13 2 3" xfId="9997"/>
    <cellStyle name="40% - akcent 6 13 3" xfId="6651"/>
    <cellStyle name="40% - akcent 6 13 3 2" xfId="13286"/>
    <cellStyle name="40% - akcent 6 13 4" xfId="9996"/>
    <cellStyle name="40% - akcent 6 130" xfId="2812"/>
    <cellStyle name="40% - akcent 6 130 2" xfId="6653"/>
    <cellStyle name="40% - akcent 6 130 2 2" xfId="13288"/>
    <cellStyle name="40% - akcent 6 130 3" xfId="9998"/>
    <cellStyle name="40% - akcent 6 131" xfId="2813"/>
    <cellStyle name="40% - akcent 6 131 2" xfId="6654"/>
    <cellStyle name="40% - akcent 6 131 2 2" xfId="13289"/>
    <cellStyle name="40% - akcent 6 131 3" xfId="9999"/>
    <cellStyle name="40% - akcent 6 132" xfId="2814"/>
    <cellStyle name="40% - akcent 6 132 2" xfId="6655"/>
    <cellStyle name="40% - akcent 6 132 2 2" xfId="13290"/>
    <cellStyle name="40% - akcent 6 132 3" xfId="10000"/>
    <cellStyle name="40% - akcent 6 133" xfId="2815"/>
    <cellStyle name="40% - akcent 6 133 2" xfId="6656"/>
    <cellStyle name="40% - akcent 6 133 2 2" xfId="13291"/>
    <cellStyle name="40% - akcent 6 133 3" xfId="10001"/>
    <cellStyle name="40% - akcent 6 134" xfId="2816"/>
    <cellStyle name="40% - akcent 6 134 2" xfId="6657"/>
    <cellStyle name="40% - akcent 6 134 2 2" xfId="13292"/>
    <cellStyle name="40% - akcent 6 134 3" xfId="10002"/>
    <cellStyle name="40% - akcent 6 135" xfId="2817"/>
    <cellStyle name="40% - akcent 6 135 2" xfId="6658"/>
    <cellStyle name="40% - akcent 6 135 2 2" xfId="13293"/>
    <cellStyle name="40% - akcent 6 135 3" xfId="10003"/>
    <cellStyle name="40% - akcent 6 136" xfId="2818"/>
    <cellStyle name="40% - akcent 6 136 2" xfId="6659"/>
    <cellStyle name="40% - akcent 6 136 2 2" xfId="13294"/>
    <cellStyle name="40% - akcent 6 136 3" xfId="10004"/>
    <cellStyle name="40% - akcent 6 137" xfId="2819"/>
    <cellStyle name="40% - akcent 6 137 2" xfId="6660"/>
    <cellStyle name="40% - akcent 6 137 2 2" xfId="13295"/>
    <cellStyle name="40% - akcent 6 137 3" xfId="10005"/>
    <cellStyle name="40% - akcent 6 138" xfId="2820"/>
    <cellStyle name="40% - akcent 6 138 2" xfId="6661"/>
    <cellStyle name="40% - akcent 6 138 2 2" xfId="13296"/>
    <cellStyle name="40% - akcent 6 138 3" xfId="10006"/>
    <cellStyle name="40% - akcent 6 139" xfId="2821"/>
    <cellStyle name="40% - akcent 6 139 2" xfId="6662"/>
    <cellStyle name="40% - akcent 6 139 2 2" xfId="13297"/>
    <cellStyle name="40% - akcent 6 139 3" xfId="10007"/>
    <cellStyle name="40% - akcent 6 14" xfId="2822"/>
    <cellStyle name="40% - akcent 6 14 2" xfId="2823"/>
    <cellStyle name="40% - akcent 6 14 2 2" xfId="6664"/>
    <cellStyle name="40% - akcent 6 14 2 2 2" xfId="13299"/>
    <cellStyle name="40% - akcent 6 14 2 3" xfId="10009"/>
    <cellStyle name="40% - akcent 6 14 3" xfId="6663"/>
    <cellStyle name="40% - akcent 6 14 3 2" xfId="13298"/>
    <cellStyle name="40% - akcent 6 14 4" xfId="10008"/>
    <cellStyle name="40% - akcent 6 140" xfId="2824"/>
    <cellStyle name="40% - akcent 6 140 2" xfId="6665"/>
    <cellStyle name="40% - akcent 6 140 2 2" xfId="13300"/>
    <cellStyle name="40% - akcent 6 140 3" xfId="10010"/>
    <cellStyle name="40% - akcent 6 141" xfId="2825"/>
    <cellStyle name="40% - akcent 6 141 2" xfId="6666"/>
    <cellStyle name="40% - akcent 6 141 2 2" xfId="13301"/>
    <cellStyle name="40% - akcent 6 141 3" xfId="10011"/>
    <cellStyle name="40% - akcent 6 142" xfId="2826"/>
    <cellStyle name="40% - akcent 6 142 2" xfId="6667"/>
    <cellStyle name="40% - akcent 6 142 2 2" xfId="13302"/>
    <cellStyle name="40% - akcent 6 142 3" xfId="10012"/>
    <cellStyle name="40% - akcent 6 143" xfId="2827"/>
    <cellStyle name="40% - akcent 6 143 2" xfId="6668"/>
    <cellStyle name="40% - akcent 6 143 2 2" xfId="13303"/>
    <cellStyle name="40% - akcent 6 143 3" xfId="10013"/>
    <cellStyle name="40% - akcent 6 144" xfId="2828"/>
    <cellStyle name="40% - akcent 6 144 2" xfId="6669"/>
    <cellStyle name="40% - akcent 6 144 2 2" xfId="13304"/>
    <cellStyle name="40% - akcent 6 144 3" xfId="10014"/>
    <cellStyle name="40% - akcent 6 145" xfId="2829"/>
    <cellStyle name="40% - akcent 6 145 2" xfId="6670"/>
    <cellStyle name="40% - akcent 6 145 2 2" xfId="13305"/>
    <cellStyle name="40% - akcent 6 145 3" xfId="10015"/>
    <cellStyle name="40% - akcent 6 146" xfId="2830"/>
    <cellStyle name="40% - akcent 6 146 2" xfId="6671"/>
    <cellStyle name="40% - akcent 6 146 2 2" xfId="13306"/>
    <cellStyle name="40% - akcent 6 146 3" xfId="10016"/>
    <cellStyle name="40% - akcent 6 147" xfId="2831"/>
    <cellStyle name="40% - akcent 6 147 2" xfId="6672"/>
    <cellStyle name="40% - akcent 6 147 2 2" xfId="13307"/>
    <cellStyle name="40% - akcent 6 147 3" xfId="10017"/>
    <cellStyle name="40% - akcent 6 148" xfId="2832"/>
    <cellStyle name="40% - akcent 6 148 2" xfId="6673"/>
    <cellStyle name="40% - akcent 6 148 2 2" xfId="13308"/>
    <cellStyle name="40% - akcent 6 148 3" xfId="10018"/>
    <cellStyle name="40% - akcent 6 149" xfId="2833"/>
    <cellStyle name="40% - akcent 6 149 2" xfId="6674"/>
    <cellStyle name="40% - akcent 6 149 2 2" xfId="13309"/>
    <cellStyle name="40% - akcent 6 149 3" xfId="10019"/>
    <cellStyle name="40% - akcent 6 15" xfId="2834"/>
    <cellStyle name="40% - akcent 6 15 2" xfId="2835"/>
    <cellStyle name="40% - akcent 6 15 2 2" xfId="6676"/>
    <cellStyle name="40% - akcent 6 15 2 2 2" xfId="13311"/>
    <cellStyle name="40% - akcent 6 15 2 3" xfId="10021"/>
    <cellStyle name="40% - akcent 6 15 3" xfId="6675"/>
    <cellStyle name="40% - akcent 6 15 3 2" xfId="13310"/>
    <cellStyle name="40% - akcent 6 15 4" xfId="10020"/>
    <cellStyle name="40% - akcent 6 150" xfId="2836"/>
    <cellStyle name="40% - akcent 6 150 2" xfId="6677"/>
    <cellStyle name="40% - akcent 6 150 2 2" xfId="13312"/>
    <cellStyle name="40% - akcent 6 150 3" xfId="10022"/>
    <cellStyle name="40% - akcent 6 151" xfId="2837"/>
    <cellStyle name="40% - akcent 6 151 2" xfId="6678"/>
    <cellStyle name="40% - akcent 6 151 2 2" xfId="13313"/>
    <cellStyle name="40% - akcent 6 151 3" xfId="10023"/>
    <cellStyle name="40% - akcent 6 152" xfId="2838"/>
    <cellStyle name="40% - akcent 6 152 2" xfId="6679"/>
    <cellStyle name="40% - akcent 6 152 2 2" xfId="13314"/>
    <cellStyle name="40% - akcent 6 152 3" xfId="10024"/>
    <cellStyle name="40% - akcent 6 153" xfId="2839"/>
    <cellStyle name="40% - akcent 6 153 2" xfId="6680"/>
    <cellStyle name="40% - akcent 6 153 2 2" xfId="13315"/>
    <cellStyle name="40% - akcent 6 153 3" xfId="10025"/>
    <cellStyle name="40% - akcent 6 154" xfId="2840"/>
    <cellStyle name="40% - akcent 6 154 2" xfId="6681"/>
    <cellStyle name="40% - akcent 6 154 2 2" xfId="13316"/>
    <cellStyle name="40% - akcent 6 154 3" xfId="10026"/>
    <cellStyle name="40% - akcent 6 155" xfId="2841"/>
    <cellStyle name="40% - akcent 6 155 2" xfId="6682"/>
    <cellStyle name="40% - akcent 6 155 2 2" xfId="13317"/>
    <cellStyle name="40% - akcent 6 155 3" xfId="10027"/>
    <cellStyle name="40% - akcent 6 156" xfId="2842"/>
    <cellStyle name="40% - akcent 6 156 2" xfId="6683"/>
    <cellStyle name="40% - akcent 6 156 2 2" xfId="13318"/>
    <cellStyle name="40% - akcent 6 156 3" xfId="10028"/>
    <cellStyle name="40% - akcent 6 157" xfId="2843"/>
    <cellStyle name="40% - akcent 6 157 2" xfId="6684"/>
    <cellStyle name="40% - akcent 6 157 2 2" xfId="13319"/>
    <cellStyle name="40% - akcent 6 157 3" xfId="10029"/>
    <cellStyle name="40% - akcent 6 158" xfId="2844"/>
    <cellStyle name="40% - akcent 6 158 2" xfId="6685"/>
    <cellStyle name="40% - akcent 6 158 2 2" xfId="13320"/>
    <cellStyle name="40% - akcent 6 158 3" xfId="10030"/>
    <cellStyle name="40% - akcent 6 159" xfId="2845"/>
    <cellStyle name="40% - akcent 6 159 2" xfId="6686"/>
    <cellStyle name="40% - akcent 6 159 2 2" xfId="13321"/>
    <cellStyle name="40% - akcent 6 159 3" xfId="10031"/>
    <cellStyle name="40% - akcent 6 16" xfId="2846"/>
    <cellStyle name="40% - akcent 6 16 2" xfId="2847"/>
    <cellStyle name="40% - akcent 6 16 2 2" xfId="6688"/>
    <cellStyle name="40% - akcent 6 16 2 2 2" xfId="13323"/>
    <cellStyle name="40% - akcent 6 16 2 3" xfId="10033"/>
    <cellStyle name="40% - akcent 6 16 3" xfId="6687"/>
    <cellStyle name="40% - akcent 6 16 3 2" xfId="13322"/>
    <cellStyle name="40% - akcent 6 16 4" xfId="10032"/>
    <cellStyle name="40% - akcent 6 160" xfId="2848"/>
    <cellStyle name="40% - akcent 6 160 2" xfId="6689"/>
    <cellStyle name="40% - akcent 6 160 2 2" xfId="13324"/>
    <cellStyle name="40% - akcent 6 160 3" xfId="10034"/>
    <cellStyle name="40% - akcent 6 161" xfId="2849"/>
    <cellStyle name="40% - akcent 6 161 2" xfId="6690"/>
    <cellStyle name="40% - akcent 6 161 2 2" xfId="13325"/>
    <cellStyle name="40% - akcent 6 161 3" xfId="10035"/>
    <cellStyle name="40% - akcent 6 162" xfId="2850"/>
    <cellStyle name="40% - akcent 6 162 2" xfId="6691"/>
    <cellStyle name="40% - akcent 6 162 2 2" xfId="13326"/>
    <cellStyle name="40% - akcent 6 162 3" xfId="10036"/>
    <cellStyle name="40% - akcent 6 163" xfId="2851"/>
    <cellStyle name="40% - akcent 6 163 2" xfId="6692"/>
    <cellStyle name="40% - akcent 6 163 2 2" xfId="13327"/>
    <cellStyle name="40% - akcent 6 163 3" xfId="10037"/>
    <cellStyle name="40% - akcent 6 164" xfId="2852"/>
    <cellStyle name="40% - akcent 6 164 2" xfId="6693"/>
    <cellStyle name="40% - akcent 6 164 2 2" xfId="13328"/>
    <cellStyle name="40% - akcent 6 164 3" xfId="10038"/>
    <cellStyle name="40% - akcent 6 165" xfId="2853"/>
    <cellStyle name="40% - akcent 6 165 2" xfId="6694"/>
    <cellStyle name="40% - akcent 6 165 2 2" xfId="13329"/>
    <cellStyle name="40% - akcent 6 165 3" xfId="10039"/>
    <cellStyle name="40% - akcent 6 166" xfId="2854"/>
    <cellStyle name="40% - akcent 6 166 2" xfId="6695"/>
    <cellStyle name="40% - akcent 6 166 2 2" xfId="13330"/>
    <cellStyle name="40% - akcent 6 166 3" xfId="10040"/>
    <cellStyle name="40% - akcent 6 167" xfId="2855"/>
    <cellStyle name="40% - akcent 6 167 2" xfId="6696"/>
    <cellStyle name="40% - akcent 6 167 2 2" xfId="13331"/>
    <cellStyle name="40% - akcent 6 167 3" xfId="10041"/>
    <cellStyle name="40% - akcent 6 168" xfId="2856"/>
    <cellStyle name="40% - akcent 6 168 2" xfId="6697"/>
    <cellStyle name="40% - akcent 6 168 2 2" xfId="13332"/>
    <cellStyle name="40% - akcent 6 168 3" xfId="10042"/>
    <cellStyle name="40% - akcent 6 169" xfId="2857"/>
    <cellStyle name="40% - akcent 6 169 2" xfId="6698"/>
    <cellStyle name="40% - akcent 6 169 2 2" xfId="13333"/>
    <cellStyle name="40% - akcent 6 169 3" xfId="10043"/>
    <cellStyle name="40% - akcent 6 17" xfId="2858"/>
    <cellStyle name="40% - akcent 6 17 2" xfId="2859"/>
    <cellStyle name="40% - akcent 6 17 2 2" xfId="6700"/>
    <cellStyle name="40% - akcent 6 17 2 2 2" xfId="13335"/>
    <cellStyle name="40% - akcent 6 17 2 3" xfId="10045"/>
    <cellStyle name="40% - akcent 6 17 3" xfId="6699"/>
    <cellStyle name="40% - akcent 6 17 3 2" xfId="13334"/>
    <cellStyle name="40% - akcent 6 17 4" xfId="10044"/>
    <cellStyle name="40% - akcent 6 170" xfId="2860"/>
    <cellStyle name="40% - akcent 6 170 2" xfId="6701"/>
    <cellStyle name="40% - akcent 6 170 2 2" xfId="13336"/>
    <cellStyle name="40% - akcent 6 170 3" xfId="10046"/>
    <cellStyle name="40% - akcent 6 171" xfId="2861"/>
    <cellStyle name="40% - akcent 6 171 2" xfId="6702"/>
    <cellStyle name="40% - akcent 6 171 2 2" xfId="13337"/>
    <cellStyle name="40% - akcent 6 171 3" xfId="10047"/>
    <cellStyle name="40% - akcent 6 172" xfId="2862"/>
    <cellStyle name="40% - akcent 6 172 2" xfId="6703"/>
    <cellStyle name="40% - akcent 6 172 2 2" xfId="13338"/>
    <cellStyle name="40% - akcent 6 172 3" xfId="10048"/>
    <cellStyle name="40% - akcent 6 173" xfId="2863"/>
    <cellStyle name="40% - akcent 6 173 2" xfId="6704"/>
    <cellStyle name="40% - akcent 6 173 2 2" xfId="13339"/>
    <cellStyle name="40% - akcent 6 173 3" xfId="10049"/>
    <cellStyle name="40% - akcent 6 174" xfId="2864"/>
    <cellStyle name="40% - akcent 6 174 2" xfId="6705"/>
    <cellStyle name="40% - akcent 6 174 2 2" xfId="13340"/>
    <cellStyle name="40% - akcent 6 174 3" xfId="10050"/>
    <cellStyle name="40% - akcent 6 175" xfId="2865"/>
    <cellStyle name="40% - akcent 6 175 2" xfId="6706"/>
    <cellStyle name="40% - akcent 6 175 2 2" xfId="13341"/>
    <cellStyle name="40% - akcent 6 175 3" xfId="10051"/>
    <cellStyle name="40% - akcent 6 176" xfId="2866"/>
    <cellStyle name="40% - akcent 6 176 2" xfId="6707"/>
    <cellStyle name="40% - akcent 6 176 2 2" xfId="13342"/>
    <cellStyle name="40% - akcent 6 176 3" xfId="10052"/>
    <cellStyle name="40% - akcent 6 177" xfId="2867"/>
    <cellStyle name="40% - akcent 6 177 2" xfId="6708"/>
    <cellStyle name="40% - akcent 6 177 2 2" xfId="13343"/>
    <cellStyle name="40% - akcent 6 177 3" xfId="10053"/>
    <cellStyle name="40% - akcent 6 178" xfId="2868"/>
    <cellStyle name="40% - akcent 6 178 2" xfId="6709"/>
    <cellStyle name="40% - akcent 6 178 2 2" xfId="13344"/>
    <cellStyle name="40% - akcent 6 178 3" xfId="10054"/>
    <cellStyle name="40% - akcent 6 179" xfId="2869"/>
    <cellStyle name="40% - akcent 6 179 2" xfId="6710"/>
    <cellStyle name="40% - akcent 6 179 2 2" xfId="13345"/>
    <cellStyle name="40% - akcent 6 179 3" xfId="10055"/>
    <cellStyle name="40% - akcent 6 18" xfId="2870"/>
    <cellStyle name="40% - akcent 6 18 2" xfId="2871"/>
    <cellStyle name="40% - akcent 6 18 2 2" xfId="6712"/>
    <cellStyle name="40% - akcent 6 18 2 2 2" xfId="13347"/>
    <cellStyle name="40% - akcent 6 18 2 3" xfId="10057"/>
    <cellStyle name="40% - akcent 6 18 3" xfId="6711"/>
    <cellStyle name="40% - akcent 6 18 3 2" xfId="13346"/>
    <cellStyle name="40% - akcent 6 18 4" xfId="10056"/>
    <cellStyle name="40% - akcent 6 180" xfId="2872"/>
    <cellStyle name="40% - akcent 6 180 2" xfId="6713"/>
    <cellStyle name="40% - akcent 6 180 2 2" xfId="13348"/>
    <cellStyle name="40% - akcent 6 180 3" xfId="10058"/>
    <cellStyle name="40% - akcent 6 181" xfId="2873"/>
    <cellStyle name="40% - akcent 6 181 2" xfId="6714"/>
    <cellStyle name="40% - akcent 6 181 2 2" xfId="13349"/>
    <cellStyle name="40% - akcent 6 181 3" xfId="10059"/>
    <cellStyle name="40% - akcent 6 182" xfId="2874"/>
    <cellStyle name="40% - akcent 6 182 2" xfId="6715"/>
    <cellStyle name="40% - akcent 6 182 2 2" xfId="13350"/>
    <cellStyle name="40% - akcent 6 182 3" xfId="10060"/>
    <cellStyle name="40% - akcent 6 183" xfId="2875"/>
    <cellStyle name="40% - akcent 6 183 2" xfId="6716"/>
    <cellStyle name="40% - akcent 6 183 2 2" xfId="13351"/>
    <cellStyle name="40% - akcent 6 183 3" xfId="10061"/>
    <cellStyle name="40% - akcent 6 184" xfId="2876"/>
    <cellStyle name="40% - akcent 6 184 2" xfId="6717"/>
    <cellStyle name="40% - akcent 6 184 2 2" xfId="13352"/>
    <cellStyle name="40% - akcent 6 184 3" xfId="10062"/>
    <cellStyle name="40% - akcent 6 185" xfId="2877"/>
    <cellStyle name="40% - akcent 6 185 2" xfId="6718"/>
    <cellStyle name="40% - akcent 6 185 2 2" xfId="13353"/>
    <cellStyle name="40% - akcent 6 185 3" xfId="10063"/>
    <cellStyle name="40% - akcent 6 186" xfId="2878"/>
    <cellStyle name="40% - akcent 6 186 2" xfId="6719"/>
    <cellStyle name="40% - akcent 6 186 2 2" xfId="13354"/>
    <cellStyle name="40% - akcent 6 186 3" xfId="10064"/>
    <cellStyle name="40% - akcent 6 187" xfId="2879"/>
    <cellStyle name="40% - akcent 6 187 2" xfId="6720"/>
    <cellStyle name="40% - akcent 6 187 2 2" xfId="13355"/>
    <cellStyle name="40% - akcent 6 187 3" xfId="10065"/>
    <cellStyle name="40% - akcent 6 188" xfId="2880"/>
    <cellStyle name="40% - akcent 6 188 2" xfId="6721"/>
    <cellStyle name="40% - akcent 6 188 2 2" xfId="13356"/>
    <cellStyle name="40% - akcent 6 188 3" xfId="10066"/>
    <cellStyle name="40% - akcent 6 189" xfId="2881"/>
    <cellStyle name="40% - akcent 6 189 2" xfId="6722"/>
    <cellStyle name="40% - akcent 6 189 2 2" xfId="13357"/>
    <cellStyle name="40% - akcent 6 189 3" xfId="10067"/>
    <cellStyle name="40% - akcent 6 19" xfId="2882"/>
    <cellStyle name="40% - akcent 6 19 2" xfId="2883"/>
    <cellStyle name="40% - akcent 6 19 2 2" xfId="6724"/>
    <cellStyle name="40% - akcent 6 19 2 2 2" xfId="13359"/>
    <cellStyle name="40% - akcent 6 19 2 3" xfId="10069"/>
    <cellStyle name="40% - akcent 6 19 3" xfId="6723"/>
    <cellStyle name="40% - akcent 6 19 3 2" xfId="13358"/>
    <cellStyle name="40% - akcent 6 19 4" xfId="10068"/>
    <cellStyle name="40% - akcent 6 190" xfId="2884"/>
    <cellStyle name="40% - akcent 6 190 2" xfId="6725"/>
    <cellStyle name="40% - akcent 6 190 2 2" xfId="13360"/>
    <cellStyle name="40% - akcent 6 190 3" xfId="10070"/>
    <cellStyle name="40% - akcent 6 191" xfId="2885"/>
    <cellStyle name="40% - akcent 6 191 2" xfId="6726"/>
    <cellStyle name="40% - akcent 6 191 2 2" xfId="13361"/>
    <cellStyle name="40% - akcent 6 191 3" xfId="10071"/>
    <cellStyle name="40% - akcent 6 192" xfId="2886"/>
    <cellStyle name="40% - akcent 6 192 2" xfId="6727"/>
    <cellStyle name="40% - akcent 6 192 2 2" xfId="13362"/>
    <cellStyle name="40% - akcent 6 192 3" xfId="10072"/>
    <cellStyle name="40% - akcent 6 193" xfId="2887"/>
    <cellStyle name="40% - akcent 6 193 2" xfId="6728"/>
    <cellStyle name="40% - akcent 6 193 2 2" xfId="13363"/>
    <cellStyle name="40% - akcent 6 193 3" xfId="10073"/>
    <cellStyle name="40% - akcent 6 194" xfId="2888"/>
    <cellStyle name="40% - akcent 6 194 2" xfId="6729"/>
    <cellStyle name="40% - akcent 6 194 2 2" xfId="13364"/>
    <cellStyle name="40% - akcent 6 194 3" xfId="10074"/>
    <cellStyle name="40% - akcent 6 195" xfId="3848"/>
    <cellStyle name="40% - akcent 6 195 2" xfId="10483"/>
    <cellStyle name="40% - akcent 6 196" xfId="7128"/>
    <cellStyle name="40% - akcent 6 197" xfId="7197"/>
    <cellStyle name="40% - akcent 6 2" xfId="2889"/>
    <cellStyle name="40% - akcent 6 2 2" xfId="2890"/>
    <cellStyle name="40% - akcent 6 2 2 2" xfId="6731"/>
    <cellStyle name="40% - akcent 6 2 2 2 2" xfId="13366"/>
    <cellStyle name="40% - akcent 6 2 2 3" xfId="10076"/>
    <cellStyle name="40% - akcent 6 2 3" xfId="6730"/>
    <cellStyle name="40% - akcent 6 2 3 2" xfId="13365"/>
    <cellStyle name="40% - akcent 6 2 4" xfId="10075"/>
    <cellStyle name="40% - akcent 6 20" xfId="2891"/>
    <cellStyle name="40% - akcent 6 20 2" xfId="2892"/>
    <cellStyle name="40% - akcent 6 20 2 2" xfId="6733"/>
    <cellStyle name="40% - akcent 6 20 2 2 2" xfId="13368"/>
    <cellStyle name="40% - akcent 6 20 2 3" xfId="10078"/>
    <cellStyle name="40% - akcent 6 20 3" xfId="6732"/>
    <cellStyle name="40% - akcent 6 20 3 2" xfId="13367"/>
    <cellStyle name="40% - akcent 6 20 4" xfId="10077"/>
    <cellStyle name="40% - akcent 6 21" xfId="2893"/>
    <cellStyle name="40% - akcent 6 21 2" xfId="2894"/>
    <cellStyle name="40% - akcent 6 21 2 2" xfId="6735"/>
    <cellStyle name="40% - akcent 6 21 2 2 2" xfId="13370"/>
    <cellStyle name="40% - akcent 6 21 2 3" xfId="10080"/>
    <cellStyle name="40% - akcent 6 21 3" xfId="6734"/>
    <cellStyle name="40% - akcent 6 21 3 2" xfId="13369"/>
    <cellStyle name="40% - akcent 6 21 4" xfId="10079"/>
    <cellStyle name="40% - akcent 6 22" xfId="2895"/>
    <cellStyle name="40% - akcent 6 22 2" xfId="2896"/>
    <cellStyle name="40% - akcent 6 22 2 2" xfId="6737"/>
    <cellStyle name="40% - akcent 6 22 2 2 2" xfId="13372"/>
    <cellStyle name="40% - akcent 6 22 2 3" xfId="10082"/>
    <cellStyle name="40% - akcent 6 22 3" xfId="6736"/>
    <cellStyle name="40% - akcent 6 22 3 2" xfId="13371"/>
    <cellStyle name="40% - akcent 6 22 4" xfId="10081"/>
    <cellStyle name="40% - akcent 6 23" xfId="2897"/>
    <cellStyle name="40% - akcent 6 23 2" xfId="2898"/>
    <cellStyle name="40% - akcent 6 23 2 2" xfId="6739"/>
    <cellStyle name="40% - akcent 6 23 2 2 2" xfId="13374"/>
    <cellStyle name="40% - akcent 6 23 2 3" xfId="10084"/>
    <cellStyle name="40% - akcent 6 23 3" xfId="6738"/>
    <cellStyle name="40% - akcent 6 23 3 2" xfId="13373"/>
    <cellStyle name="40% - akcent 6 23 4" xfId="10083"/>
    <cellStyle name="40% - akcent 6 24" xfId="2899"/>
    <cellStyle name="40% - akcent 6 24 2" xfId="2900"/>
    <cellStyle name="40% - akcent 6 24 2 2" xfId="6741"/>
    <cellStyle name="40% - akcent 6 24 2 2 2" xfId="13376"/>
    <cellStyle name="40% - akcent 6 24 2 3" xfId="10086"/>
    <cellStyle name="40% - akcent 6 24 3" xfId="6740"/>
    <cellStyle name="40% - akcent 6 24 3 2" xfId="13375"/>
    <cellStyle name="40% - akcent 6 24 4" xfId="10085"/>
    <cellStyle name="40% - akcent 6 25" xfId="2901"/>
    <cellStyle name="40% - akcent 6 25 2" xfId="2902"/>
    <cellStyle name="40% - akcent 6 25 2 2" xfId="6743"/>
    <cellStyle name="40% - akcent 6 25 2 2 2" xfId="13378"/>
    <cellStyle name="40% - akcent 6 25 2 3" xfId="10088"/>
    <cellStyle name="40% - akcent 6 25 3" xfId="6742"/>
    <cellStyle name="40% - akcent 6 25 3 2" xfId="13377"/>
    <cellStyle name="40% - akcent 6 25 4" xfId="10087"/>
    <cellStyle name="40% - akcent 6 26" xfId="2903"/>
    <cellStyle name="40% - akcent 6 26 2" xfId="2904"/>
    <cellStyle name="40% - akcent 6 26 2 2" xfId="6745"/>
    <cellStyle name="40% - akcent 6 26 2 2 2" xfId="13380"/>
    <cellStyle name="40% - akcent 6 26 2 3" xfId="10090"/>
    <cellStyle name="40% - akcent 6 26 3" xfId="6744"/>
    <cellStyle name="40% - akcent 6 26 3 2" xfId="13379"/>
    <cellStyle name="40% - akcent 6 26 4" xfId="10089"/>
    <cellStyle name="40% - akcent 6 27" xfId="2905"/>
    <cellStyle name="40% - akcent 6 27 2" xfId="2906"/>
    <cellStyle name="40% - akcent 6 27 2 2" xfId="6747"/>
    <cellStyle name="40% - akcent 6 27 2 2 2" xfId="13382"/>
    <cellStyle name="40% - akcent 6 27 2 3" xfId="10092"/>
    <cellStyle name="40% - akcent 6 27 3" xfId="6746"/>
    <cellStyle name="40% - akcent 6 27 3 2" xfId="13381"/>
    <cellStyle name="40% - akcent 6 27 4" xfId="10091"/>
    <cellStyle name="40% - akcent 6 28" xfId="2907"/>
    <cellStyle name="40% - akcent 6 28 2" xfId="2908"/>
    <cellStyle name="40% - akcent 6 28 2 2" xfId="6749"/>
    <cellStyle name="40% - akcent 6 28 2 2 2" xfId="13384"/>
    <cellStyle name="40% - akcent 6 28 2 3" xfId="10094"/>
    <cellStyle name="40% - akcent 6 28 3" xfId="6748"/>
    <cellStyle name="40% - akcent 6 28 3 2" xfId="13383"/>
    <cellStyle name="40% - akcent 6 28 4" xfId="10093"/>
    <cellStyle name="40% - akcent 6 29" xfId="2909"/>
    <cellStyle name="40% - akcent 6 29 2" xfId="2910"/>
    <cellStyle name="40% - akcent 6 29 2 2" xfId="6751"/>
    <cellStyle name="40% - akcent 6 29 2 2 2" xfId="13386"/>
    <cellStyle name="40% - akcent 6 29 2 3" xfId="10096"/>
    <cellStyle name="40% - akcent 6 29 3" xfId="6750"/>
    <cellStyle name="40% - akcent 6 29 3 2" xfId="13385"/>
    <cellStyle name="40% - akcent 6 29 4" xfId="10095"/>
    <cellStyle name="40% - akcent 6 3" xfId="2911"/>
    <cellStyle name="40% - akcent 6 3 2" xfId="2912"/>
    <cellStyle name="40% - akcent 6 3 2 2" xfId="6753"/>
    <cellStyle name="40% - akcent 6 3 2 2 2" xfId="13388"/>
    <cellStyle name="40% - akcent 6 3 2 3" xfId="10098"/>
    <cellStyle name="40% - akcent 6 3 3" xfId="6752"/>
    <cellStyle name="40% - akcent 6 3 3 2" xfId="13387"/>
    <cellStyle name="40% - akcent 6 3 4" xfId="10097"/>
    <cellStyle name="40% - akcent 6 30" xfId="2913"/>
    <cellStyle name="40% - akcent 6 30 2" xfId="2914"/>
    <cellStyle name="40% - akcent 6 30 2 2" xfId="6755"/>
    <cellStyle name="40% - akcent 6 30 2 2 2" xfId="13390"/>
    <cellStyle name="40% - akcent 6 30 2 3" xfId="10100"/>
    <cellStyle name="40% - akcent 6 30 3" xfId="6754"/>
    <cellStyle name="40% - akcent 6 30 3 2" xfId="13389"/>
    <cellStyle name="40% - akcent 6 30 4" xfId="10099"/>
    <cellStyle name="40% - akcent 6 31" xfId="2915"/>
    <cellStyle name="40% - akcent 6 31 2" xfId="2916"/>
    <cellStyle name="40% - akcent 6 31 2 2" xfId="6757"/>
    <cellStyle name="40% - akcent 6 31 2 2 2" xfId="13392"/>
    <cellStyle name="40% - akcent 6 31 2 3" xfId="10102"/>
    <cellStyle name="40% - akcent 6 31 3" xfId="6756"/>
    <cellStyle name="40% - akcent 6 31 3 2" xfId="13391"/>
    <cellStyle name="40% - akcent 6 31 4" xfId="10101"/>
    <cellStyle name="40% - akcent 6 32" xfId="2917"/>
    <cellStyle name="40% - akcent 6 32 2" xfId="2918"/>
    <cellStyle name="40% - akcent 6 32 2 2" xfId="6759"/>
    <cellStyle name="40% - akcent 6 32 2 2 2" xfId="13394"/>
    <cellStyle name="40% - akcent 6 32 2 3" xfId="10104"/>
    <cellStyle name="40% - akcent 6 32 3" xfId="6758"/>
    <cellStyle name="40% - akcent 6 32 3 2" xfId="13393"/>
    <cellStyle name="40% - akcent 6 32 4" xfId="10103"/>
    <cellStyle name="40% - akcent 6 33" xfId="2919"/>
    <cellStyle name="40% - akcent 6 33 2" xfId="2920"/>
    <cellStyle name="40% - akcent 6 33 2 2" xfId="6761"/>
    <cellStyle name="40% - akcent 6 33 2 2 2" xfId="13396"/>
    <cellStyle name="40% - akcent 6 33 2 3" xfId="10106"/>
    <cellStyle name="40% - akcent 6 33 3" xfId="6760"/>
    <cellStyle name="40% - akcent 6 33 3 2" xfId="13395"/>
    <cellStyle name="40% - akcent 6 33 4" xfId="10105"/>
    <cellStyle name="40% - akcent 6 34" xfId="2921"/>
    <cellStyle name="40% - akcent 6 34 2" xfId="2922"/>
    <cellStyle name="40% - akcent 6 34 2 2" xfId="6763"/>
    <cellStyle name="40% - akcent 6 34 2 2 2" xfId="13398"/>
    <cellStyle name="40% - akcent 6 34 2 3" xfId="10108"/>
    <cellStyle name="40% - akcent 6 34 3" xfId="6762"/>
    <cellStyle name="40% - akcent 6 34 3 2" xfId="13397"/>
    <cellStyle name="40% - akcent 6 34 4" xfId="10107"/>
    <cellStyle name="40% - akcent 6 35" xfId="2923"/>
    <cellStyle name="40% - akcent 6 35 2" xfId="2924"/>
    <cellStyle name="40% - akcent 6 35 2 2" xfId="6765"/>
    <cellStyle name="40% - akcent 6 35 2 2 2" xfId="13400"/>
    <cellStyle name="40% - akcent 6 35 2 3" xfId="10110"/>
    <cellStyle name="40% - akcent 6 35 3" xfId="6764"/>
    <cellStyle name="40% - akcent 6 35 3 2" xfId="13399"/>
    <cellStyle name="40% - akcent 6 35 4" xfId="10109"/>
    <cellStyle name="40% - akcent 6 36" xfId="2925"/>
    <cellStyle name="40% - akcent 6 36 2" xfId="2926"/>
    <cellStyle name="40% - akcent 6 36 2 2" xfId="6767"/>
    <cellStyle name="40% - akcent 6 36 2 2 2" xfId="13402"/>
    <cellStyle name="40% - akcent 6 36 2 3" xfId="10112"/>
    <cellStyle name="40% - akcent 6 36 3" xfId="6766"/>
    <cellStyle name="40% - akcent 6 36 3 2" xfId="13401"/>
    <cellStyle name="40% - akcent 6 36 4" xfId="10111"/>
    <cellStyle name="40% - akcent 6 37" xfId="2927"/>
    <cellStyle name="40% - akcent 6 37 2" xfId="2928"/>
    <cellStyle name="40% - akcent 6 37 2 2" xfId="6769"/>
    <cellStyle name="40% - akcent 6 37 2 2 2" xfId="13404"/>
    <cellStyle name="40% - akcent 6 37 2 3" xfId="10114"/>
    <cellStyle name="40% - akcent 6 37 3" xfId="6768"/>
    <cellStyle name="40% - akcent 6 37 3 2" xfId="13403"/>
    <cellStyle name="40% - akcent 6 37 4" xfId="10113"/>
    <cellStyle name="40% - akcent 6 38" xfId="2929"/>
    <cellStyle name="40% - akcent 6 38 2" xfId="2930"/>
    <cellStyle name="40% - akcent 6 38 2 2" xfId="6771"/>
    <cellStyle name="40% - akcent 6 38 2 2 2" xfId="13406"/>
    <cellStyle name="40% - akcent 6 38 2 3" xfId="10116"/>
    <cellStyle name="40% - akcent 6 38 3" xfId="6770"/>
    <cellStyle name="40% - akcent 6 38 3 2" xfId="13405"/>
    <cellStyle name="40% - akcent 6 38 4" xfId="10115"/>
    <cellStyle name="40% - akcent 6 39" xfId="2931"/>
    <cellStyle name="40% - akcent 6 39 2" xfId="2932"/>
    <cellStyle name="40% - akcent 6 39 2 2" xfId="6773"/>
    <cellStyle name="40% - akcent 6 39 2 2 2" xfId="13408"/>
    <cellStyle name="40% - akcent 6 39 2 3" xfId="10118"/>
    <cellStyle name="40% - akcent 6 39 3" xfId="6772"/>
    <cellStyle name="40% - akcent 6 39 3 2" xfId="13407"/>
    <cellStyle name="40% - akcent 6 39 4" xfId="10117"/>
    <cellStyle name="40% - akcent 6 4" xfId="2933"/>
    <cellStyle name="40% - akcent 6 4 2" xfId="2934"/>
    <cellStyle name="40% - akcent 6 4 2 2" xfId="6775"/>
    <cellStyle name="40% - akcent 6 4 2 2 2" xfId="13410"/>
    <cellStyle name="40% - akcent 6 4 2 3" xfId="10120"/>
    <cellStyle name="40% - akcent 6 4 3" xfId="6774"/>
    <cellStyle name="40% - akcent 6 4 3 2" xfId="13409"/>
    <cellStyle name="40% - akcent 6 4 4" xfId="10119"/>
    <cellStyle name="40% - akcent 6 40" xfId="2935"/>
    <cellStyle name="40% - akcent 6 40 2" xfId="2936"/>
    <cellStyle name="40% - akcent 6 40 2 2" xfId="6777"/>
    <cellStyle name="40% - akcent 6 40 2 2 2" xfId="13412"/>
    <cellStyle name="40% - akcent 6 40 2 3" xfId="10122"/>
    <cellStyle name="40% - akcent 6 40 3" xfId="6776"/>
    <cellStyle name="40% - akcent 6 40 3 2" xfId="13411"/>
    <cellStyle name="40% - akcent 6 40 4" xfId="10121"/>
    <cellStyle name="40% - akcent 6 41" xfId="2937"/>
    <cellStyle name="40% - akcent 6 41 2" xfId="2938"/>
    <cellStyle name="40% - akcent 6 41 2 2" xfId="6779"/>
    <cellStyle name="40% - akcent 6 41 2 2 2" xfId="13414"/>
    <cellStyle name="40% - akcent 6 41 2 3" xfId="10124"/>
    <cellStyle name="40% - akcent 6 41 3" xfId="6778"/>
    <cellStyle name="40% - akcent 6 41 3 2" xfId="13413"/>
    <cellStyle name="40% - akcent 6 41 4" xfId="10123"/>
    <cellStyle name="40% - akcent 6 42" xfId="2939"/>
    <cellStyle name="40% - akcent 6 42 2" xfId="2940"/>
    <cellStyle name="40% - akcent 6 42 2 2" xfId="6781"/>
    <cellStyle name="40% - akcent 6 42 2 2 2" xfId="13416"/>
    <cellStyle name="40% - akcent 6 42 2 3" xfId="10126"/>
    <cellStyle name="40% - akcent 6 42 3" xfId="6780"/>
    <cellStyle name="40% - akcent 6 42 3 2" xfId="13415"/>
    <cellStyle name="40% - akcent 6 42 4" xfId="10125"/>
    <cellStyle name="40% - akcent 6 43" xfId="2941"/>
    <cellStyle name="40% - akcent 6 43 2" xfId="2942"/>
    <cellStyle name="40% - akcent 6 43 2 2" xfId="6783"/>
    <cellStyle name="40% - akcent 6 43 2 2 2" xfId="13418"/>
    <cellStyle name="40% - akcent 6 43 2 3" xfId="10128"/>
    <cellStyle name="40% - akcent 6 43 3" xfId="6782"/>
    <cellStyle name="40% - akcent 6 43 3 2" xfId="13417"/>
    <cellStyle name="40% - akcent 6 43 4" xfId="10127"/>
    <cellStyle name="40% - akcent 6 44" xfId="2943"/>
    <cellStyle name="40% - akcent 6 44 2" xfId="2944"/>
    <cellStyle name="40% - akcent 6 44 2 2" xfId="6785"/>
    <cellStyle name="40% - akcent 6 44 2 2 2" xfId="13420"/>
    <cellStyle name="40% - akcent 6 44 2 3" xfId="10130"/>
    <cellStyle name="40% - akcent 6 44 3" xfId="6784"/>
    <cellStyle name="40% - akcent 6 44 3 2" xfId="13419"/>
    <cellStyle name="40% - akcent 6 44 4" xfId="10129"/>
    <cellStyle name="40% - akcent 6 45" xfId="2945"/>
    <cellStyle name="40% - akcent 6 45 2" xfId="2946"/>
    <cellStyle name="40% - akcent 6 45 2 2" xfId="6787"/>
    <cellStyle name="40% - akcent 6 45 2 2 2" xfId="13422"/>
    <cellStyle name="40% - akcent 6 45 2 3" xfId="10132"/>
    <cellStyle name="40% - akcent 6 45 3" xfId="6786"/>
    <cellStyle name="40% - akcent 6 45 3 2" xfId="13421"/>
    <cellStyle name="40% - akcent 6 45 4" xfId="10131"/>
    <cellStyle name="40% - akcent 6 46" xfId="2947"/>
    <cellStyle name="40% - akcent 6 46 2" xfId="2948"/>
    <cellStyle name="40% - akcent 6 46 2 2" xfId="6789"/>
    <cellStyle name="40% - akcent 6 46 2 2 2" xfId="13424"/>
    <cellStyle name="40% - akcent 6 46 2 3" xfId="10134"/>
    <cellStyle name="40% - akcent 6 46 3" xfId="6788"/>
    <cellStyle name="40% - akcent 6 46 3 2" xfId="13423"/>
    <cellStyle name="40% - akcent 6 46 4" xfId="10133"/>
    <cellStyle name="40% - akcent 6 47" xfId="2949"/>
    <cellStyle name="40% - akcent 6 47 2" xfId="2950"/>
    <cellStyle name="40% - akcent 6 47 2 2" xfId="6791"/>
    <cellStyle name="40% - akcent 6 47 2 2 2" xfId="13426"/>
    <cellStyle name="40% - akcent 6 47 2 3" xfId="10136"/>
    <cellStyle name="40% - akcent 6 47 3" xfId="6790"/>
    <cellStyle name="40% - akcent 6 47 3 2" xfId="13425"/>
    <cellStyle name="40% - akcent 6 47 4" xfId="10135"/>
    <cellStyle name="40% - akcent 6 48" xfId="2951"/>
    <cellStyle name="40% - akcent 6 48 2" xfId="2952"/>
    <cellStyle name="40% - akcent 6 48 2 2" xfId="6793"/>
    <cellStyle name="40% - akcent 6 48 2 2 2" xfId="13428"/>
    <cellStyle name="40% - akcent 6 48 2 3" xfId="10138"/>
    <cellStyle name="40% - akcent 6 48 3" xfId="6792"/>
    <cellStyle name="40% - akcent 6 48 3 2" xfId="13427"/>
    <cellStyle name="40% - akcent 6 48 4" xfId="10137"/>
    <cellStyle name="40% - akcent 6 49" xfId="2953"/>
    <cellStyle name="40% - akcent 6 49 2" xfId="2954"/>
    <cellStyle name="40% - akcent 6 49 2 2" xfId="6795"/>
    <cellStyle name="40% - akcent 6 49 2 2 2" xfId="13430"/>
    <cellStyle name="40% - akcent 6 49 2 3" xfId="10140"/>
    <cellStyle name="40% - akcent 6 49 3" xfId="6794"/>
    <cellStyle name="40% - akcent 6 49 3 2" xfId="13429"/>
    <cellStyle name="40% - akcent 6 49 4" xfId="10139"/>
    <cellStyle name="40% - akcent 6 5" xfId="2955"/>
    <cellStyle name="40% - akcent 6 5 2" xfId="2956"/>
    <cellStyle name="40% - akcent 6 5 2 2" xfId="6797"/>
    <cellStyle name="40% - akcent 6 5 2 2 2" xfId="13432"/>
    <cellStyle name="40% - akcent 6 5 2 3" xfId="10142"/>
    <cellStyle name="40% - akcent 6 5 3" xfId="6796"/>
    <cellStyle name="40% - akcent 6 5 3 2" xfId="13431"/>
    <cellStyle name="40% - akcent 6 5 4" xfId="10141"/>
    <cellStyle name="40% - akcent 6 50" xfId="2957"/>
    <cellStyle name="40% - akcent 6 50 2" xfId="2958"/>
    <cellStyle name="40% - akcent 6 50 2 2" xfId="6799"/>
    <cellStyle name="40% - akcent 6 50 2 2 2" xfId="13434"/>
    <cellStyle name="40% - akcent 6 50 2 3" xfId="10144"/>
    <cellStyle name="40% - akcent 6 50 3" xfId="6798"/>
    <cellStyle name="40% - akcent 6 50 3 2" xfId="13433"/>
    <cellStyle name="40% - akcent 6 50 4" xfId="10143"/>
    <cellStyle name="40% - akcent 6 51" xfId="2959"/>
    <cellStyle name="40% - akcent 6 51 2" xfId="2960"/>
    <cellStyle name="40% - akcent 6 51 2 2" xfId="6801"/>
    <cellStyle name="40% - akcent 6 51 2 2 2" xfId="13436"/>
    <cellStyle name="40% - akcent 6 51 2 3" xfId="10146"/>
    <cellStyle name="40% - akcent 6 51 3" xfId="6800"/>
    <cellStyle name="40% - akcent 6 51 3 2" xfId="13435"/>
    <cellStyle name="40% - akcent 6 51 4" xfId="10145"/>
    <cellStyle name="40% - akcent 6 52" xfId="2961"/>
    <cellStyle name="40% - akcent 6 52 2" xfId="2962"/>
    <cellStyle name="40% - akcent 6 52 2 2" xfId="6803"/>
    <cellStyle name="40% - akcent 6 52 2 2 2" xfId="13438"/>
    <cellStyle name="40% - akcent 6 52 2 3" xfId="10148"/>
    <cellStyle name="40% - akcent 6 52 3" xfId="6802"/>
    <cellStyle name="40% - akcent 6 52 3 2" xfId="13437"/>
    <cellStyle name="40% - akcent 6 52 4" xfId="10147"/>
    <cellStyle name="40% - akcent 6 53" xfId="2963"/>
    <cellStyle name="40% - akcent 6 53 2" xfId="2964"/>
    <cellStyle name="40% - akcent 6 53 2 2" xfId="6805"/>
    <cellStyle name="40% - akcent 6 53 2 2 2" xfId="13440"/>
    <cellStyle name="40% - akcent 6 53 2 3" xfId="10150"/>
    <cellStyle name="40% - akcent 6 53 3" xfId="6804"/>
    <cellStyle name="40% - akcent 6 53 3 2" xfId="13439"/>
    <cellStyle name="40% - akcent 6 53 4" xfId="10149"/>
    <cellStyle name="40% - akcent 6 54" xfId="2965"/>
    <cellStyle name="40% - akcent 6 54 2" xfId="2966"/>
    <cellStyle name="40% - akcent 6 54 2 2" xfId="6807"/>
    <cellStyle name="40% - akcent 6 54 2 2 2" xfId="13442"/>
    <cellStyle name="40% - akcent 6 54 2 3" xfId="10152"/>
    <cellStyle name="40% - akcent 6 54 3" xfId="6806"/>
    <cellStyle name="40% - akcent 6 54 3 2" xfId="13441"/>
    <cellStyle name="40% - akcent 6 54 4" xfId="10151"/>
    <cellStyle name="40% - akcent 6 55" xfId="2967"/>
    <cellStyle name="40% - akcent 6 55 2" xfId="2968"/>
    <cellStyle name="40% - akcent 6 55 2 2" xfId="6809"/>
    <cellStyle name="40% - akcent 6 55 2 2 2" xfId="13444"/>
    <cellStyle name="40% - akcent 6 55 2 3" xfId="10154"/>
    <cellStyle name="40% - akcent 6 55 3" xfId="6808"/>
    <cellStyle name="40% - akcent 6 55 3 2" xfId="13443"/>
    <cellStyle name="40% - akcent 6 55 4" xfId="10153"/>
    <cellStyle name="40% - akcent 6 56" xfId="2969"/>
    <cellStyle name="40% - akcent 6 56 2" xfId="2970"/>
    <cellStyle name="40% - akcent 6 56 2 2" xfId="6811"/>
    <cellStyle name="40% - akcent 6 56 2 2 2" xfId="13446"/>
    <cellStyle name="40% - akcent 6 56 2 3" xfId="10156"/>
    <cellStyle name="40% - akcent 6 56 3" xfId="6810"/>
    <cellStyle name="40% - akcent 6 56 3 2" xfId="13445"/>
    <cellStyle name="40% - akcent 6 56 4" xfId="10155"/>
    <cellStyle name="40% - akcent 6 57" xfId="2971"/>
    <cellStyle name="40% - akcent 6 57 2" xfId="2972"/>
    <cellStyle name="40% - akcent 6 57 2 2" xfId="6813"/>
    <cellStyle name="40% - akcent 6 57 2 2 2" xfId="13448"/>
    <cellStyle name="40% - akcent 6 57 2 3" xfId="10158"/>
    <cellStyle name="40% - akcent 6 57 3" xfId="6812"/>
    <cellStyle name="40% - akcent 6 57 3 2" xfId="13447"/>
    <cellStyle name="40% - akcent 6 57 4" xfId="10157"/>
    <cellStyle name="40% - akcent 6 58" xfId="2973"/>
    <cellStyle name="40% - akcent 6 58 2" xfId="2974"/>
    <cellStyle name="40% - akcent 6 58 2 2" xfId="6815"/>
    <cellStyle name="40% - akcent 6 58 2 2 2" xfId="13450"/>
    <cellStyle name="40% - akcent 6 58 2 3" xfId="10160"/>
    <cellStyle name="40% - akcent 6 58 3" xfId="6814"/>
    <cellStyle name="40% - akcent 6 58 3 2" xfId="13449"/>
    <cellStyle name="40% - akcent 6 58 4" xfId="10159"/>
    <cellStyle name="40% - akcent 6 59" xfId="2975"/>
    <cellStyle name="40% - akcent 6 59 2" xfId="2976"/>
    <cellStyle name="40% - akcent 6 59 2 2" xfId="6817"/>
    <cellStyle name="40% - akcent 6 59 2 2 2" xfId="13452"/>
    <cellStyle name="40% - akcent 6 59 2 3" xfId="10162"/>
    <cellStyle name="40% - akcent 6 59 3" xfId="6816"/>
    <cellStyle name="40% - akcent 6 59 3 2" xfId="13451"/>
    <cellStyle name="40% - akcent 6 59 4" xfId="10161"/>
    <cellStyle name="40% - akcent 6 6" xfId="2977"/>
    <cellStyle name="40% - akcent 6 6 2" xfId="2978"/>
    <cellStyle name="40% - akcent 6 6 2 2" xfId="6819"/>
    <cellStyle name="40% - akcent 6 6 2 2 2" xfId="13454"/>
    <cellStyle name="40% - akcent 6 6 2 3" xfId="10164"/>
    <cellStyle name="40% - akcent 6 6 3" xfId="6818"/>
    <cellStyle name="40% - akcent 6 6 3 2" xfId="13453"/>
    <cellStyle name="40% - akcent 6 6 4" xfId="10163"/>
    <cellStyle name="40% - akcent 6 60" xfId="2979"/>
    <cellStyle name="40% - akcent 6 60 2" xfId="6820"/>
    <cellStyle name="40% - akcent 6 60 2 2" xfId="13455"/>
    <cellStyle name="40% - akcent 6 60 3" xfId="10165"/>
    <cellStyle name="40% - akcent 6 61" xfId="2980"/>
    <cellStyle name="40% - akcent 6 61 2" xfId="6821"/>
    <cellStyle name="40% - akcent 6 61 2 2" xfId="13456"/>
    <cellStyle name="40% - akcent 6 61 3" xfId="10166"/>
    <cellStyle name="40% - akcent 6 62" xfId="2981"/>
    <cellStyle name="40% - akcent 6 62 2" xfId="6822"/>
    <cellStyle name="40% - akcent 6 62 2 2" xfId="13457"/>
    <cellStyle name="40% - akcent 6 62 3" xfId="10167"/>
    <cellStyle name="40% - akcent 6 63" xfId="2982"/>
    <cellStyle name="40% - akcent 6 63 2" xfId="6823"/>
    <cellStyle name="40% - akcent 6 63 2 2" xfId="13458"/>
    <cellStyle name="40% - akcent 6 63 3" xfId="10168"/>
    <cellStyle name="40% - akcent 6 64" xfId="2983"/>
    <cellStyle name="40% - akcent 6 64 2" xfId="6824"/>
    <cellStyle name="40% - akcent 6 64 2 2" xfId="13459"/>
    <cellStyle name="40% - akcent 6 64 3" xfId="10169"/>
    <cellStyle name="40% - akcent 6 65" xfId="2984"/>
    <cellStyle name="40% - akcent 6 65 2" xfId="6825"/>
    <cellStyle name="40% - akcent 6 65 2 2" xfId="13460"/>
    <cellStyle name="40% - akcent 6 65 3" xfId="10170"/>
    <cellStyle name="40% - akcent 6 66" xfId="2985"/>
    <cellStyle name="40% - akcent 6 66 2" xfId="6826"/>
    <cellStyle name="40% - akcent 6 66 2 2" xfId="13461"/>
    <cellStyle name="40% - akcent 6 66 3" xfId="10171"/>
    <cellStyle name="40% - akcent 6 67" xfId="2986"/>
    <cellStyle name="40% - akcent 6 67 2" xfId="6827"/>
    <cellStyle name="40% - akcent 6 67 2 2" xfId="13462"/>
    <cellStyle name="40% - akcent 6 67 3" xfId="10172"/>
    <cellStyle name="40% - akcent 6 68" xfId="2987"/>
    <cellStyle name="40% - akcent 6 68 2" xfId="6828"/>
    <cellStyle name="40% - akcent 6 68 2 2" xfId="13463"/>
    <cellStyle name="40% - akcent 6 68 3" xfId="10173"/>
    <cellStyle name="40% - akcent 6 69" xfId="2988"/>
    <cellStyle name="40% - akcent 6 69 2" xfId="6829"/>
    <cellStyle name="40% - akcent 6 69 2 2" xfId="13464"/>
    <cellStyle name="40% - akcent 6 69 3" xfId="10174"/>
    <cellStyle name="40% - akcent 6 7" xfId="2989"/>
    <cellStyle name="40% - akcent 6 7 2" xfId="2990"/>
    <cellStyle name="40% - akcent 6 7 2 2" xfId="6831"/>
    <cellStyle name="40% - akcent 6 7 2 2 2" xfId="13466"/>
    <cellStyle name="40% - akcent 6 7 2 3" xfId="10176"/>
    <cellStyle name="40% - akcent 6 7 3" xfId="6830"/>
    <cellStyle name="40% - akcent 6 7 3 2" xfId="13465"/>
    <cellStyle name="40% - akcent 6 7 4" xfId="10175"/>
    <cellStyle name="40% - akcent 6 70" xfId="2991"/>
    <cellStyle name="40% - akcent 6 70 2" xfId="6832"/>
    <cellStyle name="40% - akcent 6 70 2 2" xfId="13467"/>
    <cellStyle name="40% - akcent 6 70 3" xfId="10177"/>
    <cellStyle name="40% - akcent 6 71" xfId="2992"/>
    <cellStyle name="40% - akcent 6 71 2" xfId="6833"/>
    <cellStyle name="40% - akcent 6 71 2 2" xfId="13468"/>
    <cellStyle name="40% - akcent 6 71 3" xfId="10178"/>
    <cellStyle name="40% - akcent 6 72" xfId="2993"/>
    <cellStyle name="40% - akcent 6 72 2" xfId="6834"/>
    <cellStyle name="40% - akcent 6 72 2 2" xfId="13469"/>
    <cellStyle name="40% - akcent 6 72 3" xfId="10179"/>
    <cellStyle name="40% - akcent 6 73" xfId="2994"/>
    <cellStyle name="40% - akcent 6 73 2" xfId="6835"/>
    <cellStyle name="40% - akcent 6 73 2 2" xfId="13470"/>
    <cellStyle name="40% - akcent 6 73 3" xfId="10180"/>
    <cellStyle name="40% - akcent 6 74" xfId="2995"/>
    <cellStyle name="40% - akcent 6 74 2" xfId="6836"/>
    <cellStyle name="40% - akcent 6 74 2 2" xfId="13471"/>
    <cellStyle name="40% - akcent 6 74 3" xfId="10181"/>
    <cellStyle name="40% - akcent 6 75" xfId="2996"/>
    <cellStyle name="40% - akcent 6 75 2" xfId="6837"/>
    <cellStyle name="40% - akcent 6 75 2 2" xfId="13472"/>
    <cellStyle name="40% - akcent 6 75 3" xfId="10182"/>
    <cellStyle name="40% - akcent 6 76" xfId="2997"/>
    <cellStyle name="40% - akcent 6 76 2" xfId="6838"/>
    <cellStyle name="40% - akcent 6 76 2 2" xfId="13473"/>
    <cellStyle name="40% - akcent 6 76 3" xfId="10183"/>
    <cellStyle name="40% - akcent 6 77" xfId="2998"/>
    <cellStyle name="40% - akcent 6 77 2" xfId="6839"/>
    <cellStyle name="40% - akcent 6 77 2 2" xfId="13474"/>
    <cellStyle name="40% - akcent 6 77 3" xfId="10184"/>
    <cellStyle name="40% - akcent 6 78" xfId="2999"/>
    <cellStyle name="40% - akcent 6 78 2" xfId="6840"/>
    <cellStyle name="40% - akcent 6 78 2 2" xfId="13475"/>
    <cellStyle name="40% - akcent 6 78 3" xfId="10185"/>
    <cellStyle name="40% - akcent 6 79" xfId="3000"/>
    <cellStyle name="40% - akcent 6 79 2" xfId="6841"/>
    <cellStyle name="40% - akcent 6 79 2 2" xfId="13476"/>
    <cellStyle name="40% - akcent 6 79 3" xfId="10186"/>
    <cellStyle name="40% - akcent 6 8" xfId="3001"/>
    <cellStyle name="40% - akcent 6 8 2" xfId="3002"/>
    <cellStyle name="40% - akcent 6 8 2 2" xfId="6843"/>
    <cellStyle name="40% - akcent 6 8 2 2 2" xfId="13478"/>
    <cellStyle name="40% - akcent 6 8 2 3" xfId="10188"/>
    <cellStyle name="40% - akcent 6 8 3" xfId="6842"/>
    <cellStyle name="40% - akcent 6 8 3 2" xfId="13477"/>
    <cellStyle name="40% - akcent 6 8 4" xfId="10187"/>
    <cellStyle name="40% - akcent 6 80" xfId="3003"/>
    <cellStyle name="40% - akcent 6 80 2" xfId="6844"/>
    <cellStyle name="40% - akcent 6 80 2 2" xfId="13479"/>
    <cellStyle name="40% - akcent 6 80 3" xfId="10189"/>
    <cellStyle name="40% - akcent 6 81" xfId="3004"/>
    <cellStyle name="40% - akcent 6 81 2" xfId="6845"/>
    <cellStyle name="40% - akcent 6 81 2 2" xfId="13480"/>
    <cellStyle name="40% - akcent 6 81 3" xfId="10190"/>
    <cellStyle name="40% - akcent 6 82" xfId="3005"/>
    <cellStyle name="40% - akcent 6 82 2" xfId="6846"/>
    <cellStyle name="40% - akcent 6 82 2 2" xfId="13481"/>
    <cellStyle name="40% - akcent 6 82 3" xfId="10191"/>
    <cellStyle name="40% - akcent 6 83" xfId="3006"/>
    <cellStyle name="40% - akcent 6 83 2" xfId="6847"/>
    <cellStyle name="40% - akcent 6 83 2 2" xfId="13482"/>
    <cellStyle name="40% - akcent 6 83 3" xfId="10192"/>
    <cellStyle name="40% - akcent 6 84" xfId="3007"/>
    <cellStyle name="40% - akcent 6 84 2" xfId="6848"/>
    <cellStyle name="40% - akcent 6 84 2 2" xfId="13483"/>
    <cellStyle name="40% - akcent 6 84 3" xfId="10193"/>
    <cellStyle name="40% - akcent 6 85" xfId="3008"/>
    <cellStyle name="40% - akcent 6 85 2" xfId="6849"/>
    <cellStyle name="40% - akcent 6 85 2 2" xfId="13484"/>
    <cellStyle name="40% - akcent 6 85 3" xfId="10194"/>
    <cellStyle name="40% - akcent 6 86" xfId="3009"/>
    <cellStyle name="40% - akcent 6 86 2" xfId="6850"/>
    <cellStyle name="40% - akcent 6 86 2 2" xfId="13485"/>
    <cellStyle name="40% - akcent 6 86 3" xfId="10195"/>
    <cellStyle name="40% - akcent 6 87" xfId="3010"/>
    <cellStyle name="40% - akcent 6 87 2" xfId="6851"/>
    <cellStyle name="40% - akcent 6 87 2 2" xfId="13486"/>
    <cellStyle name="40% - akcent 6 87 3" xfId="10196"/>
    <cellStyle name="40% - akcent 6 88" xfId="3011"/>
    <cellStyle name="40% - akcent 6 88 2" xfId="6852"/>
    <cellStyle name="40% - akcent 6 88 2 2" xfId="13487"/>
    <cellStyle name="40% - akcent 6 88 3" xfId="10197"/>
    <cellStyle name="40% - akcent 6 89" xfId="3012"/>
    <cellStyle name="40% - akcent 6 89 2" xfId="6853"/>
    <cellStyle name="40% - akcent 6 89 2 2" xfId="13488"/>
    <cellStyle name="40% - akcent 6 89 3" xfId="10198"/>
    <cellStyle name="40% - akcent 6 9" xfId="3013"/>
    <cellStyle name="40% - akcent 6 9 2" xfId="3014"/>
    <cellStyle name="40% - akcent 6 9 2 2" xfId="6855"/>
    <cellStyle name="40% - akcent 6 9 2 2 2" xfId="13490"/>
    <cellStyle name="40% - akcent 6 9 2 3" xfId="10200"/>
    <cellStyle name="40% - akcent 6 9 3" xfId="6854"/>
    <cellStyle name="40% - akcent 6 9 3 2" xfId="13489"/>
    <cellStyle name="40% - akcent 6 9 4" xfId="10199"/>
    <cellStyle name="40% - akcent 6 90" xfId="3015"/>
    <cellStyle name="40% - akcent 6 90 2" xfId="6856"/>
    <cellStyle name="40% - akcent 6 90 2 2" xfId="13491"/>
    <cellStyle name="40% - akcent 6 90 3" xfId="10201"/>
    <cellStyle name="40% - akcent 6 91" xfId="3016"/>
    <cellStyle name="40% - akcent 6 91 2" xfId="6857"/>
    <cellStyle name="40% - akcent 6 91 2 2" xfId="13492"/>
    <cellStyle name="40% - akcent 6 91 3" xfId="10202"/>
    <cellStyle name="40% - akcent 6 92" xfId="3017"/>
    <cellStyle name="40% - akcent 6 92 2" xfId="6858"/>
    <cellStyle name="40% - akcent 6 92 2 2" xfId="13493"/>
    <cellStyle name="40% - akcent 6 92 3" xfId="10203"/>
    <cellStyle name="40% - akcent 6 93" xfId="3018"/>
    <cellStyle name="40% - akcent 6 93 2" xfId="6859"/>
    <cellStyle name="40% - akcent 6 93 2 2" xfId="13494"/>
    <cellStyle name="40% - akcent 6 93 3" xfId="10204"/>
    <cellStyle name="40% - akcent 6 94" xfId="3019"/>
    <cellStyle name="40% - akcent 6 94 2" xfId="6860"/>
    <cellStyle name="40% - akcent 6 94 2 2" xfId="13495"/>
    <cellStyle name="40% - akcent 6 94 3" xfId="10205"/>
    <cellStyle name="40% - akcent 6 95" xfId="3020"/>
    <cellStyle name="40% - akcent 6 95 2" xfId="6861"/>
    <cellStyle name="40% - akcent 6 95 2 2" xfId="13496"/>
    <cellStyle name="40% - akcent 6 95 3" xfId="10206"/>
    <cellStyle name="40% - akcent 6 96" xfId="3021"/>
    <cellStyle name="40% - akcent 6 96 2" xfId="6862"/>
    <cellStyle name="40% - akcent 6 96 2 2" xfId="13497"/>
    <cellStyle name="40% - akcent 6 96 3" xfId="10207"/>
    <cellStyle name="40% - akcent 6 97" xfId="3022"/>
    <cellStyle name="40% - akcent 6 97 2" xfId="6863"/>
    <cellStyle name="40% - akcent 6 97 2 2" xfId="13498"/>
    <cellStyle name="40% - akcent 6 97 3" xfId="10208"/>
    <cellStyle name="40% - akcent 6 98" xfId="3023"/>
    <cellStyle name="40% - akcent 6 98 2" xfId="6864"/>
    <cellStyle name="40% - akcent 6 98 2 2" xfId="13499"/>
    <cellStyle name="40% - akcent 6 98 3" xfId="10209"/>
    <cellStyle name="40% - akcent 6 99" xfId="3024"/>
    <cellStyle name="40% - akcent 6 99 2" xfId="6865"/>
    <cellStyle name="40% - akcent 6 99 2 2" xfId="13500"/>
    <cellStyle name="40% - akcent 6 99 3" xfId="10210"/>
    <cellStyle name="60% - akcent 1" xfId="3025" builtinId="32" customBuiltin="1"/>
    <cellStyle name="60% - akcent 1 2" xfId="7129"/>
    <cellStyle name="60% - akcent 2" xfId="3026" builtinId="36" customBuiltin="1"/>
    <cellStyle name="60% - akcent 2 2" xfId="7130"/>
    <cellStyle name="60% - akcent 3" xfId="3027" builtinId="40" customBuiltin="1"/>
    <cellStyle name="60% - akcent 3 2" xfId="7131"/>
    <cellStyle name="60% - akcent 4" xfId="3028" builtinId="44" customBuiltin="1"/>
    <cellStyle name="60% - akcent 4 2" xfId="7132"/>
    <cellStyle name="60% - akcent 5" xfId="3029" builtinId="48" customBuiltin="1"/>
    <cellStyle name="60% - akcent 5 2" xfId="7133"/>
    <cellStyle name="60% - akcent 6" xfId="3030" builtinId="52" customBuiltin="1"/>
    <cellStyle name="60% - akcent 6 2" xfId="7134"/>
    <cellStyle name="Akcent 1" xfId="3031" builtinId="29" customBuiltin="1"/>
    <cellStyle name="Akcent 1 2" xfId="7135"/>
    <cellStyle name="Akcent 2" xfId="3032" builtinId="33" customBuiltin="1"/>
    <cellStyle name="Akcent 2 2" xfId="7136"/>
    <cellStyle name="Akcent 3" xfId="3033" builtinId="37" customBuiltin="1"/>
    <cellStyle name="Akcent 3 2" xfId="7137"/>
    <cellStyle name="Akcent 4" xfId="3034" builtinId="41" customBuiltin="1"/>
    <cellStyle name="Akcent 4 2" xfId="7138"/>
    <cellStyle name="Akcent 5" xfId="3035" builtinId="45" customBuiltin="1"/>
    <cellStyle name="Akcent 5 2" xfId="7139"/>
    <cellStyle name="Akcent 6" xfId="3036" builtinId="49" customBuiltin="1"/>
    <cellStyle name="Akcent 6 2" xfId="7140"/>
    <cellStyle name="Dane wejściowe" xfId="3037" builtinId="20" customBuiltin="1"/>
    <cellStyle name="Dane wejściowe 2" xfId="7141"/>
    <cellStyle name="Dane wyjściowe" xfId="3038" builtinId="21" customBuiltin="1"/>
    <cellStyle name="Dane wyjściowe 2" xfId="7142"/>
    <cellStyle name="Dobre" xfId="3039" builtinId="26" customBuiltin="1"/>
    <cellStyle name="Dobre 2" xfId="7143"/>
    <cellStyle name="Dziesiętny" xfId="3040" builtinId="3"/>
    <cellStyle name="Dziesiętny 2" xfId="3567"/>
    <cellStyle name="Dziesiętny 2 2" xfId="3571"/>
    <cellStyle name="Dziesiętny 2 2 2" xfId="3850"/>
    <cellStyle name="Dziesiętny 2 2 2 2" xfId="10485"/>
    <cellStyle name="Dziesiętny 2 2 3" xfId="10466"/>
    <cellStyle name="Dziesiętny 2 3" xfId="3569"/>
    <cellStyle name="Dziesiętny 3" xfId="3576"/>
    <cellStyle name="Dziesiętny 4" xfId="3564"/>
    <cellStyle name="Dziesiętny 4 2" xfId="7163"/>
    <cellStyle name="Dziesiętny 4 2 2" xfId="13758"/>
    <cellStyle name="Dziesiętny 4 3" xfId="7176"/>
    <cellStyle name="Dziesiętny 4 3 2" xfId="13771"/>
    <cellStyle name="Dziesiętny 4 4" xfId="7183"/>
    <cellStyle name="Dziesiętny 5" xfId="3835"/>
    <cellStyle name="Dziesiętny 5 2" xfId="7165"/>
    <cellStyle name="Dziesiętny 5 2 2" xfId="13760"/>
    <cellStyle name="Dziesiętny 5 3" xfId="7178"/>
    <cellStyle name="Dziesiętny 5 3 2" xfId="13773"/>
    <cellStyle name="Dziesiętny 5 4" xfId="7185"/>
    <cellStyle name="Dziesiętny 6" xfId="7160"/>
    <cellStyle name="Dziesiętny 6 2" xfId="13755"/>
    <cellStyle name="Dziesiętny 7" xfId="7173"/>
    <cellStyle name="Dziesiętny 7 2" xfId="13768"/>
    <cellStyle name="Dziesiętny 8" xfId="10211"/>
    <cellStyle name="Dziesiętny 9" xfId="7180"/>
    <cellStyle name="Komórka połączona" xfId="3041" builtinId="24" customBuiltin="1"/>
    <cellStyle name="Komórka połączona 2" xfId="7144"/>
    <cellStyle name="Komórka zaznaczona" xfId="3042" builtinId="23" customBuiltin="1"/>
    <cellStyle name="Komórka zaznaczona 2" xfId="7145"/>
    <cellStyle name="Nagłówek 1" xfId="3043" builtinId="16" customBuiltin="1"/>
    <cellStyle name="Nagłówek 1 2" xfId="7146"/>
    <cellStyle name="Nagłówek 2" xfId="3044" builtinId="17" customBuiltin="1"/>
    <cellStyle name="Nagłówek 2 2" xfId="7147"/>
    <cellStyle name="Nagłówek 3" xfId="3045" builtinId="18" customBuiltin="1"/>
    <cellStyle name="Nagłówek 3 2" xfId="7148"/>
    <cellStyle name="Nagłówek 4" xfId="3046" builtinId="19" customBuiltin="1"/>
    <cellStyle name="Nagłówek 4 2" xfId="7149"/>
    <cellStyle name="Neutralne" xfId="3047" builtinId="28" customBuiltin="1"/>
    <cellStyle name="Neutralne 2" xfId="7150"/>
    <cellStyle name="Normalny" xfId="0" builtinId="0"/>
    <cellStyle name="Normalny 10" xfId="3048"/>
    <cellStyle name="Normalny 10 2" xfId="3049"/>
    <cellStyle name="Normalny 10 2 2" xfId="6867"/>
    <cellStyle name="Normalny 10 2 2 2" xfId="13502"/>
    <cellStyle name="Normalny 10 2 3" xfId="10212"/>
    <cellStyle name="Normalny 10 3" xfId="6866"/>
    <cellStyle name="Normalny 10 3 2" xfId="13501"/>
    <cellStyle name="Normalny 10 4" xfId="7162"/>
    <cellStyle name="Normalny 10 4 2" xfId="13757"/>
    <cellStyle name="Normalny 10 5" xfId="7175"/>
    <cellStyle name="Normalny 10 5 2" xfId="13770"/>
    <cellStyle name="Normalny 10 6" xfId="7182"/>
    <cellStyle name="Normalny 100" xfId="3050"/>
    <cellStyle name="Normalny 100 2" xfId="6868"/>
    <cellStyle name="Normalny 100 2 2" xfId="13503"/>
    <cellStyle name="Normalny 100 3" xfId="10213"/>
    <cellStyle name="Normalny 101" xfId="3051"/>
    <cellStyle name="Normalny 101 2" xfId="6869"/>
    <cellStyle name="Normalny 101 2 2" xfId="13504"/>
    <cellStyle name="Normalny 101 3" xfId="10214"/>
    <cellStyle name="Normalny 102" xfId="3052"/>
    <cellStyle name="Normalny 102 2" xfId="6870"/>
    <cellStyle name="Normalny 102 2 2" xfId="13505"/>
    <cellStyle name="Normalny 102 3" xfId="10215"/>
    <cellStyle name="Normalny 103" xfId="3053"/>
    <cellStyle name="Normalny 103 2" xfId="6871"/>
    <cellStyle name="Normalny 103 2 2" xfId="13506"/>
    <cellStyle name="Normalny 103 3" xfId="10216"/>
    <cellStyle name="Normalny 104" xfId="3054"/>
    <cellStyle name="Normalny 104 2" xfId="6872"/>
    <cellStyle name="Normalny 104 2 2" xfId="13507"/>
    <cellStyle name="Normalny 104 3" xfId="10217"/>
    <cellStyle name="Normalny 105" xfId="3055"/>
    <cellStyle name="Normalny 105 2" xfId="6873"/>
    <cellStyle name="Normalny 105 2 2" xfId="13508"/>
    <cellStyle name="Normalny 105 3" xfId="10218"/>
    <cellStyle name="Normalny 106" xfId="3056"/>
    <cellStyle name="Normalny 106 2" xfId="6874"/>
    <cellStyle name="Normalny 106 2 2" xfId="13509"/>
    <cellStyle name="Normalny 106 3" xfId="10219"/>
    <cellStyle name="Normalny 107" xfId="3057"/>
    <cellStyle name="Normalny 107 2" xfId="6875"/>
    <cellStyle name="Normalny 107 2 2" xfId="13510"/>
    <cellStyle name="Normalny 107 3" xfId="10220"/>
    <cellStyle name="Normalny 108" xfId="3058"/>
    <cellStyle name="Normalny 108 2" xfId="6876"/>
    <cellStyle name="Normalny 108 2 2" xfId="13511"/>
    <cellStyle name="Normalny 108 3" xfId="10221"/>
    <cellStyle name="Normalny 109" xfId="3059"/>
    <cellStyle name="Normalny 109 2" xfId="6877"/>
    <cellStyle name="Normalny 109 2 2" xfId="13512"/>
    <cellStyle name="Normalny 109 3" xfId="10222"/>
    <cellStyle name="Normalny 11" xfId="3060"/>
    <cellStyle name="Normalny 11 2" xfId="3061"/>
    <cellStyle name="Normalny 11 2 2" xfId="6879"/>
    <cellStyle name="Normalny 11 2 2 2" xfId="13514"/>
    <cellStyle name="Normalny 11 2 3" xfId="10224"/>
    <cellStyle name="Normalny 11 3" xfId="6878"/>
    <cellStyle name="Normalny 11 3 2" xfId="13513"/>
    <cellStyle name="Normalny 11 4" xfId="10223"/>
    <cellStyle name="Normalny 110" xfId="3062"/>
    <cellStyle name="Normalny 110 2" xfId="6880"/>
    <cellStyle name="Normalny 110 2 2" xfId="13515"/>
    <cellStyle name="Normalny 110 3" xfId="10225"/>
    <cellStyle name="Normalny 111" xfId="3063"/>
    <cellStyle name="Normalny 111 2" xfId="6881"/>
    <cellStyle name="Normalny 111 2 2" xfId="13516"/>
    <cellStyle name="Normalny 111 3" xfId="10226"/>
    <cellStyle name="Normalny 112" xfId="3064"/>
    <cellStyle name="Normalny 112 2" xfId="6882"/>
    <cellStyle name="Normalny 112 2 2" xfId="13517"/>
    <cellStyle name="Normalny 112 3" xfId="10227"/>
    <cellStyle name="Normalny 113" xfId="3065"/>
    <cellStyle name="Normalny 113 2" xfId="6883"/>
    <cellStyle name="Normalny 113 2 2" xfId="13518"/>
    <cellStyle name="Normalny 113 3" xfId="10228"/>
    <cellStyle name="Normalny 114" xfId="3066"/>
    <cellStyle name="Normalny 114 2" xfId="6884"/>
    <cellStyle name="Normalny 114 2 2" xfId="13519"/>
    <cellStyle name="Normalny 114 3" xfId="10229"/>
    <cellStyle name="Normalny 115" xfId="3067"/>
    <cellStyle name="Normalny 115 2" xfId="6885"/>
    <cellStyle name="Normalny 115 2 2" xfId="13520"/>
    <cellStyle name="Normalny 115 3" xfId="10230"/>
    <cellStyle name="Normalny 116" xfId="3068"/>
    <cellStyle name="Normalny 116 2" xfId="6886"/>
    <cellStyle name="Normalny 116 2 2" xfId="13521"/>
    <cellStyle name="Normalny 116 3" xfId="10231"/>
    <cellStyle name="Normalny 117" xfId="3069"/>
    <cellStyle name="Normalny 117 2" xfId="6887"/>
    <cellStyle name="Normalny 117 2 2" xfId="13522"/>
    <cellStyle name="Normalny 117 3" xfId="10232"/>
    <cellStyle name="Normalny 118" xfId="3070"/>
    <cellStyle name="Normalny 118 2" xfId="6888"/>
    <cellStyle name="Normalny 118 2 2" xfId="13523"/>
    <cellStyle name="Normalny 118 3" xfId="10233"/>
    <cellStyle name="Normalny 119" xfId="3071"/>
    <cellStyle name="Normalny 119 2" xfId="6889"/>
    <cellStyle name="Normalny 119 2 2" xfId="13524"/>
    <cellStyle name="Normalny 119 3" xfId="10234"/>
    <cellStyle name="Normalny 12" xfId="3072"/>
    <cellStyle name="Normalny 12 2" xfId="3073"/>
    <cellStyle name="Normalny 12 2 2" xfId="6891"/>
    <cellStyle name="Normalny 12 2 2 2" xfId="13526"/>
    <cellStyle name="Normalny 12 2 3" xfId="10236"/>
    <cellStyle name="Normalny 12 3" xfId="6890"/>
    <cellStyle name="Normalny 12 3 2" xfId="13525"/>
    <cellStyle name="Normalny 12 4" xfId="10235"/>
    <cellStyle name="Normalny 120" xfId="3074"/>
    <cellStyle name="Normalny 120 2" xfId="6892"/>
    <cellStyle name="Normalny 120 2 2" xfId="13527"/>
    <cellStyle name="Normalny 120 3" xfId="10237"/>
    <cellStyle name="Normalny 121" xfId="3075"/>
    <cellStyle name="Normalny 121 2" xfId="6893"/>
    <cellStyle name="Normalny 121 2 2" xfId="13528"/>
    <cellStyle name="Normalny 121 3" xfId="10238"/>
    <cellStyle name="Normalny 122" xfId="3076"/>
    <cellStyle name="Normalny 122 2" xfId="6894"/>
    <cellStyle name="Normalny 122 2 2" xfId="13529"/>
    <cellStyle name="Normalny 122 3" xfId="10239"/>
    <cellStyle name="Normalny 123" xfId="3077"/>
    <cellStyle name="Normalny 123 2" xfId="6895"/>
    <cellStyle name="Normalny 123 2 2" xfId="13530"/>
    <cellStyle name="Normalny 123 3" xfId="10240"/>
    <cellStyle name="Normalny 124" xfId="3078"/>
    <cellStyle name="Normalny 124 2" xfId="6896"/>
    <cellStyle name="Normalny 124 2 2" xfId="13531"/>
    <cellStyle name="Normalny 124 3" xfId="10241"/>
    <cellStyle name="Normalny 125" xfId="3079"/>
    <cellStyle name="Normalny 125 2" xfId="6897"/>
    <cellStyle name="Normalny 125 2 2" xfId="13532"/>
    <cellStyle name="Normalny 125 3" xfId="10242"/>
    <cellStyle name="Normalny 126" xfId="3080"/>
    <cellStyle name="Normalny 126 2" xfId="6898"/>
    <cellStyle name="Normalny 126 2 2" xfId="13533"/>
    <cellStyle name="Normalny 126 3" xfId="10243"/>
    <cellStyle name="Normalny 127" xfId="3081"/>
    <cellStyle name="Normalny 127 2" xfId="6899"/>
    <cellStyle name="Normalny 127 2 2" xfId="13534"/>
    <cellStyle name="Normalny 127 3" xfId="10244"/>
    <cellStyle name="Normalny 128" xfId="3082"/>
    <cellStyle name="Normalny 128 2" xfId="6900"/>
    <cellStyle name="Normalny 128 2 2" xfId="13535"/>
    <cellStyle name="Normalny 128 3" xfId="10245"/>
    <cellStyle name="Normalny 129" xfId="3083"/>
    <cellStyle name="Normalny 129 2" xfId="6901"/>
    <cellStyle name="Normalny 129 2 2" xfId="13536"/>
    <cellStyle name="Normalny 129 3" xfId="10246"/>
    <cellStyle name="Normalny 13" xfId="3084"/>
    <cellStyle name="Normalny 13 2" xfId="3085"/>
    <cellStyle name="Normalny 13 2 2" xfId="6903"/>
    <cellStyle name="Normalny 13 2 2 2" xfId="13538"/>
    <cellStyle name="Normalny 13 2 3" xfId="10248"/>
    <cellStyle name="Normalny 13 3" xfId="6902"/>
    <cellStyle name="Normalny 13 3 2" xfId="13537"/>
    <cellStyle name="Normalny 13 4" xfId="10247"/>
    <cellStyle name="Normalny 130" xfId="3086"/>
    <cellStyle name="Normalny 130 2" xfId="6904"/>
    <cellStyle name="Normalny 130 2 2" xfId="13539"/>
    <cellStyle name="Normalny 130 3" xfId="10249"/>
    <cellStyle name="Normalny 131" xfId="3087"/>
    <cellStyle name="Normalny 131 2" xfId="6905"/>
    <cellStyle name="Normalny 131 2 2" xfId="13540"/>
    <cellStyle name="Normalny 131 3" xfId="10250"/>
    <cellStyle name="Normalny 132" xfId="3088"/>
    <cellStyle name="Normalny 132 2" xfId="6906"/>
    <cellStyle name="Normalny 132 2 2" xfId="13541"/>
    <cellStyle name="Normalny 132 3" xfId="10251"/>
    <cellStyle name="Normalny 133" xfId="3089"/>
    <cellStyle name="Normalny 133 2" xfId="6907"/>
    <cellStyle name="Normalny 133 2 2" xfId="13542"/>
    <cellStyle name="Normalny 133 3" xfId="10252"/>
    <cellStyle name="Normalny 134" xfId="3090"/>
    <cellStyle name="Normalny 134 2" xfId="6908"/>
    <cellStyle name="Normalny 134 2 2" xfId="13543"/>
    <cellStyle name="Normalny 134 3" xfId="10253"/>
    <cellStyle name="Normalny 135" xfId="3091"/>
    <cellStyle name="Normalny 135 2" xfId="6909"/>
    <cellStyle name="Normalny 135 2 2" xfId="13544"/>
    <cellStyle name="Normalny 135 3" xfId="10254"/>
    <cellStyle name="Normalny 136" xfId="3092"/>
    <cellStyle name="Normalny 136 2" xfId="6910"/>
    <cellStyle name="Normalny 136 2 2" xfId="13545"/>
    <cellStyle name="Normalny 136 3" xfId="10255"/>
    <cellStyle name="Normalny 137" xfId="3093"/>
    <cellStyle name="Normalny 137 2" xfId="6911"/>
    <cellStyle name="Normalny 137 2 2" xfId="13546"/>
    <cellStyle name="Normalny 137 3" xfId="10256"/>
    <cellStyle name="Normalny 138" xfId="3094"/>
    <cellStyle name="Normalny 138 2" xfId="6912"/>
    <cellStyle name="Normalny 138 2 2" xfId="13547"/>
    <cellStyle name="Normalny 138 3" xfId="10257"/>
    <cellStyle name="Normalny 139" xfId="3095"/>
    <cellStyle name="Normalny 139 2" xfId="6913"/>
    <cellStyle name="Normalny 139 2 2" xfId="13548"/>
    <cellStyle name="Normalny 139 3" xfId="10258"/>
    <cellStyle name="Normalny 14" xfId="3096"/>
    <cellStyle name="Normalny 14 2" xfId="3097"/>
    <cellStyle name="Normalny 14 2 2" xfId="6915"/>
    <cellStyle name="Normalny 14 2 2 2" xfId="13550"/>
    <cellStyle name="Normalny 14 2 3" xfId="10260"/>
    <cellStyle name="Normalny 14 3" xfId="6914"/>
    <cellStyle name="Normalny 14 3 2" xfId="13549"/>
    <cellStyle name="Normalny 14 4" xfId="10259"/>
    <cellStyle name="Normalny 140" xfId="3098"/>
    <cellStyle name="Normalny 140 2" xfId="6916"/>
    <cellStyle name="Normalny 140 2 2" xfId="13551"/>
    <cellStyle name="Normalny 140 3" xfId="10261"/>
    <cellStyle name="Normalny 141" xfId="3099"/>
    <cellStyle name="Normalny 141 2" xfId="6917"/>
    <cellStyle name="Normalny 141 2 2" xfId="13552"/>
    <cellStyle name="Normalny 141 3" xfId="10262"/>
    <cellStyle name="Normalny 142" xfId="3100"/>
    <cellStyle name="Normalny 142 2" xfId="6918"/>
    <cellStyle name="Normalny 142 2 2" xfId="13553"/>
    <cellStyle name="Normalny 142 3" xfId="10263"/>
    <cellStyle name="Normalny 143" xfId="3101"/>
    <cellStyle name="Normalny 143 2" xfId="6919"/>
    <cellStyle name="Normalny 143 2 2" xfId="13554"/>
    <cellStyle name="Normalny 143 3" xfId="10264"/>
    <cellStyle name="Normalny 144" xfId="3102"/>
    <cellStyle name="Normalny 144 2" xfId="6920"/>
    <cellStyle name="Normalny 144 2 2" xfId="13555"/>
    <cellStyle name="Normalny 144 3" xfId="10265"/>
    <cellStyle name="Normalny 145" xfId="3103"/>
    <cellStyle name="Normalny 145 2" xfId="6921"/>
    <cellStyle name="Normalny 145 2 2" xfId="13556"/>
    <cellStyle name="Normalny 145 3" xfId="10266"/>
    <cellStyle name="Normalny 146" xfId="3104"/>
    <cellStyle name="Normalny 146 2" xfId="6922"/>
    <cellStyle name="Normalny 146 2 2" xfId="13557"/>
    <cellStyle name="Normalny 146 3" xfId="10267"/>
    <cellStyle name="Normalny 147" xfId="3105"/>
    <cellStyle name="Normalny 147 2" xfId="6923"/>
    <cellStyle name="Normalny 147 2 2" xfId="13558"/>
    <cellStyle name="Normalny 147 3" xfId="10268"/>
    <cellStyle name="Normalny 148" xfId="3106"/>
    <cellStyle name="Normalny 148 2" xfId="6924"/>
    <cellStyle name="Normalny 148 2 2" xfId="13559"/>
    <cellStyle name="Normalny 148 3" xfId="10269"/>
    <cellStyle name="Normalny 149" xfId="3107"/>
    <cellStyle name="Normalny 149 2" xfId="6925"/>
    <cellStyle name="Normalny 149 2 2" xfId="13560"/>
    <cellStyle name="Normalny 149 3" xfId="10270"/>
    <cellStyle name="Normalny 15" xfId="3108"/>
    <cellStyle name="Normalny 15 2" xfId="3109"/>
    <cellStyle name="Normalny 15 2 2" xfId="6927"/>
    <cellStyle name="Normalny 15 2 2 2" xfId="13562"/>
    <cellStyle name="Normalny 15 2 3" xfId="10272"/>
    <cellStyle name="Normalny 15 3" xfId="6926"/>
    <cellStyle name="Normalny 15 3 2" xfId="13561"/>
    <cellStyle name="Normalny 15 4" xfId="10271"/>
    <cellStyle name="Normalny 150" xfId="3110"/>
    <cellStyle name="Normalny 150 2" xfId="6928"/>
    <cellStyle name="Normalny 150 2 2" xfId="13563"/>
    <cellStyle name="Normalny 150 3" xfId="10273"/>
    <cellStyle name="Normalny 151" xfId="3111"/>
    <cellStyle name="Normalny 151 2" xfId="6929"/>
    <cellStyle name="Normalny 151 2 2" xfId="13564"/>
    <cellStyle name="Normalny 151 3" xfId="10274"/>
    <cellStyle name="Normalny 152" xfId="3112"/>
    <cellStyle name="Normalny 152 2" xfId="6930"/>
    <cellStyle name="Normalny 152 2 2" xfId="13565"/>
    <cellStyle name="Normalny 152 3" xfId="10275"/>
    <cellStyle name="Normalny 153" xfId="3113"/>
    <cellStyle name="Normalny 153 2" xfId="6931"/>
    <cellStyle name="Normalny 153 2 2" xfId="13566"/>
    <cellStyle name="Normalny 153 3" xfId="10276"/>
    <cellStyle name="Normalny 154" xfId="3114"/>
    <cellStyle name="Normalny 154 2" xfId="6932"/>
    <cellStyle name="Normalny 154 2 2" xfId="13567"/>
    <cellStyle name="Normalny 154 3" xfId="10277"/>
    <cellStyle name="Normalny 155" xfId="3115"/>
    <cellStyle name="Normalny 155 2" xfId="6933"/>
    <cellStyle name="Normalny 155 2 2" xfId="13568"/>
    <cellStyle name="Normalny 155 3" xfId="10278"/>
    <cellStyle name="Normalny 156" xfId="3116"/>
    <cellStyle name="Normalny 156 2" xfId="6934"/>
    <cellStyle name="Normalny 156 2 2" xfId="13569"/>
    <cellStyle name="Normalny 156 3" xfId="10279"/>
    <cellStyle name="Normalny 157" xfId="3117"/>
    <cellStyle name="Normalny 157 2" xfId="6935"/>
    <cellStyle name="Normalny 157 2 2" xfId="13570"/>
    <cellStyle name="Normalny 157 3" xfId="10280"/>
    <cellStyle name="Normalny 158" xfId="3118"/>
    <cellStyle name="Normalny 158 2" xfId="6936"/>
    <cellStyle name="Normalny 158 2 2" xfId="13571"/>
    <cellStyle name="Normalny 158 3" xfId="10281"/>
    <cellStyle name="Normalny 159" xfId="3119"/>
    <cellStyle name="Normalny 159 2" xfId="6937"/>
    <cellStyle name="Normalny 159 2 2" xfId="13572"/>
    <cellStyle name="Normalny 159 3" xfId="10282"/>
    <cellStyle name="Normalny 16" xfId="3120"/>
    <cellStyle name="Normalny 16 2" xfId="3121"/>
    <cellStyle name="Normalny 16 2 2" xfId="6939"/>
    <cellStyle name="Normalny 16 2 2 2" xfId="13574"/>
    <cellStyle name="Normalny 16 2 3" xfId="10284"/>
    <cellStyle name="Normalny 16 3" xfId="6938"/>
    <cellStyle name="Normalny 16 3 2" xfId="13573"/>
    <cellStyle name="Normalny 16 4" xfId="10283"/>
    <cellStyle name="Normalny 160" xfId="3122"/>
    <cellStyle name="Normalny 160 2" xfId="6940"/>
    <cellStyle name="Normalny 160 2 2" xfId="13575"/>
    <cellStyle name="Normalny 160 3" xfId="10285"/>
    <cellStyle name="Normalny 161" xfId="3123"/>
    <cellStyle name="Normalny 161 2" xfId="6941"/>
    <cellStyle name="Normalny 161 2 2" xfId="13576"/>
    <cellStyle name="Normalny 161 3" xfId="10286"/>
    <cellStyle name="Normalny 162" xfId="3124"/>
    <cellStyle name="Normalny 162 2" xfId="6942"/>
    <cellStyle name="Normalny 162 2 2" xfId="13577"/>
    <cellStyle name="Normalny 162 3" xfId="10287"/>
    <cellStyle name="Normalny 163" xfId="3125"/>
    <cellStyle name="Normalny 163 2" xfId="6943"/>
    <cellStyle name="Normalny 163 2 2" xfId="13578"/>
    <cellStyle name="Normalny 163 3" xfId="10288"/>
    <cellStyle name="Normalny 164" xfId="3126"/>
    <cellStyle name="Normalny 164 2" xfId="6944"/>
    <cellStyle name="Normalny 164 2 2" xfId="13579"/>
    <cellStyle name="Normalny 164 3" xfId="10289"/>
    <cellStyle name="Normalny 165" xfId="3127"/>
    <cellStyle name="Normalny 165 2" xfId="6945"/>
    <cellStyle name="Normalny 165 2 2" xfId="13580"/>
    <cellStyle name="Normalny 165 3" xfId="10290"/>
    <cellStyle name="Normalny 166" xfId="3128"/>
    <cellStyle name="Normalny 166 2" xfId="6946"/>
    <cellStyle name="Normalny 166 2 2" xfId="13581"/>
    <cellStyle name="Normalny 166 3" xfId="10291"/>
    <cellStyle name="Normalny 167" xfId="3129"/>
    <cellStyle name="Normalny 167 2" xfId="6947"/>
    <cellStyle name="Normalny 167 2 2" xfId="13582"/>
    <cellStyle name="Normalny 167 3" xfId="10292"/>
    <cellStyle name="Normalny 168" xfId="3130"/>
    <cellStyle name="Normalny 168 2" xfId="6948"/>
    <cellStyle name="Normalny 168 2 2" xfId="13583"/>
    <cellStyle name="Normalny 168 3" xfId="10293"/>
    <cellStyle name="Normalny 169" xfId="3131"/>
    <cellStyle name="Normalny 169 2" xfId="6949"/>
    <cellStyle name="Normalny 169 2 2" xfId="13584"/>
    <cellStyle name="Normalny 169 3" xfId="10294"/>
    <cellStyle name="Normalny 17" xfId="3132"/>
    <cellStyle name="Normalny 17 2" xfId="3133"/>
    <cellStyle name="Normalny 17 2 2" xfId="6951"/>
    <cellStyle name="Normalny 17 2 2 2" xfId="13586"/>
    <cellStyle name="Normalny 17 2 3" xfId="10296"/>
    <cellStyle name="Normalny 17 3" xfId="6950"/>
    <cellStyle name="Normalny 17 3 2" xfId="13585"/>
    <cellStyle name="Normalny 17 4" xfId="10295"/>
    <cellStyle name="Normalny 170" xfId="3134"/>
    <cellStyle name="Normalny 170 2" xfId="6952"/>
    <cellStyle name="Normalny 170 2 2" xfId="13587"/>
    <cellStyle name="Normalny 170 3" xfId="10297"/>
    <cellStyle name="Normalny 171" xfId="3135"/>
    <cellStyle name="Normalny 171 2" xfId="6953"/>
    <cellStyle name="Normalny 171 2 2" xfId="13588"/>
    <cellStyle name="Normalny 171 3" xfId="10298"/>
    <cellStyle name="Normalny 172" xfId="3136"/>
    <cellStyle name="Normalny 172 2" xfId="6954"/>
    <cellStyle name="Normalny 172 2 2" xfId="13589"/>
    <cellStyle name="Normalny 172 3" xfId="10299"/>
    <cellStyle name="Normalny 173" xfId="3137"/>
    <cellStyle name="Normalny 173 2" xfId="6955"/>
    <cellStyle name="Normalny 173 2 2" xfId="13590"/>
    <cellStyle name="Normalny 173 3" xfId="10300"/>
    <cellStyle name="Normalny 174" xfId="3138"/>
    <cellStyle name="Normalny 174 2" xfId="6956"/>
    <cellStyle name="Normalny 174 2 2" xfId="13591"/>
    <cellStyle name="Normalny 174 3" xfId="10301"/>
    <cellStyle name="Normalny 175" xfId="3139"/>
    <cellStyle name="Normalny 175 2" xfId="6957"/>
    <cellStyle name="Normalny 175 2 2" xfId="13592"/>
    <cellStyle name="Normalny 175 3" xfId="10302"/>
    <cellStyle name="Normalny 176" xfId="3140"/>
    <cellStyle name="Normalny 176 2" xfId="6958"/>
    <cellStyle name="Normalny 176 2 2" xfId="13593"/>
    <cellStyle name="Normalny 176 3" xfId="10303"/>
    <cellStyle name="Normalny 177" xfId="3141"/>
    <cellStyle name="Normalny 177 2" xfId="6959"/>
    <cellStyle name="Normalny 177 2 2" xfId="13594"/>
    <cellStyle name="Normalny 177 3" xfId="10304"/>
    <cellStyle name="Normalny 178" xfId="3142"/>
    <cellStyle name="Normalny 178 2" xfId="6960"/>
    <cellStyle name="Normalny 178 2 2" xfId="13595"/>
    <cellStyle name="Normalny 178 3" xfId="10305"/>
    <cellStyle name="Normalny 179" xfId="3143"/>
    <cellStyle name="Normalny 179 2" xfId="6961"/>
    <cellStyle name="Normalny 179 2 2" xfId="13596"/>
    <cellStyle name="Normalny 179 3" xfId="10306"/>
    <cellStyle name="Normalny 18" xfId="3144"/>
    <cellStyle name="Normalny 18 2" xfId="3145"/>
    <cellStyle name="Normalny 18 2 2" xfId="6963"/>
    <cellStyle name="Normalny 18 2 2 2" xfId="13598"/>
    <cellStyle name="Normalny 18 2 3" xfId="10308"/>
    <cellStyle name="Normalny 18 3" xfId="6962"/>
    <cellStyle name="Normalny 18 3 2" xfId="13597"/>
    <cellStyle name="Normalny 18 4" xfId="10307"/>
    <cellStyle name="Normalny 180" xfId="3146"/>
    <cellStyle name="Normalny 180 2" xfId="6964"/>
    <cellStyle name="Normalny 180 2 2" xfId="13599"/>
    <cellStyle name="Normalny 180 3" xfId="10309"/>
    <cellStyle name="Normalny 181" xfId="3147"/>
    <cellStyle name="Normalny 181 2" xfId="6965"/>
    <cellStyle name="Normalny 181 2 2" xfId="13600"/>
    <cellStyle name="Normalny 181 3" xfId="10310"/>
    <cellStyle name="Normalny 182" xfId="3148"/>
    <cellStyle name="Normalny 182 2" xfId="6966"/>
    <cellStyle name="Normalny 182 2 2" xfId="13601"/>
    <cellStyle name="Normalny 182 3" xfId="10311"/>
    <cellStyle name="Normalny 183" xfId="3149"/>
    <cellStyle name="Normalny 183 2" xfId="6967"/>
    <cellStyle name="Normalny 183 2 2" xfId="13602"/>
    <cellStyle name="Normalny 183 3" xfId="10312"/>
    <cellStyle name="Normalny 184" xfId="3150"/>
    <cellStyle name="Normalny 184 2" xfId="6968"/>
    <cellStyle name="Normalny 184 2 2" xfId="13603"/>
    <cellStyle name="Normalny 184 3" xfId="10313"/>
    <cellStyle name="Normalny 185" xfId="3151"/>
    <cellStyle name="Normalny 185 2" xfId="6969"/>
    <cellStyle name="Normalny 185 2 2" xfId="13604"/>
    <cellStyle name="Normalny 185 3" xfId="10314"/>
    <cellStyle name="Normalny 186" xfId="3152"/>
    <cellStyle name="Normalny 186 2" xfId="6970"/>
    <cellStyle name="Normalny 186 2 2" xfId="13605"/>
    <cellStyle name="Normalny 186 3" xfId="10315"/>
    <cellStyle name="Normalny 187" xfId="3153"/>
    <cellStyle name="Normalny 187 2" xfId="6971"/>
    <cellStyle name="Normalny 187 2 2" xfId="13606"/>
    <cellStyle name="Normalny 187 3" xfId="10316"/>
    <cellStyle name="Normalny 188" xfId="3154"/>
    <cellStyle name="Normalny 188 2" xfId="6972"/>
    <cellStyle name="Normalny 188 2 2" xfId="13607"/>
    <cellStyle name="Normalny 188 3" xfId="10317"/>
    <cellStyle name="Normalny 189" xfId="3155"/>
    <cellStyle name="Normalny 189 2" xfId="6973"/>
    <cellStyle name="Normalny 189 2 2" xfId="13608"/>
    <cellStyle name="Normalny 189 3" xfId="10318"/>
    <cellStyle name="Normalny 19" xfId="3156"/>
    <cellStyle name="Normalny 19 2" xfId="3157"/>
    <cellStyle name="Normalny 19 2 2" xfId="6975"/>
    <cellStyle name="Normalny 19 2 2 2" xfId="13610"/>
    <cellStyle name="Normalny 19 2 3" xfId="10320"/>
    <cellStyle name="Normalny 19 3" xfId="6974"/>
    <cellStyle name="Normalny 19 3 2" xfId="13609"/>
    <cellStyle name="Normalny 19 4" xfId="10319"/>
    <cellStyle name="Normalny 190" xfId="3158"/>
    <cellStyle name="Normalny 190 2" xfId="6976"/>
    <cellStyle name="Normalny 190 2 2" xfId="13611"/>
    <cellStyle name="Normalny 190 3" xfId="10321"/>
    <cellStyle name="Normalny 191" xfId="3159"/>
    <cellStyle name="Normalny 191 2" xfId="6977"/>
    <cellStyle name="Normalny 191 2 2" xfId="13612"/>
    <cellStyle name="Normalny 191 3" xfId="10322"/>
    <cellStyle name="Normalny 192" xfId="3160"/>
    <cellStyle name="Normalny 192 2" xfId="6978"/>
    <cellStyle name="Normalny 192 2 2" xfId="13613"/>
    <cellStyle name="Normalny 192 3" xfId="10323"/>
    <cellStyle name="Normalny 193" xfId="3161"/>
    <cellStyle name="Normalny 193 2" xfId="6979"/>
    <cellStyle name="Normalny 193 2 2" xfId="13614"/>
    <cellStyle name="Normalny 193 3" xfId="10324"/>
    <cellStyle name="Normalny 194" xfId="3162"/>
    <cellStyle name="Normalny 194 2" xfId="6980"/>
    <cellStyle name="Normalny 194 2 2" xfId="13615"/>
    <cellStyle name="Normalny 194 3" xfId="10325"/>
    <cellStyle name="Normalny 195" xfId="3163"/>
    <cellStyle name="Normalny 195 2" xfId="6981"/>
    <cellStyle name="Normalny 195 2 2" xfId="13616"/>
    <cellStyle name="Normalny 195 3" xfId="10326"/>
    <cellStyle name="Normalny 196" xfId="3164"/>
    <cellStyle name="Normalny 196 2" xfId="3849"/>
    <cellStyle name="Normalny 196 2 2" xfId="10484"/>
    <cellStyle name="Normalny 196 3" xfId="10327"/>
    <cellStyle name="Normalny 197" xfId="3575"/>
    <cellStyle name="Normalny 198" xfId="3834"/>
    <cellStyle name="Normalny 198 2" xfId="7164"/>
    <cellStyle name="Normalny 198 2 2" xfId="13759"/>
    <cellStyle name="Normalny 198 3" xfId="7177"/>
    <cellStyle name="Normalny 198 3 2" xfId="13772"/>
    <cellStyle name="Normalny 198 4" xfId="7184"/>
    <cellStyle name="Normalny 199" xfId="7116"/>
    <cellStyle name="Normalny 199 2" xfId="13751"/>
    <cellStyle name="Normalny 2" xfId="3165"/>
    <cellStyle name="Normalny 2 2" xfId="3166"/>
    <cellStyle name="Normalny 2 2 2" xfId="3851"/>
    <cellStyle name="Normalny 2 2 2 2" xfId="10486"/>
    <cellStyle name="Normalny 2 2 3" xfId="10329"/>
    <cellStyle name="Normalny 2 3" xfId="3566"/>
    <cellStyle name="Normalny 2 4" xfId="10328"/>
    <cellStyle name="Normalny 20" xfId="3167"/>
    <cellStyle name="Normalny 20 2" xfId="3168"/>
    <cellStyle name="Normalny 20 2 2" xfId="6983"/>
    <cellStyle name="Normalny 20 2 2 2" xfId="13618"/>
    <cellStyle name="Normalny 20 2 3" xfId="10331"/>
    <cellStyle name="Normalny 20 3" xfId="6982"/>
    <cellStyle name="Normalny 20 3 2" xfId="13617"/>
    <cellStyle name="Normalny 20 4" xfId="10330"/>
    <cellStyle name="Normalny 200" xfId="7159"/>
    <cellStyle name="Normalny 200 2" xfId="13754"/>
    <cellStyle name="Normalny 201" xfId="7166"/>
    <cellStyle name="Normalny 201 2" xfId="13761"/>
    <cellStyle name="Normalny 202" xfId="7169"/>
    <cellStyle name="Normalny 202 2" xfId="13764"/>
    <cellStyle name="Normalny 203" xfId="7172"/>
    <cellStyle name="Normalny 203 2" xfId="13767"/>
    <cellStyle name="Normalny 204" xfId="7198"/>
    <cellStyle name="Normalny 205" xfId="7179"/>
    <cellStyle name="Normalny 206" xfId="13774"/>
    <cellStyle name="Normalny 21" xfId="3169"/>
    <cellStyle name="Normalny 21 2" xfId="3170"/>
    <cellStyle name="Normalny 21 2 2" xfId="6985"/>
    <cellStyle name="Normalny 21 2 2 2" xfId="13620"/>
    <cellStyle name="Normalny 21 2 3" xfId="10333"/>
    <cellStyle name="Normalny 21 3" xfId="6984"/>
    <cellStyle name="Normalny 21 3 2" xfId="13619"/>
    <cellStyle name="Normalny 21 4" xfId="10332"/>
    <cellStyle name="Normalny 22" xfId="3171"/>
    <cellStyle name="Normalny 22 2" xfId="3172"/>
    <cellStyle name="Normalny 22 2 2" xfId="6987"/>
    <cellStyle name="Normalny 22 2 2 2" xfId="13622"/>
    <cellStyle name="Normalny 22 2 3" xfId="10335"/>
    <cellStyle name="Normalny 22 3" xfId="6986"/>
    <cellStyle name="Normalny 22 3 2" xfId="13621"/>
    <cellStyle name="Normalny 22 4" xfId="10334"/>
    <cellStyle name="Normalny 23" xfId="3173"/>
    <cellStyle name="Normalny 23 2" xfId="3174"/>
    <cellStyle name="Normalny 23 2 2" xfId="6989"/>
    <cellStyle name="Normalny 23 2 2 2" xfId="13624"/>
    <cellStyle name="Normalny 23 2 3" xfId="10337"/>
    <cellStyle name="Normalny 23 3" xfId="6988"/>
    <cellStyle name="Normalny 23 3 2" xfId="13623"/>
    <cellStyle name="Normalny 23 4" xfId="10336"/>
    <cellStyle name="Normalny 24" xfId="3175"/>
    <cellStyle name="Normalny 24 2" xfId="3176"/>
    <cellStyle name="Normalny 24 2 2" xfId="6991"/>
    <cellStyle name="Normalny 24 2 2 2" xfId="13626"/>
    <cellStyle name="Normalny 24 2 3" xfId="10339"/>
    <cellStyle name="Normalny 24 3" xfId="6990"/>
    <cellStyle name="Normalny 24 3 2" xfId="13625"/>
    <cellStyle name="Normalny 24 4" xfId="10338"/>
    <cellStyle name="Normalny 25" xfId="3177"/>
    <cellStyle name="Normalny 25 2" xfId="3178"/>
    <cellStyle name="Normalny 25 2 2" xfId="6993"/>
    <cellStyle name="Normalny 25 2 2 2" xfId="13628"/>
    <cellStyle name="Normalny 25 2 3" xfId="10341"/>
    <cellStyle name="Normalny 25 3" xfId="6992"/>
    <cellStyle name="Normalny 25 3 2" xfId="13627"/>
    <cellStyle name="Normalny 25 4" xfId="10340"/>
    <cellStyle name="Normalny 26" xfId="3179"/>
    <cellStyle name="Normalny 26 2" xfId="3180"/>
    <cellStyle name="Normalny 26 2 2" xfId="6995"/>
    <cellStyle name="Normalny 26 2 2 2" xfId="13630"/>
    <cellStyle name="Normalny 26 2 3" xfId="10343"/>
    <cellStyle name="Normalny 26 3" xfId="6994"/>
    <cellStyle name="Normalny 26 3 2" xfId="13629"/>
    <cellStyle name="Normalny 26 4" xfId="10342"/>
    <cellStyle name="Normalny 27" xfId="3181"/>
    <cellStyle name="Normalny 27 2" xfId="3182"/>
    <cellStyle name="Normalny 27 2 2" xfId="6997"/>
    <cellStyle name="Normalny 27 2 2 2" xfId="13632"/>
    <cellStyle name="Normalny 27 2 3" xfId="10345"/>
    <cellStyle name="Normalny 27 3" xfId="6996"/>
    <cellStyle name="Normalny 27 3 2" xfId="13631"/>
    <cellStyle name="Normalny 27 4" xfId="10344"/>
    <cellStyle name="Normalny 28" xfId="3183"/>
    <cellStyle name="Normalny 28 2" xfId="3184"/>
    <cellStyle name="Normalny 28 2 2" xfId="6999"/>
    <cellStyle name="Normalny 28 2 2 2" xfId="13634"/>
    <cellStyle name="Normalny 28 2 3" xfId="10347"/>
    <cellStyle name="Normalny 28 3" xfId="6998"/>
    <cellStyle name="Normalny 28 3 2" xfId="13633"/>
    <cellStyle name="Normalny 28 4" xfId="10346"/>
    <cellStyle name="Normalny 29" xfId="3185"/>
    <cellStyle name="Normalny 29 2" xfId="3186"/>
    <cellStyle name="Normalny 29 2 2" xfId="7001"/>
    <cellStyle name="Normalny 29 2 2 2" xfId="13636"/>
    <cellStyle name="Normalny 29 2 3" xfId="10349"/>
    <cellStyle name="Normalny 29 3" xfId="7000"/>
    <cellStyle name="Normalny 29 3 2" xfId="13635"/>
    <cellStyle name="Normalny 29 4" xfId="10348"/>
    <cellStyle name="Normalny 3" xfId="3187"/>
    <cellStyle name="Normalny 3 2" xfId="3188"/>
    <cellStyle name="Normalny 3 2 2" xfId="7003"/>
    <cellStyle name="Normalny 3 2 2 2" xfId="13638"/>
    <cellStyle name="Normalny 3 2 3" xfId="10351"/>
    <cellStyle name="Normalny 3 3" xfId="3577"/>
    <cellStyle name="Normalny 3 3 2" xfId="7002"/>
    <cellStyle name="Normalny 3 3 2 2" xfId="13637"/>
    <cellStyle name="Normalny 3 3 3" xfId="10469"/>
    <cellStyle name="Normalny 3 4" xfId="3568"/>
    <cellStyle name="Normalny 3 5" xfId="10350"/>
    <cellStyle name="Normalny 30" xfId="3189"/>
    <cellStyle name="Normalny 30 2" xfId="3190"/>
    <cellStyle name="Normalny 30 2 2" xfId="7005"/>
    <cellStyle name="Normalny 30 2 2 2" xfId="13640"/>
    <cellStyle name="Normalny 30 2 3" xfId="10353"/>
    <cellStyle name="Normalny 30 3" xfId="7004"/>
    <cellStyle name="Normalny 30 3 2" xfId="13639"/>
    <cellStyle name="Normalny 30 4" xfId="10352"/>
    <cellStyle name="Normalny 31" xfId="3191"/>
    <cellStyle name="Normalny 31 2" xfId="3192"/>
    <cellStyle name="Normalny 31 2 2" xfId="7007"/>
    <cellStyle name="Normalny 31 2 2 2" xfId="13642"/>
    <cellStyle name="Normalny 31 2 3" xfId="10355"/>
    <cellStyle name="Normalny 31 3" xfId="7006"/>
    <cellStyle name="Normalny 31 3 2" xfId="13641"/>
    <cellStyle name="Normalny 31 4" xfId="10354"/>
    <cellStyle name="Normalny 32" xfId="3193"/>
    <cellStyle name="Normalny 32 2" xfId="3194"/>
    <cellStyle name="Normalny 32 2 2" xfId="7009"/>
    <cellStyle name="Normalny 32 2 2 2" xfId="13644"/>
    <cellStyle name="Normalny 32 2 3" xfId="10357"/>
    <cellStyle name="Normalny 32 3" xfId="7008"/>
    <cellStyle name="Normalny 32 3 2" xfId="13643"/>
    <cellStyle name="Normalny 32 4" xfId="10356"/>
    <cellStyle name="Normalny 33" xfId="3195"/>
    <cellStyle name="Normalny 33 2" xfId="3196"/>
    <cellStyle name="Normalny 33 2 2" xfId="7011"/>
    <cellStyle name="Normalny 33 2 2 2" xfId="13646"/>
    <cellStyle name="Normalny 33 2 3" xfId="10359"/>
    <cellStyle name="Normalny 33 3" xfId="7010"/>
    <cellStyle name="Normalny 33 3 2" xfId="13645"/>
    <cellStyle name="Normalny 33 4" xfId="10358"/>
    <cellStyle name="Normalny 34" xfId="3197"/>
    <cellStyle name="Normalny 34 2" xfId="3198"/>
    <cellStyle name="Normalny 34 2 2" xfId="7013"/>
    <cellStyle name="Normalny 34 2 2 2" xfId="13648"/>
    <cellStyle name="Normalny 34 2 3" xfId="10361"/>
    <cellStyle name="Normalny 34 3" xfId="7012"/>
    <cellStyle name="Normalny 34 3 2" xfId="13647"/>
    <cellStyle name="Normalny 34 4" xfId="10360"/>
    <cellStyle name="Normalny 35" xfId="3199"/>
    <cellStyle name="Normalny 35 2" xfId="3200"/>
    <cellStyle name="Normalny 35 2 2" xfId="7015"/>
    <cellStyle name="Normalny 35 2 2 2" xfId="13650"/>
    <cellStyle name="Normalny 35 2 3" xfId="10363"/>
    <cellStyle name="Normalny 35 3" xfId="7014"/>
    <cellStyle name="Normalny 35 3 2" xfId="13649"/>
    <cellStyle name="Normalny 35 4" xfId="10362"/>
    <cellStyle name="Normalny 36" xfId="3201"/>
    <cellStyle name="Normalny 36 2" xfId="3202"/>
    <cellStyle name="Normalny 36 2 2" xfId="7017"/>
    <cellStyle name="Normalny 36 2 2 2" xfId="13652"/>
    <cellStyle name="Normalny 36 2 3" xfId="10365"/>
    <cellStyle name="Normalny 36 3" xfId="7016"/>
    <cellStyle name="Normalny 36 3 2" xfId="13651"/>
    <cellStyle name="Normalny 36 4" xfId="10364"/>
    <cellStyle name="Normalny 37" xfId="3203"/>
    <cellStyle name="Normalny 37 2" xfId="3204"/>
    <cellStyle name="Normalny 37 2 2" xfId="7019"/>
    <cellStyle name="Normalny 37 2 2 2" xfId="13654"/>
    <cellStyle name="Normalny 37 2 3" xfId="10367"/>
    <cellStyle name="Normalny 37 3" xfId="7018"/>
    <cellStyle name="Normalny 37 3 2" xfId="13653"/>
    <cellStyle name="Normalny 37 4" xfId="10366"/>
    <cellStyle name="Normalny 38" xfId="3205"/>
    <cellStyle name="Normalny 38 2" xfId="3206"/>
    <cellStyle name="Normalny 38 2 2" xfId="7021"/>
    <cellStyle name="Normalny 38 2 2 2" xfId="13656"/>
    <cellStyle name="Normalny 38 2 3" xfId="10369"/>
    <cellStyle name="Normalny 38 3" xfId="7020"/>
    <cellStyle name="Normalny 38 3 2" xfId="13655"/>
    <cellStyle name="Normalny 38 4" xfId="10368"/>
    <cellStyle name="Normalny 39" xfId="3207"/>
    <cellStyle name="Normalny 39 2" xfId="3208"/>
    <cellStyle name="Normalny 39 2 2" xfId="7023"/>
    <cellStyle name="Normalny 39 2 2 2" xfId="13658"/>
    <cellStyle name="Normalny 39 2 3" xfId="10371"/>
    <cellStyle name="Normalny 39 3" xfId="7022"/>
    <cellStyle name="Normalny 39 3 2" xfId="13657"/>
    <cellStyle name="Normalny 39 4" xfId="10370"/>
    <cellStyle name="Normalny 4" xfId="3209"/>
    <cellStyle name="Normalny 4 2" xfId="3210"/>
    <cellStyle name="Normalny 4 2 2" xfId="7025"/>
    <cellStyle name="Normalny 4 2 2 2" xfId="13660"/>
    <cellStyle name="Normalny 4 2 3" xfId="10373"/>
    <cellStyle name="Normalny 4 3" xfId="3578"/>
    <cellStyle name="Normalny 4 3 2" xfId="7024"/>
    <cellStyle name="Normalny 4 3 2 2" xfId="13659"/>
    <cellStyle name="Normalny 4 3 3" xfId="10470"/>
    <cellStyle name="Normalny 4 4" xfId="3573"/>
    <cellStyle name="Normalny 4 5" xfId="10372"/>
    <cellStyle name="Normalny 40" xfId="3211"/>
    <cellStyle name="Normalny 40 2" xfId="3212"/>
    <cellStyle name="Normalny 40 2 2" xfId="7027"/>
    <cellStyle name="Normalny 40 2 2 2" xfId="13662"/>
    <cellStyle name="Normalny 40 2 3" xfId="10375"/>
    <cellStyle name="Normalny 40 3" xfId="7026"/>
    <cellStyle name="Normalny 40 3 2" xfId="13661"/>
    <cellStyle name="Normalny 40 4" xfId="10374"/>
    <cellStyle name="Normalny 41" xfId="3213"/>
    <cellStyle name="Normalny 41 2" xfId="3214"/>
    <cellStyle name="Normalny 41 2 2" xfId="7029"/>
    <cellStyle name="Normalny 41 2 2 2" xfId="13664"/>
    <cellStyle name="Normalny 41 2 3" xfId="10377"/>
    <cellStyle name="Normalny 41 3" xfId="7028"/>
    <cellStyle name="Normalny 41 3 2" xfId="13663"/>
    <cellStyle name="Normalny 41 4" xfId="10376"/>
    <cellStyle name="Normalny 42" xfId="3215"/>
    <cellStyle name="Normalny 42 2" xfId="3216"/>
    <cellStyle name="Normalny 42 2 2" xfId="7031"/>
    <cellStyle name="Normalny 42 2 2 2" xfId="13666"/>
    <cellStyle name="Normalny 42 2 3" xfId="10379"/>
    <cellStyle name="Normalny 42 3" xfId="7030"/>
    <cellStyle name="Normalny 42 3 2" xfId="13665"/>
    <cellStyle name="Normalny 42 4" xfId="10378"/>
    <cellStyle name="Normalny 43" xfId="3217"/>
    <cellStyle name="Normalny 43 2" xfId="3218"/>
    <cellStyle name="Normalny 43 2 2" xfId="7033"/>
    <cellStyle name="Normalny 43 2 2 2" xfId="13668"/>
    <cellStyle name="Normalny 43 2 3" xfId="10381"/>
    <cellStyle name="Normalny 43 3" xfId="7032"/>
    <cellStyle name="Normalny 43 3 2" xfId="13667"/>
    <cellStyle name="Normalny 43 4" xfId="10380"/>
    <cellStyle name="Normalny 44" xfId="3219"/>
    <cellStyle name="Normalny 44 2" xfId="3220"/>
    <cellStyle name="Normalny 44 2 2" xfId="7035"/>
    <cellStyle name="Normalny 44 2 2 2" xfId="13670"/>
    <cellStyle name="Normalny 44 2 3" xfId="10383"/>
    <cellStyle name="Normalny 44 3" xfId="7034"/>
    <cellStyle name="Normalny 44 3 2" xfId="13669"/>
    <cellStyle name="Normalny 44 4" xfId="10382"/>
    <cellStyle name="Normalny 45" xfId="3221"/>
    <cellStyle name="Normalny 45 2" xfId="3222"/>
    <cellStyle name="Normalny 45 2 2" xfId="7037"/>
    <cellStyle name="Normalny 45 2 2 2" xfId="13672"/>
    <cellStyle name="Normalny 45 2 3" xfId="10385"/>
    <cellStyle name="Normalny 45 3" xfId="7036"/>
    <cellStyle name="Normalny 45 3 2" xfId="13671"/>
    <cellStyle name="Normalny 45 4" xfId="10384"/>
    <cellStyle name="Normalny 46" xfId="3223"/>
    <cellStyle name="Normalny 46 2" xfId="3224"/>
    <cellStyle name="Normalny 46 2 2" xfId="7039"/>
    <cellStyle name="Normalny 46 2 2 2" xfId="13674"/>
    <cellStyle name="Normalny 46 2 3" xfId="10387"/>
    <cellStyle name="Normalny 46 3" xfId="7038"/>
    <cellStyle name="Normalny 46 3 2" xfId="13673"/>
    <cellStyle name="Normalny 46 4" xfId="10386"/>
    <cellStyle name="Normalny 47" xfId="3225"/>
    <cellStyle name="Normalny 47 2" xfId="3226"/>
    <cellStyle name="Normalny 47 2 2" xfId="7041"/>
    <cellStyle name="Normalny 47 2 2 2" xfId="13676"/>
    <cellStyle name="Normalny 47 2 3" xfId="10389"/>
    <cellStyle name="Normalny 47 3" xfId="7040"/>
    <cellStyle name="Normalny 47 3 2" xfId="13675"/>
    <cellStyle name="Normalny 47 4" xfId="10388"/>
    <cellStyle name="Normalny 48" xfId="3227"/>
    <cellStyle name="Normalny 48 2" xfId="3228"/>
    <cellStyle name="Normalny 48 2 2" xfId="7043"/>
    <cellStyle name="Normalny 48 2 2 2" xfId="13678"/>
    <cellStyle name="Normalny 48 2 3" xfId="10391"/>
    <cellStyle name="Normalny 48 3" xfId="7042"/>
    <cellStyle name="Normalny 48 3 2" xfId="13677"/>
    <cellStyle name="Normalny 48 4" xfId="10390"/>
    <cellStyle name="Normalny 49" xfId="3229"/>
    <cellStyle name="Normalny 49 2" xfId="3230"/>
    <cellStyle name="Normalny 49 2 2" xfId="7045"/>
    <cellStyle name="Normalny 49 2 2 2" xfId="13680"/>
    <cellStyle name="Normalny 49 2 3" xfId="10393"/>
    <cellStyle name="Normalny 49 3" xfId="7044"/>
    <cellStyle name="Normalny 49 3 2" xfId="13679"/>
    <cellStyle name="Normalny 49 4" xfId="10392"/>
    <cellStyle name="Normalny 5" xfId="3231"/>
    <cellStyle name="Normalny 5 2" xfId="3232"/>
    <cellStyle name="Normalny 5 2 2" xfId="7047"/>
    <cellStyle name="Normalny 5 2 2 2" xfId="13682"/>
    <cellStyle name="Normalny 5 2 3" xfId="10395"/>
    <cellStyle name="Normalny 5 3" xfId="7046"/>
    <cellStyle name="Normalny 5 3 2" xfId="13681"/>
    <cellStyle name="Normalny 5 4" xfId="10394"/>
    <cellStyle name="Normalny 50" xfId="3233"/>
    <cellStyle name="Normalny 50 2" xfId="3234"/>
    <cellStyle name="Normalny 50 2 2" xfId="7049"/>
    <cellStyle name="Normalny 50 2 2 2" xfId="13684"/>
    <cellStyle name="Normalny 50 2 3" xfId="10397"/>
    <cellStyle name="Normalny 50 3" xfId="7048"/>
    <cellStyle name="Normalny 50 3 2" xfId="13683"/>
    <cellStyle name="Normalny 50 4" xfId="10396"/>
    <cellStyle name="Normalny 51" xfId="3235"/>
    <cellStyle name="Normalny 51 2" xfId="3236"/>
    <cellStyle name="Normalny 51 2 2" xfId="7051"/>
    <cellStyle name="Normalny 51 2 2 2" xfId="13686"/>
    <cellStyle name="Normalny 51 2 3" xfId="10399"/>
    <cellStyle name="Normalny 51 3" xfId="7050"/>
    <cellStyle name="Normalny 51 3 2" xfId="13685"/>
    <cellStyle name="Normalny 51 4" xfId="10398"/>
    <cellStyle name="Normalny 52" xfId="3237"/>
    <cellStyle name="Normalny 52 2" xfId="3238"/>
    <cellStyle name="Normalny 52 2 2" xfId="7053"/>
    <cellStyle name="Normalny 52 2 2 2" xfId="13688"/>
    <cellStyle name="Normalny 52 2 3" xfId="10401"/>
    <cellStyle name="Normalny 52 3" xfId="7052"/>
    <cellStyle name="Normalny 52 3 2" xfId="13687"/>
    <cellStyle name="Normalny 52 4" xfId="10400"/>
    <cellStyle name="Normalny 53" xfId="3239"/>
    <cellStyle name="Normalny 53 2" xfId="3240"/>
    <cellStyle name="Normalny 53 2 2" xfId="7055"/>
    <cellStyle name="Normalny 53 2 2 2" xfId="13690"/>
    <cellStyle name="Normalny 53 2 3" xfId="10403"/>
    <cellStyle name="Normalny 53 3" xfId="7054"/>
    <cellStyle name="Normalny 53 3 2" xfId="13689"/>
    <cellStyle name="Normalny 53 4" xfId="10402"/>
    <cellStyle name="Normalny 54" xfId="3241"/>
    <cellStyle name="Normalny 54 2" xfId="3242"/>
    <cellStyle name="Normalny 54 2 2" xfId="7057"/>
    <cellStyle name="Normalny 54 2 2 2" xfId="13692"/>
    <cellStyle name="Normalny 54 2 3" xfId="10405"/>
    <cellStyle name="Normalny 54 3" xfId="7056"/>
    <cellStyle name="Normalny 54 3 2" xfId="13691"/>
    <cellStyle name="Normalny 54 4" xfId="10404"/>
    <cellStyle name="Normalny 55" xfId="3243"/>
    <cellStyle name="Normalny 55 2" xfId="3244"/>
    <cellStyle name="Normalny 55 2 2" xfId="7059"/>
    <cellStyle name="Normalny 55 2 2 2" xfId="13694"/>
    <cellStyle name="Normalny 55 2 3" xfId="10407"/>
    <cellStyle name="Normalny 55 3" xfId="7058"/>
    <cellStyle name="Normalny 55 3 2" xfId="13693"/>
    <cellStyle name="Normalny 55 4" xfId="10406"/>
    <cellStyle name="Normalny 56" xfId="3245"/>
    <cellStyle name="Normalny 56 2" xfId="3246"/>
    <cellStyle name="Normalny 56 2 2" xfId="7061"/>
    <cellStyle name="Normalny 56 2 2 2" xfId="13696"/>
    <cellStyle name="Normalny 56 2 3" xfId="10409"/>
    <cellStyle name="Normalny 56 3" xfId="7060"/>
    <cellStyle name="Normalny 56 3 2" xfId="13695"/>
    <cellStyle name="Normalny 56 4" xfId="10408"/>
    <cellStyle name="Normalny 57" xfId="3247"/>
    <cellStyle name="Normalny 57 2" xfId="3248"/>
    <cellStyle name="Normalny 57 2 2" xfId="7063"/>
    <cellStyle name="Normalny 57 2 2 2" xfId="13698"/>
    <cellStyle name="Normalny 57 2 3" xfId="10411"/>
    <cellStyle name="Normalny 57 3" xfId="7062"/>
    <cellStyle name="Normalny 57 3 2" xfId="13697"/>
    <cellStyle name="Normalny 57 4" xfId="10410"/>
    <cellStyle name="Normalny 58" xfId="3249"/>
    <cellStyle name="Normalny 58 2" xfId="3250"/>
    <cellStyle name="Normalny 58 2 2" xfId="7065"/>
    <cellStyle name="Normalny 58 2 2 2" xfId="13700"/>
    <cellStyle name="Normalny 58 2 3" xfId="10413"/>
    <cellStyle name="Normalny 58 3" xfId="7064"/>
    <cellStyle name="Normalny 58 3 2" xfId="13699"/>
    <cellStyle name="Normalny 58 4" xfId="10412"/>
    <cellStyle name="Normalny 59" xfId="3251"/>
    <cellStyle name="Normalny 59 2" xfId="3252"/>
    <cellStyle name="Normalny 59 2 2" xfId="7067"/>
    <cellStyle name="Normalny 59 2 2 2" xfId="13702"/>
    <cellStyle name="Normalny 59 2 3" xfId="10415"/>
    <cellStyle name="Normalny 59 3" xfId="7066"/>
    <cellStyle name="Normalny 59 3 2" xfId="13701"/>
    <cellStyle name="Normalny 59 4" xfId="10414"/>
    <cellStyle name="Normalny 6" xfId="3253"/>
    <cellStyle name="Normalny 6 2" xfId="3254"/>
    <cellStyle name="Normalny 6 2 2" xfId="7069"/>
    <cellStyle name="Normalny 6 2 2 2" xfId="13704"/>
    <cellStyle name="Normalny 6 2 3" xfId="10417"/>
    <cellStyle name="Normalny 6 3" xfId="7068"/>
    <cellStyle name="Normalny 6 3 2" xfId="13703"/>
    <cellStyle name="Normalny 6 4" xfId="10416"/>
    <cellStyle name="Normalny 60" xfId="3255"/>
    <cellStyle name="Normalny 60 2" xfId="3256"/>
    <cellStyle name="Normalny 60 2 2" xfId="7071"/>
    <cellStyle name="Normalny 60 2 2 2" xfId="13706"/>
    <cellStyle name="Normalny 60 2 3" xfId="10419"/>
    <cellStyle name="Normalny 60 3" xfId="7070"/>
    <cellStyle name="Normalny 60 3 2" xfId="13705"/>
    <cellStyle name="Normalny 60 4" xfId="10418"/>
    <cellStyle name="Normalny 61" xfId="3257"/>
    <cellStyle name="Normalny 61 2" xfId="7072"/>
    <cellStyle name="Normalny 61 2 2" xfId="13707"/>
    <cellStyle name="Normalny 61 3" xfId="10420"/>
    <cellStyle name="Normalny 62" xfId="3258"/>
    <cellStyle name="Normalny 63" xfId="3259"/>
    <cellStyle name="Normalny 63 2" xfId="7073"/>
    <cellStyle name="Normalny 63 2 2" xfId="13708"/>
    <cellStyle name="Normalny 63 3" xfId="10421"/>
    <cellStyle name="Normalny 64" xfId="3260"/>
    <cellStyle name="Normalny 64 2" xfId="7074"/>
    <cellStyle name="Normalny 64 2 2" xfId="13709"/>
    <cellStyle name="Normalny 64 3" xfId="10422"/>
    <cellStyle name="Normalny 65" xfId="3261"/>
    <cellStyle name="Normalny 65 2" xfId="7075"/>
    <cellStyle name="Normalny 65 2 2" xfId="13710"/>
    <cellStyle name="Normalny 65 3" xfId="10423"/>
    <cellStyle name="Normalny 66" xfId="3262"/>
    <cellStyle name="Normalny 66 2" xfId="7076"/>
    <cellStyle name="Normalny 66 2 2" xfId="13711"/>
    <cellStyle name="Normalny 66 3" xfId="10424"/>
    <cellStyle name="Normalny 67" xfId="3263"/>
    <cellStyle name="Normalny 67 2" xfId="7077"/>
    <cellStyle name="Normalny 67 2 2" xfId="13712"/>
    <cellStyle name="Normalny 67 3" xfId="10425"/>
    <cellStyle name="Normalny 68" xfId="3264"/>
    <cellStyle name="Normalny 68 2" xfId="7078"/>
    <cellStyle name="Normalny 68 2 2" xfId="13713"/>
    <cellStyle name="Normalny 68 3" xfId="10426"/>
    <cellStyle name="Normalny 69" xfId="3265"/>
    <cellStyle name="Normalny 69 2" xfId="7079"/>
    <cellStyle name="Normalny 69 2 2" xfId="13714"/>
    <cellStyle name="Normalny 69 3" xfId="10427"/>
    <cellStyle name="Normalny 7" xfId="3266"/>
    <cellStyle name="Normalny 7 2" xfId="3267"/>
    <cellStyle name="Normalny 7 2 2" xfId="7081"/>
    <cellStyle name="Normalny 7 2 2 2" xfId="13716"/>
    <cellStyle name="Normalny 7 2 3" xfId="10429"/>
    <cellStyle name="Normalny 7 3" xfId="7080"/>
    <cellStyle name="Normalny 7 3 2" xfId="13715"/>
    <cellStyle name="Normalny 7 4" xfId="10428"/>
    <cellStyle name="Normalny 70" xfId="3268"/>
    <cellStyle name="Normalny 70 2" xfId="7082"/>
    <cellStyle name="Normalny 70 2 2" xfId="13717"/>
    <cellStyle name="Normalny 70 3" xfId="10430"/>
    <cellStyle name="Normalny 71" xfId="3269"/>
    <cellStyle name="Normalny 71 2" xfId="7083"/>
    <cellStyle name="Normalny 71 2 2" xfId="13718"/>
    <cellStyle name="Normalny 71 3" xfId="10431"/>
    <cellStyle name="Normalny 72" xfId="3270"/>
    <cellStyle name="Normalny 72 2" xfId="7084"/>
    <cellStyle name="Normalny 72 2 2" xfId="13719"/>
    <cellStyle name="Normalny 72 3" xfId="10432"/>
    <cellStyle name="Normalny 73" xfId="3271"/>
    <cellStyle name="Normalny 73 2" xfId="7085"/>
    <cellStyle name="Normalny 73 2 2" xfId="13720"/>
    <cellStyle name="Normalny 73 3" xfId="10433"/>
    <cellStyle name="Normalny 74" xfId="3272"/>
    <cellStyle name="Normalny 74 2" xfId="7086"/>
    <cellStyle name="Normalny 74 2 2" xfId="13721"/>
    <cellStyle name="Normalny 74 3" xfId="10434"/>
    <cellStyle name="Normalny 75" xfId="3273"/>
    <cellStyle name="Normalny 75 2" xfId="7087"/>
    <cellStyle name="Normalny 75 2 2" xfId="13722"/>
    <cellStyle name="Normalny 75 3" xfId="10435"/>
    <cellStyle name="Normalny 76" xfId="3274"/>
    <cellStyle name="Normalny 76 2" xfId="7088"/>
    <cellStyle name="Normalny 76 2 2" xfId="13723"/>
    <cellStyle name="Normalny 76 3" xfId="10436"/>
    <cellStyle name="Normalny 77" xfId="3275"/>
    <cellStyle name="Normalny 77 2" xfId="7089"/>
    <cellStyle name="Normalny 77 2 2" xfId="13724"/>
    <cellStyle name="Normalny 77 3" xfId="10437"/>
    <cellStyle name="Normalny 78" xfId="3276"/>
    <cellStyle name="Normalny 78 2" xfId="7090"/>
    <cellStyle name="Normalny 78 2 2" xfId="13725"/>
    <cellStyle name="Normalny 78 3" xfId="10438"/>
    <cellStyle name="Normalny 79" xfId="3277"/>
    <cellStyle name="Normalny 79 2" xfId="7091"/>
    <cellStyle name="Normalny 79 2 2" xfId="13726"/>
    <cellStyle name="Normalny 79 3" xfId="10439"/>
    <cellStyle name="Normalny 8" xfId="3278"/>
    <cellStyle name="Normalny 8 2" xfId="3279"/>
    <cellStyle name="Normalny 8 2 2" xfId="7093"/>
    <cellStyle name="Normalny 8 2 2 2" xfId="13728"/>
    <cellStyle name="Normalny 8 2 3" xfId="10441"/>
    <cellStyle name="Normalny 8 3" xfId="7092"/>
    <cellStyle name="Normalny 8 3 2" xfId="13727"/>
    <cellStyle name="Normalny 8 4" xfId="10440"/>
    <cellStyle name="Normalny 80" xfId="3280"/>
    <cellStyle name="Normalny 80 2" xfId="7094"/>
    <cellStyle name="Normalny 80 2 2" xfId="13729"/>
    <cellStyle name="Normalny 80 3" xfId="10442"/>
    <cellStyle name="Normalny 81" xfId="3281"/>
    <cellStyle name="Normalny 81 2" xfId="7095"/>
    <cellStyle name="Normalny 81 2 2" xfId="13730"/>
    <cellStyle name="Normalny 81 3" xfId="10443"/>
    <cellStyle name="Normalny 82" xfId="3282"/>
    <cellStyle name="Normalny 82 2" xfId="7096"/>
    <cellStyle name="Normalny 82 2 2" xfId="13731"/>
    <cellStyle name="Normalny 82 3" xfId="10444"/>
    <cellStyle name="Normalny 83" xfId="3283"/>
    <cellStyle name="Normalny 83 2" xfId="7097"/>
    <cellStyle name="Normalny 83 2 2" xfId="13732"/>
    <cellStyle name="Normalny 83 3" xfId="10445"/>
    <cellStyle name="Normalny 84" xfId="3284"/>
    <cellStyle name="Normalny 84 2" xfId="7098"/>
    <cellStyle name="Normalny 84 2 2" xfId="13733"/>
    <cellStyle name="Normalny 84 3" xfId="10446"/>
    <cellStyle name="Normalny 85" xfId="3285"/>
    <cellStyle name="Normalny 85 2" xfId="7099"/>
    <cellStyle name="Normalny 85 2 2" xfId="13734"/>
    <cellStyle name="Normalny 85 3" xfId="10447"/>
    <cellStyle name="Normalny 86" xfId="3286"/>
    <cellStyle name="Normalny 86 2" xfId="7100"/>
    <cellStyle name="Normalny 86 2 2" xfId="13735"/>
    <cellStyle name="Normalny 86 3" xfId="10448"/>
    <cellStyle name="Normalny 87" xfId="3287"/>
    <cellStyle name="Normalny 87 2" xfId="7101"/>
    <cellStyle name="Normalny 87 2 2" xfId="13736"/>
    <cellStyle name="Normalny 87 3" xfId="10449"/>
    <cellStyle name="Normalny 88" xfId="3288"/>
    <cellStyle name="Normalny 88 2" xfId="7102"/>
    <cellStyle name="Normalny 88 2 2" xfId="13737"/>
    <cellStyle name="Normalny 88 3" xfId="10450"/>
    <cellStyle name="Normalny 89" xfId="3289"/>
    <cellStyle name="Normalny 89 2" xfId="7103"/>
    <cellStyle name="Normalny 89 2 2" xfId="13738"/>
    <cellStyle name="Normalny 89 3" xfId="10451"/>
    <cellStyle name="Normalny 9" xfId="3290"/>
    <cellStyle name="Normalny 9 2" xfId="3291"/>
    <cellStyle name="Normalny 9 2 2" xfId="7105"/>
    <cellStyle name="Normalny 9 2 2 2" xfId="13740"/>
    <cellStyle name="Normalny 9 2 3" xfId="10453"/>
    <cellStyle name="Normalny 9 3" xfId="7104"/>
    <cellStyle name="Normalny 9 3 2" xfId="13739"/>
    <cellStyle name="Normalny 9 4" xfId="10452"/>
    <cellStyle name="Normalny 90" xfId="3292"/>
    <cellStyle name="Normalny 90 2" xfId="7106"/>
    <cellStyle name="Normalny 90 2 2" xfId="13741"/>
    <cellStyle name="Normalny 90 3" xfId="10454"/>
    <cellStyle name="Normalny 91" xfId="3293"/>
    <cellStyle name="Normalny 91 2" xfId="7107"/>
    <cellStyle name="Normalny 91 2 2" xfId="13742"/>
    <cellStyle name="Normalny 91 3" xfId="10455"/>
    <cellStyle name="Normalny 92" xfId="3294"/>
    <cellStyle name="Normalny 92 2" xfId="7108"/>
    <cellStyle name="Normalny 92 2 2" xfId="13743"/>
    <cellStyle name="Normalny 92 3" xfId="10456"/>
    <cellStyle name="Normalny 93" xfId="3295"/>
    <cellStyle name="Normalny 93 2" xfId="7109"/>
    <cellStyle name="Normalny 93 2 2" xfId="13744"/>
    <cellStyle name="Normalny 93 3" xfId="10457"/>
    <cellStyle name="Normalny 94" xfId="3296"/>
    <cellStyle name="Normalny 94 2" xfId="7110"/>
    <cellStyle name="Normalny 94 2 2" xfId="13745"/>
    <cellStyle name="Normalny 94 3" xfId="10458"/>
    <cellStyle name="Normalny 95" xfId="3297"/>
    <cellStyle name="Normalny 95 2" xfId="7111"/>
    <cellStyle name="Normalny 95 2 2" xfId="13746"/>
    <cellStyle name="Normalny 95 3" xfId="10459"/>
    <cellStyle name="Normalny 96" xfId="3298"/>
    <cellStyle name="Normalny 96 2" xfId="7112"/>
    <cellStyle name="Normalny 96 2 2" xfId="13747"/>
    <cellStyle name="Normalny 96 3" xfId="10460"/>
    <cellStyle name="Normalny 97" xfId="3299"/>
    <cellStyle name="Normalny 97 2" xfId="7113"/>
    <cellStyle name="Normalny 97 2 2" xfId="13748"/>
    <cellStyle name="Normalny 97 3" xfId="10461"/>
    <cellStyle name="Normalny 98" xfId="3300"/>
    <cellStyle name="Normalny 98 2" xfId="7114"/>
    <cellStyle name="Normalny 98 2 2" xfId="13749"/>
    <cellStyle name="Normalny 98 3" xfId="10462"/>
    <cellStyle name="Normalny 99" xfId="3301"/>
    <cellStyle name="Normalny 99 2" xfId="7115"/>
    <cellStyle name="Normalny 99 2 2" xfId="13750"/>
    <cellStyle name="Normalny 99 3" xfId="10463"/>
    <cellStyle name="Normalny_Arkusz1" xfId="3302"/>
    <cellStyle name="Obliczenia" xfId="3303" builtinId="22" customBuiltin="1"/>
    <cellStyle name="Obliczenia 2" xfId="7151"/>
    <cellStyle name="Procentowy" xfId="3304" builtinId="5"/>
    <cellStyle name="Procentowy 10" xfId="7174"/>
    <cellStyle name="Procentowy 10 2" xfId="13769"/>
    <cellStyle name="Procentowy 11" xfId="10464"/>
    <cellStyle name="Procentowy 12" xfId="7181"/>
    <cellStyle name="Procentowy 13" xfId="13775"/>
    <cellStyle name="Procentowy 2" xfId="3305"/>
    <cellStyle name="Procentowy 2 2" xfId="3572"/>
    <cellStyle name="Procentowy 2 2 2" xfId="3852"/>
    <cellStyle name="Procentowy 2 2 2 2" xfId="10487"/>
    <cellStyle name="Procentowy 2 2 3" xfId="10467"/>
    <cellStyle name="Procentowy 2 3" xfId="3580"/>
    <cellStyle name="Procentowy 2 4" xfId="3570"/>
    <cellStyle name="Procentowy 3" xfId="3579"/>
    <cellStyle name="Procentowy 4" xfId="3574"/>
    <cellStyle name="Procentowy 4 2" xfId="10468"/>
    <cellStyle name="Procentowy 5" xfId="3853"/>
    <cellStyle name="Procentowy 5 2" xfId="10488"/>
    <cellStyle name="Procentowy 6" xfId="7152"/>
    <cellStyle name="Procentowy 6 2" xfId="13752"/>
    <cellStyle name="Procentowy 7" xfId="7161"/>
    <cellStyle name="Procentowy 7 2" xfId="13756"/>
    <cellStyle name="Procentowy 8" xfId="7167"/>
    <cellStyle name="Procentowy 8 2" xfId="13762"/>
    <cellStyle name="Procentowy 9" xfId="7170"/>
    <cellStyle name="Procentowy 9 2" xfId="13765"/>
    <cellStyle name="Suma" xfId="3306" builtinId="25" customBuiltin="1"/>
    <cellStyle name="Suma 2" xfId="7153"/>
    <cellStyle name="Tekst objaśnienia" xfId="3307" builtinId="53" customBuiltin="1"/>
    <cellStyle name="Tekst objaśnienia 2" xfId="7154"/>
    <cellStyle name="Tekst ostrzeżenia" xfId="3308" builtinId="11" customBuiltin="1"/>
    <cellStyle name="Tekst ostrzeżenia 2" xfId="7155"/>
    <cellStyle name="Tytuł" xfId="3309" builtinId="15" customBuiltin="1"/>
    <cellStyle name="Tytuł 2" xfId="7156"/>
    <cellStyle name="Uwaga 10" xfId="3310"/>
    <cellStyle name="Uwaga 10 2" xfId="3311"/>
    <cellStyle name="Uwaga 10 2 2" xfId="3582"/>
    <cellStyle name="Uwaga 10 3" xfId="3581"/>
    <cellStyle name="Uwaga 100" xfId="3312"/>
    <cellStyle name="Uwaga 100 2" xfId="3583"/>
    <cellStyle name="Uwaga 101" xfId="3313"/>
    <cellStyle name="Uwaga 101 2" xfId="3584"/>
    <cellStyle name="Uwaga 102" xfId="3314"/>
    <cellStyle name="Uwaga 102 2" xfId="3585"/>
    <cellStyle name="Uwaga 103" xfId="3315"/>
    <cellStyle name="Uwaga 103 2" xfId="3586"/>
    <cellStyle name="Uwaga 104" xfId="3316"/>
    <cellStyle name="Uwaga 104 2" xfId="3587"/>
    <cellStyle name="Uwaga 105" xfId="3317"/>
    <cellStyle name="Uwaga 105 2" xfId="3588"/>
    <cellStyle name="Uwaga 106" xfId="3318"/>
    <cellStyle name="Uwaga 106 2" xfId="3589"/>
    <cellStyle name="Uwaga 107" xfId="3319"/>
    <cellStyle name="Uwaga 107 2" xfId="3590"/>
    <cellStyle name="Uwaga 108" xfId="3320"/>
    <cellStyle name="Uwaga 108 2" xfId="3591"/>
    <cellStyle name="Uwaga 109" xfId="3321"/>
    <cellStyle name="Uwaga 109 2" xfId="3592"/>
    <cellStyle name="Uwaga 11" xfId="3322"/>
    <cellStyle name="Uwaga 11 2" xfId="3323"/>
    <cellStyle name="Uwaga 11 2 2" xfId="3594"/>
    <cellStyle name="Uwaga 11 3" xfId="3593"/>
    <cellStyle name="Uwaga 110" xfId="3324"/>
    <cellStyle name="Uwaga 110 2" xfId="3595"/>
    <cellStyle name="Uwaga 111" xfId="3325"/>
    <cellStyle name="Uwaga 111 2" xfId="3596"/>
    <cellStyle name="Uwaga 112" xfId="3326"/>
    <cellStyle name="Uwaga 112 2" xfId="3597"/>
    <cellStyle name="Uwaga 113" xfId="3327"/>
    <cellStyle name="Uwaga 113 2" xfId="3598"/>
    <cellStyle name="Uwaga 114" xfId="3328"/>
    <cellStyle name="Uwaga 114 2" xfId="3599"/>
    <cellStyle name="Uwaga 115" xfId="3329"/>
    <cellStyle name="Uwaga 115 2" xfId="3600"/>
    <cellStyle name="Uwaga 116" xfId="3330"/>
    <cellStyle name="Uwaga 116 2" xfId="3601"/>
    <cellStyle name="Uwaga 117" xfId="3331"/>
    <cellStyle name="Uwaga 117 2" xfId="3602"/>
    <cellStyle name="Uwaga 118" xfId="3332"/>
    <cellStyle name="Uwaga 118 2" xfId="3603"/>
    <cellStyle name="Uwaga 119" xfId="3333"/>
    <cellStyle name="Uwaga 119 2" xfId="3604"/>
    <cellStyle name="Uwaga 12" xfId="3334"/>
    <cellStyle name="Uwaga 12 2" xfId="3335"/>
    <cellStyle name="Uwaga 12 2 2" xfId="3606"/>
    <cellStyle name="Uwaga 12 3" xfId="3605"/>
    <cellStyle name="Uwaga 120" xfId="3336"/>
    <cellStyle name="Uwaga 120 2" xfId="3607"/>
    <cellStyle name="Uwaga 121" xfId="3337"/>
    <cellStyle name="Uwaga 121 2" xfId="3608"/>
    <cellStyle name="Uwaga 122" xfId="3338"/>
    <cellStyle name="Uwaga 122 2" xfId="3609"/>
    <cellStyle name="Uwaga 123" xfId="3339"/>
    <cellStyle name="Uwaga 123 2" xfId="3610"/>
    <cellStyle name="Uwaga 124" xfId="3340"/>
    <cellStyle name="Uwaga 124 2" xfId="3611"/>
    <cellStyle name="Uwaga 125" xfId="3341"/>
    <cellStyle name="Uwaga 125 2" xfId="3612"/>
    <cellStyle name="Uwaga 126" xfId="3342"/>
    <cellStyle name="Uwaga 126 2" xfId="3613"/>
    <cellStyle name="Uwaga 127" xfId="3343"/>
    <cellStyle name="Uwaga 127 2" xfId="3614"/>
    <cellStyle name="Uwaga 128" xfId="3344"/>
    <cellStyle name="Uwaga 128 2" xfId="3615"/>
    <cellStyle name="Uwaga 129" xfId="3345"/>
    <cellStyle name="Uwaga 129 2" xfId="3616"/>
    <cellStyle name="Uwaga 13" xfId="3346"/>
    <cellStyle name="Uwaga 13 2" xfId="3347"/>
    <cellStyle name="Uwaga 13 2 2" xfId="3618"/>
    <cellStyle name="Uwaga 13 3" xfId="3617"/>
    <cellStyle name="Uwaga 130" xfId="3348"/>
    <cellStyle name="Uwaga 130 2" xfId="3619"/>
    <cellStyle name="Uwaga 131" xfId="3349"/>
    <cellStyle name="Uwaga 131 2" xfId="3620"/>
    <cellStyle name="Uwaga 132" xfId="3350"/>
    <cellStyle name="Uwaga 132 2" xfId="3621"/>
    <cellStyle name="Uwaga 133" xfId="3351"/>
    <cellStyle name="Uwaga 133 2" xfId="3622"/>
    <cellStyle name="Uwaga 134" xfId="3352"/>
    <cellStyle name="Uwaga 134 2" xfId="3623"/>
    <cellStyle name="Uwaga 135" xfId="3353"/>
    <cellStyle name="Uwaga 135 2" xfId="3624"/>
    <cellStyle name="Uwaga 136" xfId="3354"/>
    <cellStyle name="Uwaga 136 2" xfId="3625"/>
    <cellStyle name="Uwaga 137" xfId="3355"/>
    <cellStyle name="Uwaga 137 2" xfId="3626"/>
    <cellStyle name="Uwaga 138" xfId="3356"/>
    <cellStyle name="Uwaga 138 2" xfId="3627"/>
    <cellStyle name="Uwaga 139" xfId="3357"/>
    <cellStyle name="Uwaga 139 2" xfId="3628"/>
    <cellStyle name="Uwaga 14" xfId="3358"/>
    <cellStyle name="Uwaga 14 2" xfId="3359"/>
    <cellStyle name="Uwaga 14 2 2" xfId="3630"/>
    <cellStyle name="Uwaga 14 3" xfId="3629"/>
    <cellStyle name="Uwaga 140" xfId="3360"/>
    <cellStyle name="Uwaga 140 2" xfId="3631"/>
    <cellStyle name="Uwaga 141" xfId="3361"/>
    <cellStyle name="Uwaga 141 2" xfId="3632"/>
    <cellStyle name="Uwaga 142" xfId="3362"/>
    <cellStyle name="Uwaga 142 2" xfId="3633"/>
    <cellStyle name="Uwaga 143" xfId="3363"/>
    <cellStyle name="Uwaga 143 2" xfId="3634"/>
    <cellStyle name="Uwaga 144" xfId="3364"/>
    <cellStyle name="Uwaga 144 2" xfId="3635"/>
    <cellStyle name="Uwaga 145" xfId="3365"/>
    <cellStyle name="Uwaga 145 2" xfId="3636"/>
    <cellStyle name="Uwaga 146" xfId="3366"/>
    <cellStyle name="Uwaga 146 2" xfId="3637"/>
    <cellStyle name="Uwaga 147" xfId="3367"/>
    <cellStyle name="Uwaga 147 2" xfId="3638"/>
    <cellStyle name="Uwaga 148" xfId="3368"/>
    <cellStyle name="Uwaga 148 2" xfId="3639"/>
    <cellStyle name="Uwaga 149" xfId="3369"/>
    <cellStyle name="Uwaga 149 2" xfId="3640"/>
    <cellStyle name="Uwaga 15" xfId="3370"/>
    <cellStyle name="Uwaga 15 2" xfId="3371"/>
    <cellStyle name="Uwaga 15 2 2" xfId="3642"/>
    <cellStyle name="Uwaga 15 3" xfId="3641"/>
    <cellStyle name="Uwaga 150" xfId="3372"/>
    <cellStyle name="Uwaga 150 2" xfId="3643"/>
    <cellStyle name="Uwaga 151" xfId="3373"/>
    <cellStyle name="Uwaga 151 2" xfId="3644"/>
    <cellStyle name="Uwaga 152" xfId="3374"/>
    <cellStyle name="Uwaga 152 2" xfId="3645"/>
    <cellStyle name="Uwaga 153" xfId="3375"/>
    <cellStyle name="Uwaga 153 2" xfId="3646"/>
    <cellStyle name="Uwaga 154" xfId="3376"/>
    <cellStyle name="Uwaga 154 2" xfId="3647"/>
    <cellStyle name="Uwaga 155" xfId="3377"/>
    <cellStyle name="Uwaga 155 2" xfId="3648"/>
    <cellStyle name="Uwaga 156" xfId="3378"/>
    <cellStyle name="Uwaga 156 2" xfId="3649"/>
    <cellStyle name="Uwaga 157" xfId="3379"/>
    <cellStyle name="Uwaga 157 2" xfId="3650"/>
    <cellStyle name="Uwaga 158" xfId="3380"/>
    <cellStyle name="Uwaga 158 2" xfId="3651"/>
    <cellStyle name="Uwaga 159" xfId="3381"/>
    <cellStyle name="Uwaga 159 2" xfId="3652"/>
    <cellStyle name="Uwaga 16" xfId="3382"/>
    <cellStyle name="Uwaga 16 2" xfId="3383"/>
    <cellStyle name="Uwaga 16 2 2" xfId="3654"/>
    <cellStyle name="Uwaga 16 3" xfId="3653"/>
    <cellStyle name="Uwaga 160" xfId="3384"/>
    <cellStyle name="Uwaga 160 2" xfId="3655"/>
    <cellStyle name="Uwaga 161" xfId="3385"/>
    <cellStyle name="Uwaga 161 2" xfId="3656"/>
    <cellStyle name="Uwaga 162" xfId="3386"/>
    <cellStyle name="Uwaga 162 2" xfId="3657"/>
    <cellStyle name="Uwaga 163" xfId="3387"/>
    <cellStyle name="Uwaga 163 2" xfId="3658"/>
    <cellStyle name="Uwaga 164" xfId="3388"/>
    <cellStyle name="Uwaga 164 2" xfId="3659"/>
    <cellStyle name="Uwaga 165" xfId="3389"/>
    <cellStyle name="Uwaga 165 2" xfId="3660"/>
    <cellStyle name="Uwaga 166" xfId="3390"/>
    <cellStyle name="Uwaga 166 2" xfId="3661"/>
    <cellStyle name="Uwaga 167" xfId="3391"/>
    <cellStyle name="Uwaga 167 2" xfId="3662"/>
    <cellStyle name="Uwaga 168" xfId="3392"/>
    <cellStyle name="Uwaga 168 2" xfId="3663"/>
    <cellStyle name="Uwaga 169" xfId="3393"/>
    <cellStyle name="Uwaga 169 2" xfId="3664"/>
    <cellStyle name="Uwaga 17" xfId="3394"/>
    <cellStyle name="Uwaga 17 2" xfId="3395"/>
    <cellStyle name="Uwaga 17 2 2" xfId="3666"/>
    <cellStyle name="Uwaga 17 3" xfId="3665"/>
    <cellStyle name="Uwaga 170" xfId="3396"/>
    <cellStyle name="Uwaga 170 2" xfId="3667"/>
    <cellStyle name="Uwaga 171" xfId="3397"/>
    <cellStyle name="Uwaga 171 2" xfId="3668"/>
    <cellStyle name="Uwaga 172" xfId="3398"/>
    <cellStyle name="Uwaga 172 2" xfId="3669"/>
    <cellStyle name="Uwaga 173" xfId="3399"/>
    <cellStyle name="Uwaga 173 2" xfId="3670"/>
    <cellStyle name="Uwaga 174" xfId="3400"/>
    <cellStyle name="Uwaga 174 2" xfId="3671"/>
    <cellStyle name="Uwaga 175" xfId="3401"/>
    <cellStyle name="Uwaga 175 2" xfId="3672"/>
    <cellStyle name="Uwaga 176" xfId="3402"/>
    <cellStyle name="Uwaga 176 2" xfId="3673"/>
    <cellStyle name="Uwaga 177" xfId="3403"/>
    <cellStyle name="Uwaga 177 2" xfId="3674"/>
    <cellStyle name="Uwaga 178" xfId="3404"/>
    <cellStyle name="Uwaga 178 2" xfId="3675"/>
    <cellStyle name="Uwaga 179" xfId="3405"/>
    <cellStyle name="Uwaga 179 2" xfId="3676"/>
    <cellStyle name="Uwaga 18" xfId="3406"/>
    <cellStyle name="Uwaga 18 2" xfId="3407"/>
    <cellStyle name="Uwaga 18 2 2" xfId="3678"/>
    <cellStyle name="Uwaga 18 3" xfId="3677"/>
    <cellStyle name="Uwaga 180" xfId="3408"/>
    <cellStyle name="Uwaga 180 2" xfId="3679"/>
    <cellStyle name="Uwaga 181" xfId="3409"/>
    <cellStyle name="Uwaga 181 2" xfId="3680"/>
    <cellStyle name="Uwaga 182" xfId="3410"/>
    <cellStyle name="Uwaga 182 2" xfId="3681"/>
    <cellStyle name="Uwaga 183" xfId="3411"/>
    <cellStyle name="Uwaga 183 2" xfId="3682"/>
    <cellStyle name="Uwaga 184" xfId="3412"/>
    <cellStyle name="Uwaga 184 2" xfId="3683"/>
    <cellStyle name="Uwaga 185" xfId="3413"/>
    <cellStyle name="Uwaga 185 2" xfId="3684"/>
    <cellStyle name="Uwaga 186" xfId="3414"/>
    <cellStyle name="Uwaga 186 2" xfId="3685"/>
    <cellStyle name="Uwaga 187" xfId="3415"/>
    <cellStyle name="Uwaga 187 2" xfId="3686"/>
    <cellStyle name="Uwaga 188" xfId="3416"/>
    <cellStyle name="Uwaga 188 2" xfId="3687"/>
    <cellStyle name="Uwaga 189" xfId="3417"/>
    <cellStyle name="Uwaga 189 2" xfId="3688"/>
    <cellStyle name="Uwaga 19" xfId="3418"/>
    <cellStyle name="Uwaga 19 2" xfId="3419"/>
    <cellStyle name="Uwaga 19 2 2" xfId="3690"/>
    <cellStyle name="Uwaga 19 3" xfId="3689"/>
    <cellStyle name="Uwaga 190" xfId="3420"/>
    <cellStyle name="Uwaga 190 2" xfId="3691"/>
    <cellStyle name="Uwaga 191" xfId="3421"/>
    <cellStyle name="Uwaga 191 2" xfId="3692"/>
    <cellStyle name="Uwaga 192" xfId="3422"/>
    <cellStyle name="Uwaga 192 2" xfId="3693"/>
    <cellStyle name="Uwaga 193" xfId="3423"/>
    <cellStyle name="Uwaga 193 2" xfId="3694"/>
    <cellStyle name="Uwaga 194" xfId="3424"/>
    <cellStyle name="Uwaga 194 2" xfId="3695"/>
    <cellStyle name="Uwaga 195" xfId="3425"/>
    <cellStyle name="Uwaga 195 2" xfId="3696"/>
    <cellStyle name="Uwaga 196" xfId="3565"/>
    <cellStyle name="Uwaga 196 2" xfId="10465"/>
    <cellStyle name="Uwaga 197" xfId="3836"/>
    <cellStyle name="Uwaga 197 2" xfId="10471"/>
    <cellStyle name="Uwaga 198" xfId="7157"/>
    <cellStyle name="Uwaga 198 2" xfId="13753"/>
    <cellStyle name="Uwaga 199" xfId="7168"/>
    <cellStyle name="Uwaga 199 2" xfId="13763"/>
    <cellStyle name="Uwaga 2" xfId="3426"/>
    <cellStyle name="Uwaga 2 2" xfId="3427"/>
    <cellStyle name="Uwaga 2 2 2" xfId="3698"/>
    <cellStyle name="Uwaga 2 3" xfId="3697"/>
    <cellStyle name="Uwaga 20" xfId="3428"/>
    <cellStyle name="Uwaga 20 2" xfId="3429"/>
    <cellStyle name="Uwaga 20 2 2" xfId="3700"/>
    <cellStyle name="Uwaga 20 3" xfId="3699"/>
    <cellStyle name="Uwaga 200" xfId="7171"/>
    <cellStyle name="Uwaga 200 2" xfId="13766"/>
    <cellStyle name="Uwaga 201" xfId="13776"/>
    <cellStyle name="Uwaga 21" xfId="3430"/>
    <cellStyle name="Uwaga 21 2" xfId="3431"/>
    <cellStyle name="Uwaga 21 2 2" xfId="3702"/>
    <cellStyle name="Uwaga 21 3" xfId="3701"/>
    <cellStyle name="Uwaga 22" xfId="3432"/>
    <cellStyle name="Uwaga 22 2" xfId="3433"/>
    <cellStyle name="Uwaga 22 2 2" xfId="3704"/>
    <cellStyle name="Uwaga 22 3" xfId="3703"/>
    <cellStyle name="Uwaga 23" xfId="3434"/>
    <cellStyle name="Uwaga 23 2" xfId="3435"/>
    <cellStyle name="Uwaga 23 2 2" xfId="3706"/>
    <cellStyle name="Uwaga 23 3" xfId="3705"/>
    <cellStyle name="Uwaga 24" xfId="3436"/>
    <cellStyle name="Uwaga 24 2" xfId="3437"/>
    <cellStyle name="Uwaga 24 2 2" xfId="3708"/>
    <cellStyle name="Uwaga 24 3" xfId="3707"/>
    <cellStyle name="Uwaga 25" xfId="3438"/>
    <cellStyle name="Uwaga 25 2" xfId="3439"/>
    <cellStyle name="Uwaga 25 2 2" xfId="3710"/>
    <cellStyle name="Uwaga 25 3" xfId="3709"/>
    <cellStyle name="Uwaga 26" xfId="3440"/>
    <cellStyle name="Uwaga 26 2" xfId="3441"/>
    <cellStyle name="Uwaga 26 2 2" xfId="3712"/>
    <cellStyle name="Uwaga 26 3" xfId="3711"/>
    <cellStyle name="Uwaga 27" xfId="3442"/>
    <cellStyle name="Uwaga 27 2" xfId="3443"/>
    <cellStyle name="Uwaga 27 2 2" xfId="3714"/>
    <cellStyle name="Uwaga 27 3" xfId="3713"/>
    <cellStyle name="Uwaga 28" xfId="3444"/>
    <cellStyle name="Uwaga 28 2" xfId="3445"/>
    <cellStyle name="Uwaga 28 2 2" xfId="3716"/>
    <cellStyle name="Uwaga 28 3" xfId="3715"/>
    <cellStyle name="Uwaga 29" xfId="3446"/>
    <cellStyle name="Uwaga 29 2" xfId="3447"/>
    <cellStyle name="Uwaga 29 2 2" xfId="3718"/>
    <cellStyle name="Uwaga 29 3" xfId="3717"/>
    <cellStyle name="Uwaga 3" xfId="3448"/>
    <cellStyle name="Uwaga 3 2" xfId="3449"/>
    <cellStyle name="Uwaga 3 2 2" xfId="3720"/>
    <cellStyle name="Uwaga 3 3" xfId="3719"/>
    <cellStyle name="Uwaga 30" xfId="3450"/>
    <cellStyle name="Uwaga 30 2" xfId="3451"/>
    <cellStyle name="Uwaga 30 2 2" xfId="3722"/>
    <cellStyle name="Uwaga 30 3" xfId="3721"/>
    <cellStyle name="Uwaga 31" xfId="3452"/>
    <cellStyle name="Uwaga 31 2" xfId="3453"/>
    <cellStyle name="Uwaga 31 2 2" xfId="3724"/>
    <cellStyle name="Uwaga 31 3" xfId="3723"/>
    <cellStyle name="Uwaga 32" xfId="3454"/>
    <cellStyle name="Uwaga 32 2" xfId="3455"/>
    <cellStyle name="Uwaga 32 2 2" xfId="3726"/>
    <cellStyle name="Uwaga 32 3" xfId="3725"/>
    <cellStyle name="Uwaga 33" xfId="3456"/>
    <cellStyle name="Uwaga 33 2" xfId="3457"/>
    <cellStyle name="Uwaga 33 2 2" xfId="3728"/>
    <cellStyle name="Uwaga 33 3" xfId="3727"/>
    <cellStyle name="Uwaga 34" xfId="3458"/>
    <cellStyle name="Uwaga 34 2" xfId="3459"/>
    <cellStyle name="Uwaga 34 2 2" xfId="3730"/>
    <cellStyle name="Uwaga 34 3" xfId="3729"/>
    <cellStyle name="Uwaga 35" xfId="3460"/>
    <cellStyle name="Uwaga 35 2" xfId="3461"/>
    <cellStyle name="Uwaga 35 2 2" xfId="3732"/>
    <cellStyle name="Uwaga 35 3" xfId="3731"/>
    <cellStyle name="Uwaga 36" xfId="3462"/>
    <cellStyle name="Uwaga 36 2" xfId="3463"/>
    <cellStyle name="Uwaga 36 2 2" xfId="3734"/>
    <cellStyle name="Uwaga 36 3" xfId="3733"/>
    <cellStyle name="Uwaga 37" xfId="3464"/>
    <cellStyle name="Uwaga 37 2" xfId="3465"/>
    <cellStyle name="Uwaga 37 2 2" xfId="3736"/>
    <cellStyle name="Uwaga 37 3" xfId="3735"/>
    <cellStyle name="Uwaga 38" xfId="3466"/>
    <cellStyle name="Uwaga 38 2" xfId="3467"/>
    <cellStyle name="Uwaga 38 2 2" xfId="3738"/>
    <cellStyle name="Uwaga 38 3" xfId="3737"/>
    <cellStyle name="Uwaga 39" xfId="3468"/>
    <cellStyle name="Uwaga 39 2" xfId="3469"/>
    <cellStyle name="Uwaga 39 2 2" xfId="3740"/>
    <cellStyle name="Uwaga 39 3" xfId="3739"/>
    <cellStyle name="Uwaga 4" xfId="3470"/>
    <cellStyle name="Uwaga 4 2" xfId="3471"/>
    <cellStyle name="Uwaga 4 2 2" xfId="3742"/>
    <cellStyle name="Uwaga 4 3" xfId="3741"/>
    <cellStyle name="Uwaga 40" xfId="3472"/>
    <cellStyle name="Uwaga 40 2" xfId="3473"/>
    <cellStyle name="Uwaga 40 2 2" xfId="3744"/>
    <cellStyle name="Uwaga 40 3" xfId="3743"/>
    <cellStyle name="Uwaga 41" xfId="3474"/>
    <cellStyle name="Uwaga 41 2" xfId="3475"/>
    <cellStyle name="Uwaga 41 2 2" xfId="3746"/>
    <cellStyle name="Uwaga 41 3" xfId="3745"/>
    <cellStyle name="Uwaga 42" xfId="3476"/>
    <cellStyle name="Uwaga 42 2" xfId="3477"/>
    <cellStyle name="Uwaga 42 2 2" xfId="3748"/>
    <cellStyle name="Uwaga 42 3" xfId="3747"/>
    <cellStyle name="Uwaga 43" xfId="3478"/>
    <cellStyle name="Uwaga 43 2" xfId="3479"/>
    <cellStyle name="Uwaga 43 2 2" xfId="3750"/>
    <cellStyle name="Uwaga 43 3" xfId="3749"/>
    <cellStyle name="Uwaga 44" xfId="3480"/>
    <cellStyle name="Uwaga 44 2" xfId="3481"/>
    <cellStyle name="Uwaga 44 2 2" xfId="3752"/>
    <cellStyle name="Uwaga 44 3" xfId="3751"/>
    <cellStyle name="Uwaga 45" xfId="3482"/>
    <cellStyle name="Uwaga 45 2" xfId="3483"/>
    <cellStyle name="Uwaga 45 2 2" xfId="3754"/>
    <cellStyle name="Uwaga 45 3" xfId="3753"/>
    <cellStyle name="Uwaga 46" xfId="3484"/>
    <cellStyle name="Uwaga 46 2" xfId="3485"/>
    <cellStyle name="Uwaga 46 2 2" xfId="3756"/>
    <cellStyle name="Uwaga 46 3" xfId="3755"/>
    <cellStyle name="Uwaga 47" xfId="3486"/>
    <cellStyle name="Uwaga 47 2" xfId="3487"/>
    <cellStyle name="Uwaga 47 2 2" xfId="3758"/>
    <cellStyle name="Uwaga 47 3" xfId="3757"/>
    <cellStyle name="Uwaga 48" xfId="3488"/>
    <cellStyle name="Uwaga 48 2" xfId="3489"/>
    <cellStyle name="Uwaga 48 2 2" xfId="3760"/>
    <cellStyle name="Uwaga 48 3" xfId="3759"/>
    <cellStyle name="Uwaga 49" xfId="3490"/>
    <cellStyle name="Uwaga 49 2" xfId="3491"/>
    <cellStyle name="Uwaga 49 2 2" xfId="3762"/>
    <cellStyle name="Uwaga 49 3" xfId="3761"/>
    <cellStyle name="Uwaga 5" xfId="3492"/>
    <cellStyle name="Uwaga 5 2" xfId="3493"/>
    <cellStyle name="Uwaga 5 2 2" xfId="3764"/>
    <cellStyle name="Uwaga 5 3" xfId="3763"/>
    <cellStyle name="Uwaga 50" xfId="3494"/>
    <cellStyle name="Uwaga 50 2" xfId="3495"/>
    <cellStyle name="Uwaga 50 2 2" xfId="3766"/>
    <cellStyle name="Uwaga 50 3" xfId="3765"/>
    <cellStyle name="Uwaga 51" xfId="3496"/>
    <cellStyle name="Uwaga 51 2" xfId="3497"/>
    <cellStyle name="Uwaga 51 2 2" xfId="3768"/>
    <cellStyle name="Uwaga 51 3" xfId="3767"/>
    <cellStyle name="Uwaga 52" xfId="3498"/>
    <cellStyle name="Uwaga 52 2" xfId="3499"/>
    <cellStyle name="Uwaga 52 2 2" xfId="3770"/>
    <cellStyle name="Uwaga 52 3" xfId="3769"/>
    <cellStyle name="Uwaga 53" xfId="3500"/>
    <cellStyle name="Uwaga 53 2" xfId="3501"/>
    <cellStyle name="Uwaga 53 2 2" xfId="3772"/>
    <cellStyle name="Uwaga 53 3" xfId="3771"/>
    <cellStyle name="Uwaga 54" xfId="3502"/>
    <cellStyle name="Uwaga 54 2" xfId="3503"/>
    <cellStyle name="Uwaga 54 2 2" xfId="3774"/>
    <cellStyle name="Uwaga 54 3" xfId="3773"/>
    <cellStyle name="Uwaga 55" xfId="3504"/>
    <cellStyle name="Uwaga 55 2" xfId="3505"/>
    <cellStyle name="Uwaga 55 2 2" xfId="3776"/>
    <cellStyle name="Uwaga 55 3" xfId="3775"/>
    <cellStyle name="Uwaga 56" xfId="3506"/>
    <cellStyle name="Uwaga 56 2" xfId="3507"/>
    <cellStyle name="Uwaga 56 2 2" xfId="3778"/>
    <cellStyle name="Uwaga 56 3" xfId="3777"/>
    <cellStyle name="Uwaga 57" xfId="3508"/>
    <cellStyle name="Uwaga 57 2" xfId="3509"/>
    <cellStyle name="Uwaga 57 2 2" xfId="3780"/>
    <cellStyle name="Uwaga 57 3" xfId="3779"/>
    <cellStyle name="Uwaga 58" xfId="3510"/>
    <cellStyle name="Uwaga 58 2" xfId="3511"/>
    <cellStyle name="Uwaga 58 2 2" xfId="3782"/>
    <cellStyle name="Uwaga 58 3" xfId="3781"/>
    <cellStyle name="Uwaga 59" xfId="3512"/>
    <cellStyle name="Uwaga 59 2" xfId="3513"/>
    <cellStyle name="Uwaga 59 2 2" xfId="3784"/>
    <cellStyle name="Uwaga 59 3" xfId="3783"/>
    <cellStyle name="Uwaga 6" xfId="3514"/>
    <cellStyle name="Uwaga 6 2" xfId="3515"/>
    <cellStyle name="Uwaga 6 2 2" xfId="3786"/>
    <cellStyle name="Uwaga 6 3" xfId="3785"/>
    <cellStyle name="Uwaga 60" xfId="3516"/>
    <cellStyle name="Uwaga 60 2" xfId="3517"/>
    <cellStyle name="Uwaga 60 2 2" xfId="3788"/>
    <cellStyle name="Uwaga 60 3" xfId="3787"/>
    <cellStyle name="Uwaga 61" xfId="3518"/>
    <cellStyle name="Uwaga 61 2" xfId="3789"/>
    <cellStyle name="Uwaga 62" xfId="3519"/>
    <cellStyle name="Uwaga 62 2" xfId="3790"/>
    <cellStyle name="Uwaga 63" xfId="3520"/>
    <cellStyle name="Uwaga 63 2" xfId="3791"/>
    <cellStyle name="Uwaga 64" xfId="3521"/>
    <cellStyle name="Uwaga 64 2" xfId="3792"/>
    <cellStyle name="Uwaga 65" xfId="3522"/>
    <cellStyle name="Uwaga 65 2" xfId="3793"/>
    <cellStyle name="Uwaga 66" xfId="3523"/>
    <cellStyle name="Uwaga 66 2" xfId="3794"/>
    <cellStyle name="Uwaga 67" xfId="3524"/>
    <cellStyle name="Uwaga 67 2" xfId="3795"/>
    <cellStyle name="Uwaga 68" xfId="3525"/>
    <cellStyle name="Uwaga 68 2" xfId="3796"/>
    <cellStyle name="Uwaga 69" xfId="3526"/>
    <cellStyle name="Uwaga 69 2" xfId="3797"/>
    <cellStyle name="Uwaga 7" xfId="3527"/>
    <cellStyle name="Uwaga 7 2" xfId="3528"/>
    <cellStyle name="Uwaga 7 2 2" xfId="3799"/>
    <cellStyle name="Uwaga 7 3" xfId="3798"/>
    <cellStyle name="Uwaga 70" xfId="3529"/>
    <cellStyle name="Uwaga 70 2" xfId="3800"/>
    <cellStyle name="Uwaga 71" xfId="3530"/>
    <cellStyle name="Uwaga 71 2" xfId="3801"/>
    <cellStyle name="Uwaga 72" xfId="3531"/>
    <cellStyle name="Uwaga 72 2" xfId="3802"/>
    <cellStyle name="Uwaga 73" xfId="3532"/>
    <cellStyle name="Uwaga 73 2" xfId="3803"/>
    <cellStyle name="Uwaga 74" xfId="3533"/>
    <cellStyle name="Uwaga 74 2" xfId="3804"/>
    <cellStyle name="Uwaga 75" xfId="3534"/>
    <cellStyle name="Uwaga 75 2" xfId="3805"/>
    <cellStyle name="Uwaga 76" xfId="3535"/>
    <cellStyle name="Uwaga 76 2" xfId="3806"/>
    <cellStyle name="Uwaga 77" xfId="3536"/>
    <cellStyle name="Uwaga 77 2" xfId="3807"/>
    <cellStyle name="Uwaga 78" xfId="3537"/>
    <cellStyle name="Uwaga 78 2" xfId="3808"/>
    <cellStyle name="Uwaga 79" xfId="3538"/>
    <cellStyle name="Uwaga 79 2" xfId="3809"/>
    <cellStyle name="Uwaga 8" xfId="3539"/>
    <cellStyle name="Uwaga 8 2" xfId="3540"/>
    <cellStyle name="Uwaga 8 2 2" xfId="3811"/>
    <cellStyle name="Uwaga 8 3" xfId="3810"/>
    <cellStyle name="Uwaga 80" xfId="3541"/>
    <cellStyle name="Uwaga 80 2" xfId="3812"/>
    <cellStyle name="Uwaga 81" xfId="3542"/>
    <cellStyle name="Uwaga 81 2" xfId="3813"/>
    <cellStyle name="Uwaga 82" xfId="3543"/>
    <cellStyle name="Uwaga 82 2" xfId="3814"/>
    <cellStyle name="Uwaga 83" xfId="3544"/>
    <cellStyle name="Uwaga 83 2" xfId="3815"/>
    <cellStyle name="Uwaga 84" xfId="3545"/>
    <cellStyle name="Uwaga 84 2" xfId="3816"/>
    <cellStyle name="Uwaga 85" xfId="3546"/>
    <cellStyle name="Uwaga 85 2" xfId="3817"/>
    <cellStyle name="Uwaga 86" xfId="3547"/>
    <cellStyle name="Uwaga 86 2" xfId="3818"/>
    <cellStyle name="Uwaga 87" xfId="3548"/>
    <cellStyle name="Uwaga 87 2" xfId="3819"/>
    <cellStyle name="Uwaga 88" xfId="3549"/>
    <cellStyle name="Uwaga 88 2" xfId="3820"/>
    <cellStyle name="Uwaga 89" xfId="3550"/>
    <cellStyle name="Uwaga 89 2" xfId="3821"/>
    <cellStyle name="Uwaga 9" xfId="3551"/>
    <cellStyle name="Uwaga 9 2" xfId="3552"/>
    <cellStyle name="Uwaga 9 2 2" xfId="3823"/>
    <cellStyle name="Uwaga 9 3" xfId="3822"/>
    <cellStyle name="Uwaga 90" xfId="3553"/>
    <cellStyle name="Uwaga 90 2" xfId="3824"/>
    <cellStyle name="Uwaga 91" xfId="3554"/>
    <cellStyle name="Uwaga 91 2" xfId="3825"/>
    <cellStyle name="Uwaga 92" xfId="3555"/>
    <cellStyle name="Uwaga 92 2" xfId="3826"/>
    <cellStyle name="Uwaga 93" xfId="3556"/>
    <cellStyle name="Uwaga 93 2" xfId="3827"/>
    <cellStyle name="Uwaga 94" xfId="3557"/>
    <cellStyle name="Uwaga 94 2" xfId="3828"/>
    <cellStyle name="Uwaga 95" xfId="3558"/>
    <cellStyle name="Uwaga 95 2" xfId="3829"/>
    <cellStyle name="Uwaga 96" xfId="3559"/>
    <cellStyle name="Uwaga 96 2" xfId="3830"/>
    <cellStyle name="Uwaga 97" xfId="3560"/>
    <cellStyle name="Uwaga 97 2" xfId="3831"/>
    <cellStyle name="Uwaga 98" xfId="3561"/>
    <cellStyle name="Uwaga 98 2" xfId="3832"/>
    <cellStyle name="Uwaga 99" xfId="3562"/>
    <cellStyle name="Uwaga 99 2" xfId="3833"/>
    <cellStyle name="Złe" xfId="3563" builtinId="27" customBuiltin="1"/>
    <cellStyle name="Złe 2" xfId="715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2.xml"/><Relationship Id="rId18" Type="http://schemas.openxmlformats.org/officeDocument/2006/relationships/worksheet" Target="worksheets/sheet17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0.xml"/><Relationship Id="rId7" Type="http://schemas.openxmlformats.org/officeDocument/2006/relationships/worksheet" Target="worksheets/sheet7.xml"/><Relationship Id="rId12" Type="http://schemas.openxmlformats.org/officeDocument/2006/relationships/chartsheet" Target="chartsheets/sheet1.xml"/><Relationship Id="rId17" Type="http://schemas.openxmlformats.org/officeDocument/2006/relationships/worksheet" Target="worksheets/sheet16.xml"/><Relationship Id="rId25" Type="http://schemas.openxmlformats.org/officeDocument/2006/relationships/worksheet" Target="worksheets/sheet24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5.xml"/><Relationship Id="rId20" Type="http://schemas.openxmlformats.org/officeDocument/2006/relationships/worksheet" Target="worksheets/sheet19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4.xml"/><Relationship Id="rId23" Type="http://schemas.openxmlformats.org/officeDocument/2006/relationships/worksheet" Target="worksheets/sheet22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3.xml"/><Relationship Id="rId22" Type="http://schemas.openxmlformats.org/officeDocument/2006/relationships/worksheet" Target="worksheets/sheet21.xml"/><Relationship Id="rId27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MIRU!$A$4:$A$19</c:f>
              <c:strCache>
                <c:ptCount val="16"/>
                <c:pt idx="0">
                  <c:v>Plan Sprzedaży Marża</c:v>
                </c:pt>
                <c:pt idx="1">
                  <c:v>Sumaryczny Plan Sprzedaży Marża</c:v>
                </c:pt>
                <c:pt idx="2">
                  <c:v>Miesięczna realizacja Planu Sprzedaży Marża</c:v>
                </c:pt>
                <c:pt idx="3">
                  <c:v>Sumaryczna realizacja planu sprzedaży Marża</c:v>
                </c:pt>
                <c:pt idx="4">
                  <c:v>Wysokość zrealizowania Miesięcznego Planu Sprzedaży Marża</c:v>
                </c:pt>
                <c:pt idx="5">
                  <c:v>Wysokość zrealizowania Planu Sprzedaży Marża</c:v>
                </c:pt>
                <c:pt idx="6">
                  <c:v>Różnica wskaźnika Marża</c:v>
                </c:pt>
                <c:pt idx="7">
                  <c:v>Plan Sprzedaży Obrót</c:v>
                </c:pt>
                <c:pt idx="8">
                  <c:v>Sumaryczny Plan Sprzedaży Obrót</c:v>
                </c:pt>
                <c:pt idx="9">
                  <c:v>Miesięczna realizacja Planu Sprzedaży Obrót</c:v>
                </c:pt>
                <c:pt idx="10">
                  <c:v>Sumaryczna realizacja planu sprzedaży Obrót</c:v>
                </c:pt>
                <c:pt idx="11">
                  <c:v>Wysokość zrealizowania Miesięcznego Planu Sprzedaży Obrót</c:v>
                </c:pt>
                <c:pt idx="12">
                  <c:v>Wysokość zrealizowania Planu Sprzedaży Obrót</c:v>
                </c:pt>
                <c:pt idx="13">
                  <c:v>Różnica wskaźnika Obrót </c:v>
                </c:pt>
                <c:pt idx="14">
                  <c:v>Wysokość Marży miesięcznej</c:v>
                </c:pt>
                <c:pt idx="15">
                  <c:v>Wysokość Marży sumarycznej</c:v>
                </c:pt>
              </c:strCache>
            </c:strRef>
          </c:cat>
          <c:val>
            <c:numRef>
              <c:f>MIRU!$F$4:$F$19</c:f>
              <c:numCache>
                <c:formatCode>_(* #,##0.00_);_(* \(#,##0.00\);_(* "-"??_);_(@_)</c:formatCode>
                <c:ptCount val="16"/>
                <c:pt idx="0">
                  <c:v>31166.666666666664</c:v>
                </c:pt>
                <c:pt idx="1">
                  <c:v>31166.666666666664</c:v>
                </c:pt>
                <c:pt idx="2" formatCode="#,##0.00">
                  <c:v>37868.170100000003</c:v>
                </c:pt>
                <c:pt idx="3">
                  <c:v>37868.170100000003</c:v>
                </c:pt>
                <c:pt idx="4" formatCode="0.00%">
                  <c:v>1.2150215005347595</c:v>
                </c:pt>
                <c:pt idx="5" formatCode="0.00%">
                  <c:v>1.2150215005347595</c:v>
                </c:pt>
                <c:pt idx="6">
                  <c:v>6701.5034333333388</c:v>
                </c:pt>
                <c:pt idx="7">
                  <c:v>73666.666666666672</c:v>
                </c:pt>
                <c:pt idx="8">
                  <c:v>73666.666666666672</c:v>
                </c:pt>
                <c:pt idx="9" formatCode="#,##0.00">
                  <c:v>83205.62</c:v>
                </c:pt>
                <c:pt idx="10">
                  <c:v>83205.62</c:v>
                </c:pt>
                <c:pt idx="11" formatCode="0.00%">
                  <c:v>1.1294880542986423</c:v>
                </c:pt>
                <c:pt idx="12" formatCode="0.00%">
                  <c:v>1.1294880542986423</c:v>
                </c:pt>
                <c:pt idx="13">
                  <c:v>9538.9533333333238</c:v>
                </c:pt>
                <c:pt idx="14" formatCode="0.00%">
                  <c:v>0.45511553306134855</c:v>
                </c:pt>
                <c:pt idx="15" formatCode="0.00%">
                  <c:v>0.45511553306134855</c:v>
                </c:pt>
              </c:numCache>
            </c:numRef>
          </c:val>
        </c:ser>
        <c:ser>
          <c:idx val="1"/>
          <c:order val="1"/>
          <c:invertIfNegative val="0"/>
          <c:cat>
            <c:strRef>
              <c:f>MIRU!$A$4:$A$19</c:f>
              <c:strCache>
                <c:ptCount val="16"/>
                <c:pt idx="0">
                  <c:v>Plan Sprzedaży Marża</c:v>
                </c:pt>
                <c:pt idx="1">
                  <c:v>Sumaryczny Plan Sprzedaży Marża</c:v>
                </c:pt>
                <c:pt idx="2">
                  <c:v>Miesięczna realizacja Planu Sprzedaży Marża</c:v>
                </c:pt>
                <c:pt idx="3">
                  <c:v>Sumaryczna realizacja planu sprzedaży Marża</c:v>
                </c:pt>
                <c:pt idx="4">
                  <c:v>Wysokość zrealizowania Miesięcznego Planu Sprzedaży Marża</c:v>
                </c:pt>
                <c:pt idx="5">
                  <c:v>Wysokość zrealizowania Planu Sprzedaży Marża</c:v>
                </c:pt>
                <c:pt idx="6">
                  <c:v>Różnica wskaźnika Marża</c:v>
                </c:pt>
                <c:pt idx="7">
                  <c:v>Plan Sprzedaży Obrót</c:v>
                </c:pt>
                <c:pt idx="8">
                  <c:v>Sumaryczny Plan Sprzedaży Obrót</c:v>
                </c:pt>
                <c:pt idx="9">
                  <c:v>Miesięczna realizacja Planu Sprzedaży Obrót</c:v>
                </c:pt>
                <c:pt idx="10">
                  <c:v>Sumaryczna realizacja planu sprzedaży Obrót</c:v>
                </c:pt>
                <c:pt idx="11">
                  <c:v>Wysokość zrealizowania Miesięcznego Planu Sprzedaży Obrót</c:v>
                </c:pt>
                <c:pt idx="12">
                  <c:v>Wysokość zrealizowania Planu Sprzedaży Obrót</c:v>
                </c:pt>
                <c:pt idx="13">
                  <c:v>Różnica wskaźnika Obrót </c:v>
                </c:pt>
                <c:pt idx="14">
                  <c:v>Wysokość Marży miesięcznej</c:v>
                </c:pt>
                <c:pt idx="15">
                  <c:v>Wysokość Marży sumarycznej</c:v>
                </c:pt>
              </c:strCache>
            </c:strRef>
          </c:cat>
          <c:val>
            <c:numRef>
              <c:f>MIRU!$G$4:$G$19</c:f>
              <c:numCache>
                <c:formatCode>_(* #,##0.00_);_(* \(#,##0.00\);_(* "-"??_);_(@_)</c:formatCode>
                <c:ptCount val="16"/>
                <c:pt idx="0">
                  <c:v>36666.666666666664</c:v>
                </c:pt>
                <c:pt idx="1">
                  <c:v>67833.333333333328</c:v>
                </c:pt>
                <c:pt idx="2" formatCode="#,##0.00">
                  <c:v>19068.265599999999</c:v>
                </c:pt>
                <c:pt idx="3">
                  <c:v>56936.435700000002</c:v>
                </c:pt>
                <c:pt idx="4" formatCode="0.00%">
                  <c:v>0.52004360727272725</c:v>
                </c:pt>
                <c:pt idx="5" formatCode="0.00%">
                  <c:v>0.83935777444717452</c:v>
                </c:pt>
                <c:pt idx="6">
                  <c:v>-10896.897633333327</c:v>
                </c:pt>
                <c:pt idx="7">
                  <c:v>86666.666666666672</c:v>
                </c:pt>
                <c:pt idx="8">
                  <c:v>160333.33333333334</c:v>
                </c:pt>
                <c:pt idx="9" formatCode="#,##0.00">
                  <c:v>52478.080000000002</c:v>
                </c:pt>
                <c:pt idx="10">
                  <c:v>135683.70000000001</c:v>
                </c:pt>
                <c:pt idx="11" formatCode="0.00%">
                  <c:v>0.60551630769230769</c:v>
                </c:pt>
                <c:pt idx="12" formatCode="0.00%">
                  <c:v>0.84626008316008317</c:v>
                </c:pt>
                <c:pt idx="13">
                  <c:v>-24649.633333333331</c:v>
                </c:pt>
                <c:pt idx="14" formatCode="0.00%">
                  <c:v>0.3633567691500908</c:v>
                </c:pt>
                <c:pt idx="15" formatCode="0.00%">
                  <c:v>0.41962620196825406</c:v>
                </c:pt>
              </c:numCache>
            </c:numRef>
          </c:val>
        </c:ser>
        <c:ser>
          <c:idx val="2"/>
          <c:order val="2"/>
          <c:invertIfNegative val="0"/>
          <c:cat>
            <c:strRef>
              <c:f>MIRU!$A$4:$A$19</c:f>
              <c:strCache>
                <c:ptCount val="16"/>
                <c:pt idx="0">
                  <c:v>Plan Sprzedaży Marża</c:v>
                </c:pt>
                <c:pt idx="1">
                  <c:v>Sumaryczny Plan Sprzedaży Marża</c:v>
                </c:pt>
                <c:pt idx="2">
                  <c:v>Miesięczna realizacja Planu Sprzedaży Marża</c:v>
                </c:pt>
                <c:pt idx="3">
                  <c:v>Sumaryczna realizacja planu sprzedaży Marża</c:v>
                </c:pt>
                <c:pt idx="4">
                  <c:v>Wysokość zrealizowania Miesięcznego Planu Sprzedaży Marża</c:v>
                </c:pt>
                <c:pt idx="5">
                  <c:v>Wysokość zrealizowania Planu Sprzedaży Marża</c:v>
                </c:pt>
                <c:pt idx="6">
                  <c:v>Różnica wskaźnika Marża</c:v>
                </c:pt>
                <c:pt idx="7">
                  <c:v>Plan Sprzedaży Obrót</c:v>
                </c:pt>
                <c:pt idx="8">
                  <c:v>Sumaryczny Plan Sprzedaży Obrót</c:v>
                </c:pt>
                <c:pt idx="9">
                  <c:v>Miesięczna realizacja Planu Sprzedaży Obrót</c:v>
                </c:pt>
                <c:pt idx="10">
                  <c:v>Sumaryczna realizacja planu sprzedaży Obrót</c:v>
                </c:pt>
                <c:pt idx="11">
                  <c:v>Wysokość zrealizowania Miesięcznego Planu Sprzedaży Obrót</c:v>
                </c:pt>
                <c:pt idx="12">
                  <c:v>Wysokość zrealizowania Planu Sprzedaży Obrót</c:v>
                </c:pt>
                <c:pt idx="13">
                  <c:v>Różnica wskaźnika Obrót </c:v>
                </c:pt>
                <c:pt idx="14">
                  <c:v>Wysokość Marży miesięcznej</c:v>
                </c:pt>
                <c:pt idx="15">
                  <c:v>Wysokość Marży sumarycznej</c:v>
                </c:pt>
              </c:strCache>
            </c:strRef>
          </c:cat>
          <c:val>
            <c:numRef>
              <c:f>MIRU!$H$4:$H$19</c:f>
              <c:numCache>
                <c:formatCode>_(* #,##0.00_);_(* \(#,##0.00\);_(* "-"??_);_(@_)</c:formatCode>
                <c:ptCount val="16"/>
                <c:pt idx="0">
                  <c:v>42166.666666666664</c:v>
                </c:pt>
                <c:pt idx="1">
                  <c:v>110000</c:v>
                </c:pt>
                <c:pt idx="2" formatCode="#,##0.00">
                  <c:v>32385.378400000001</c:v>
                </c:pt>
                <c:pt idx="3">
                  <c:v>89321.814100000003</c:v>
                </c:pt>
                <c:pt idx="4" formatCode="0.00%">
                  <c:v>0.76803268932806334</c:v>
                </c:pt>
                <c:pt idx="5" formatCode="0.00%">
                  <c:v>0.81201649181818181</c:v>
                </c:pt>
                <c:pt idx="6">
                  <c:v>-20678.185899999997</c:v>
                </c:pt>
                <c:pt idx="7">
                  <c:v>99666.666666666672</c:v>
                </c:pt>
                <c:pt idx="8">
                  <c:v>260000</c:v>
                </c:pt>
                <c:pt idx="9" formatCode="#,##0.00">
                  <c:v>101905.87</c:v>
                </c:pt>
                <c:pt idx="10">
                  <c:v>237589.57</c:v>
                </c:pt>
                <c:pt idx="11" formatCode="0.00%">
                  <c:v>1.022466923076923</c:v>
                </c:pt>
                <c:pt idx="12" formatCode="0.00%">
                  <c:v>0.91380603846153852</c:v>
                </c:pt>
                <c:pt idx="13">
                  <c:v>-22410.429999999993</c:v>
                </c:pt>
                <c:pt idx="14" formatCode="0.00%">
                  <c:v>0.31779698657201988</c:v>
                </c:pt>
                <c:pt idx="15" formatCode="0.00%">
                  <c:v>0.37595006422209526</c:v>
                </c:pt>
              </c:numCache>
            </c:numRef>
          </c:val>
        </c:ser>
        <c:ser>
          <c:idx val="3"/>
          <c:order val="3"/>
          <c:invertIfNegative val="0"/>
          <c:cat>
            <c:strRef>
              <c:f>MIRU!$A$4:$A$19</c:f>
              <c:strCache>
                <c:ptCount val="16"/>
                <c:pt idx="0">
                  <c:v>Plan Sprzedaży Marża</c:v>
                </c:pt>
                <c:pt idx="1">
                  <c:v>Sumaryczny Plan Sprzedaży Marża</c:v>
                </c:pt>
                <c:pt idx="2">
                  <c:v>Miesięczna realizacja Planu Sprzedaży Marża</c:v>
                </c:pt>
                <c:pt idx="3">
                  <c:v>Sumaryczna realizacja planu sprzedaży Marża</c:v>
                </c:pt>
                <c:pt idx="4">
                  <c:v>Wysokość zrealizowania Miesięcznego Planu Sprzedaży Marża</c:v>
                </c:pt>
                <c:pt idx="5">
                  <c:v>Wysokość zrealizowania Planu Sprzedaży Marża</c:v>
                </c:pt>
                <c:pt idx="6">
                  <c:v>Różnica wskaźnika Marża</c:v>
                </c:pt>
                <c:pt idx="7">
                  <c:v>Plan Sprzedaży Obrót</c:v>
                </c:pt>
                <c:pt idx="8">
                  <c:v>Sumaryczny Plan Sprzedaży Obrót</c:v>
                </c:pt>
                <c:pt idx="9">
                  <c:v>Miesięczna realizacja Planu Sprzedaży Obrót</c:v>
                </c:pt>
                <c:pt idx="10">
                  <c:v>Sumaryczna realizacja planu sprzedaży Obrót</c:v>
                </c:pt>
                <c:pt idx="11">
                  <c:v>Wysokość zrealizowania Miesięcznego Planu Sprzedaży Obrót</c:v>
                </c:pt>
                <c:pt idx="12">
                  <c:v>Wysokość zrealizowania Planu Sprzedaży Obrót</c:v>
                </c:pt>
                <c:pt idx="13">
                  <c:v>Różnica wskaźnika Obrót </c:v>
                </c:pt>
                <c:pt idx="14">
                  <c:v>Wysokość Marży miesięcznej</c:v>
                </c:pt>
                <c:pt idx="15">
                  <c:v>Wysokość Marży sumarycznej</c:v>
                </c:pt>
              </c:strCache>
            </c:strRef>
          </c:cat>
          <c:val>
            <c:numRef>
              <c:f>MIRU!$I$4:$I$19</c:f>
              <c:numCache>
                <c:formatCode>_(* #,##0.00_);_(* \(#,##0.00\);_(* "-"??_);_(@_)</c:formatCode>
                <c:ptCount val="16"/>
                <c:pt idx="0">
                  <c:v>110000</c:v>
                </c:pt>
                <c:pt idx="7">
                  <c:v>260000</c:v>
                </c:pt>
              </c:numCache>
            </c:numRef>
          </c:val>
        </c:ser>
        <c:ser>
          <c:idx val="4"/>
          <c:order val="4"/>
          <c:invertIfNegative val="0"/>
          <c:cat>
            <c:strRef>
              <c:f>MIRU!$A$4:$A$19</c:f>
              <c:strCache>
                <c:ptCount val="16"/>
                <c:pt idx="0">
                  <c:v>Plan Sprzedaży Marża</c:v>
                </c:pt>
                <c:pt idx="1">
                  <c:v>Sumaryczny Plan Sprzedaży Marża</c:v>
                </c:pt>
                <c:pt idx="2">
                  <c:v>Miesięczna realizacja Planu Sprzedaży Marża</c:v>
                </c:pt>
                <c:pt idx="3">
                  <c:v>Sumaryczna realizacja planu sprzedaży Marża</c:v>
                </c:pt>
                <c:pt idx="4">
                  <c:v>Wysokość zrealizowania Miesięcznego Planu Sprzedaży Marża</c:v>
                </c:pt>
                <c:pt idx="5">
                  <c:v>Wysokość zrealizowania Planu Sprzedaży Marża</c:v>
                </c:pt>
                <c:pt idx="6">
                  <c:v>Różnica wskaźnika Marża</c:v>
                </c:pt>
                <c:pt idx="7">
                  <c:v>Plan Sprzedaży Obrót</c:v>
                </c:pt>
                <c:pt idx="8">
                  <c:v>Sumaryczny Plan Sprzedaży Obrót</c:v>
                </c:pt>
                <c:pt idx="9">
                  <c:v>Miesięczna realizacja Planu Sprzedaży Obrót</c:v>
                </c:pt>
                <c:pt idx="10">
                  <c:v>Sumaryczna realizacja planu sprzedaży Obrót</c:v>
                </c:pt>
                <c:pt idx="11">
                  <c:v>Wysokość zrealizowania Miesięcznego Planu Sprzedaży Obrót</c:v>
                </c:pt>
                <c:pt idx="12">
                  <c:v>Wysokość zrealizowania Planu Sprzedaży Obrót</c:v>
                </c:pt>
                <c:pt idx="13">
                  <c:v>Różnica wskaźnika Obrót </c:v>
                </c:pt>
                <c:pt idx="14">
                  <c:v>Wysokość Marży miesięcznej</c:v>
                </c:pt>
                <c:pt idx="15">
                  <c:v>Wysokość Marży sumarycznej</c:v>
                </c:pt>
              </c:strCache>
            </c:strRef>
          </c:cat>
          <c:val>
            <c:numRef>
              <c:f>MIRU!$J$4:$J$19</c:f>
              <c:numCache>
                <c:formatCode>_(* #,##0.00_);_(* \(#,##0.00\);_(* "-"??_);_(@_)</c:formatCode>
                <c:ptCount val="16"/>
                <c:pt idx="0">
                  <c:v>31166.666666666664</c:v>
                </c:pt>
                <c:pt idx="1">
                  <c:v>31166.666666666664</c:v>
                </c:pt>
                <c:pt idx="2" formatCode="#,##0.00">
                  <c:v>28997.443500000001</c:v>
                </c:pt>
                <c:pt idx="3">
                  <c:v>28997.443500000001</c:v>
                </c:pt>
                <c:pt idx="4" formatCode="0.00%">
                  <c:v>0.93039925668449208</c:v>
                </c:pt>
                <c:pt idx="5" formatCode="0.00%">
                  <c:v>0.93039925668449208</c:v>
                </c:pt>
                <c:pt idx="6">
                  <c:v>-2169.223166666663</c:v>
                </c:pt>
                <c:pt idx="7">
                  <c:v>73666.666666666672</c:v>
                </c:pt>
                <c:pt idx="8">
                  <c:v>73666.666666666672</c:v>
                </c:pt>
                <c:pt idx="9" formatCode="#,##0.00">
                  <c:v>79851.850000000006</c:v>
                </c:pt>
                <c:pt idx="10">
                  <c:v>79851.850000000006</c:v>
                </c:pt>
                <c:pt idx="11" formatCode="0.00%">
                  <c:v>1.0839617647058823</c:v>
                </c:pt>
                <c:pt idx="12" formatCode="0.00%">
                  <c:v>1.0839617647058823</c:v>
                </c:pt>
                <c:pt idx="13">
                  <c:v>6185.1833333333343</c:v>
                </c:pt>
                <c:pt idx="14" formatCode="0.00%">
                  <c:v>0.3631405346275634</c:v>
                </c:pt>
                <c:pt idx="15" formatCode="0.00%">
                  <c:v>0.3631405346275634</c:v>
                </c:pt>
              </c:numCache>
            </c:numRef>
          </c:val>
        </c:ser>
        <c:ser>
          <c:idx val="5"/>
          <c:order val="5"/>
          <c:invertIfNegative val="0"/>
          <c:cat>
            <c:strRef>
              <c:f>MIRU!$A$4:$A$19</c:f>
              <c:strCache>
                <c:ptCount val="16"/>
                <c:pt idx="0">
                  <c:v>Plan Sprzedaży Marża</c:v>
                </c:pt>
                <c:pt idx="1">
                  <c:v>Sumaryczny Plan Sprzedaży Marża</c:v>
                </c:pt>
                <c:pt idx="2">
                  <c:v>Miesięczna realizacja Planu Sprzedaży Marża</c:v>
                </c:pt>
                <c:pt idx="3">
                  <c:v>Sumaryczna realizacja planu sprzedaży Marża</c:v>
                </c:pt>
                <c:pt idx="4">
                  <c:v>Wysokość zrealizowania Miesięcznego Planu Sprzedaży Marża</c:v>
                </c:pt>
                <c:pt idx="5">
                  <c:v>Wysokość zrealizowania Planu Sprzedaży Marża</c:v>
                </c:pt>
                <c:pt idx="6">
                  <c:v>Różnica wskaźnika Marża</c:v>
                </c:pt>
                <c:pt idx="7">
                  <c:v>Plan Sprzedaży Obrót</c:v>
                </c:pt>
                <c:pt idx="8">
                  <c:v>Sumaryczny Plan Sprzedaży Obrót</c:v>
                </c:pt>
                <c:pt idx="9">
                  <c:v>Miesięczna realizacja Planu Sprzedaży Obrót</c:v>
                </c:pt>
                <c:pt idx="10">
                  <c:v>Sumaryczna realizacja planu sprzedaży Obrót</c:v>
                </c:pt>
                <c:pt idx="11">
                  <c:v>Wysokość zrealizowania Miesięcznego Planu Sprzedaży Obrót</c:v>
                </c:pt>
                <c:pt idx="12">
                  <c:v>Wysokość zrealizowania Planu Sprzedaży Obrót</c:v>
                </c:pt>
                <c:pt idx="13">
                  <c:v>Różnica wskaźnika Obrót </c:v>
                </c:pt>
                <c:pt idx="14">
                  <c:v>Wysokość Marży miesięcznej</c:v>
                </c:pt>
                <c:pt idx="15">
                  <c:v>Wysokość Marży sumarycznej</c:v>
                </c:pt>
              </c:strCache>
            </c:strRef>
          </c:cat>
          <c:val>
            <c:numRef>
              <c:f>MIRU!$K$4:$K$19</c:f>
              <c:numCache>
                <c:formatCode>_(* #,##0.00_);_(* \(#,##0.00\);_(* "-"??_);_(@_)</c:formatCode>
                <c:ptCount val="16"/>
                <c:pt idx="0">
                  <c:v>36666.666666666664</c:v>
                </c:pt>
                <c:pt idx="1">
                  <c:v>67833.333333333328</c:v>
                </c:pt>
                <c:pt idx="2" formatCode="#,##0.00">
                  <c:v>54801.4712</c:v>
                </c:pt>
                <c:pt idx="3">
                  <c:v>83798.914699999994</c:v>
                </c:pt>
                <c:pt idx="4" formatCode="0.00%">
                  <c:v>1.4945855781818183</c:v>
                </c:pt>
                <c:pt idx="5" formatCode="0.00%">
                  <c:v>1.2353648358722358</c:v>
                </c:pt>
                <c:pt idx="6">
                  <c:v>15965.581366666665</c:v>
                </c:pt>
                <c:pt idx="7">
                  <c:v>86666.666666666672</c:v>
                </c:pt>
                <c:pt idx="8">
                  <c:v>160333.33333333334</c:v>
                </c:pt>
                <c:pt idx="9" formatCode="#,##0.00">
                  <c:v>118999.17</c:v>
                </c:pt>
                <c:pt idx="10">
                  <c:v>198851.02000000002</c:v>
                </c:pt>
                <c:pt idx="11" formatCode="0.00%">
                  <c:v>1.3730673461538461</c:v>
                </c:pt>
                <c:pt idx="12" formatCode="0.00%">
                  <c:v>1.240235051975052</c:v>
                </c:pt>
                <c:pt idx="13">
                  <c:v>38517.686666666676</c:v>
                </c:pt>
                <c:pt idx="14" formatCode="0.00%">
                  <c:v>0.46051977673457722</c:v>
                </c:pt>
                <c:pt idx="15" formatCode="0.00%">
                  <c:v>0.42141556377231548</c:v>
                </c:pt>
              </c:numCache>
            </c:numRef>
          </c:val>
        </c:ser>
        <c:ser>
          <c:idx val="6"/>
          <c:order val="6"/>
          <c:invertIfNegative val="0"/>
          <c:cat>
            <c:strRef>
              <c:f>MIRU!$A$4:$A$19</c:f>
              <c:strCache>
                <c:ptCount val="16"/>
                <c:pt idx="0">
                  <c:v>Plan Sprzedaży Marża</c:v>
                </c:pt>
                <c:pt idx="1">
                  <c:v>Sumaryczny Plan Sprzedaży Marża</c:v>
                </c:pt>
                <c:pt idx="2">
                  <c:v>Miesięczna realizacja Planu Sprzedaży Marża</c:v>
                </c:pt>
                <c:pt idx="3">
                  <c:v>Sumaryczna realizacja planu sprzedaży Marża</c:v>
                </c:pt>
                <c:pt idx="4">
                  <c:v>Wysokość zrealizowania Miesięcznego Planu Sprzedaży Marża</c:v>
                </c:pt>
                <c:pt idx="5">
                  <c:v>Wysokość zrealizowania Planu Sprzedaży Marża</c:v>
                </c:pt>
                <c:pt idx="6">
                  <c:v>Różnica wskaźnika Marża</c:v>
                </c:pt>
                <c:pt idx="7">
                  <c:v>Plan Sprzedaży Obrót</c:v>
                </c:pt>
                <c:pt idx="8">
                  <c:v>Sumaryczny Plan Sprzedaży Obrót</c:v>
                </c:pt>
                <c:pt idx="9">
                  <c:v>Miesięczna realizacja Planu Sprzedaży Obrót</c:v>
                </c:pt>
                <c:pt idx="10">
                  <c:v>Sumaryczna realizacja planu sprzedaży Obrót</c:v>
                </c:pt>
                <c:pt idx="11">
                  <c:v>Wysokość zrealizowania Miesięcznego Planu Sprzedaży Obrót</c:v>
                </c:pt>
                <c:pt idx="12">
                  <c:v>Wysokość zrealizowania Planu Sprzedaży Obrót</c:v>
                </c:pt>
                <c:pt idx="13">
                  <c:v>Różnica wskaźnika Obrót </c:v>
                </c:pt>
                <c:pt idx="14">
                  <c:v>Wysokość Marży miesięcznej</c:v>
                </c:pt>
                <c:pt idx="15">
                  <c:v>Wysokość Marży sumarycznej</c:v>
                </c:pt>
              </c:strCache>
            </c:strRef>
          </c:cat>
          <c:val>
            <c:numRef>
              <c:f>MIRU!$L$4:$L$19</c:f>
              <c:numCache>
                <c:formatCode>_(* #,##0.00_);_(* \(#,##0.00\);_(* "-"??_);_(@_)</c:formatCode>
                <c:ptCount val="16"/>
                <c:pt idx="0">
                  <c:v>42166.666666666664</c:v>
                </c:pt>
                <c:pt idx="1">
                  <c:v>110000</c:v>
                </c:pt>
                <c:pt idx="2" formatCode="#,##0.00">
                  <c:v>40637.181499999999</c:v>
                </c:pt>
                <c:pt idx="3">
                  <c:v>124436.0962</c:v>
                </c:pt>
                <c:pt idx="4" formatCode="0.00%">
                  <c:v>0.96372762450592886</c:v>
                </c:pt>
                <c:pt idx="5" formatCode="0.00%">
                  <c:v>1.1312372381818181</c:v>
                </c:pt>
                <c:pt idx="6">
                  <c:v>14436.0962</c:v>
                </c:pt>
                <c:pt idx="7">
                  <c:v>99666.666666666672</c:v>
                </c:pt>
                <c:pt idx="8">
                  <c:v>260000</c:v>
                </c:pt>
                <c:pt idx="9" formatCode="#,##0.00">
                  <c:v>114819.72</c:v>
                </c:pt>
                <c:pt idx="10">
                  <c:v>313670.74</c:v>
                </c:pt>
                <c:pt idx="11" formatCode="0.00%">
                  <c:v>1.1520373244147157</c:v>
                </c:pt>
                <c:pt idx="12" formatCode="0.00%">
                  <c:v>1.206425923076923</c:v>
                </c:pt>
                <c:pt idx="13">
                  <c:v>53670.739999999991</c:v>
                </c:pt>
                <c:pt idx="14" formatCode="0.00%">
                  <c:v>0.35392162165175112</c:v>
                </c:pt>
                <c:pt idx="15" formatCode="0.00%">
                  <c:v>0.39670928885493112</c:v>
                </c:pt>
              </c:numCache>
            </c:numRef>
          </c:val>
        </c:ser>
        <c:ser>
          <c:idx val="7"/>
          <c:order val="7"/>
          <c:invertIfNegative val="0"/>
          <c:cat>
            <c:strRef>
              <c:f>MIRU!$A$4:$A$19</c:f>
              <c:strCache>
                <c:ptCount val="16"/>
                <c:pt idx="0">
                  <c:v>Plan Sprzedaży Marża</c:v>
                </c:pt>
                <c:pt idx="1">
                  <c:v>Sumaryczny Plan Sprzedaży Marża</c:v>
                </c:pt>
                <c:pt idx="2">
                  <c:v>Miesięczna realizacja Planu Sprzedaży Marża</c:v>
                </c:pt>
                <c:pt idx="3">
                  <c:v>Sumaryczna realizacja planu sprzedaży Marża</c:v>
                </c:pt>
                <c:pt idx="4">
                  <c:v>Wysokość zrealizowania Miesięcznego Planu Sprzedaży Marża</c:v>
                </c:pt>
                <c:pt idx="5">
                  <c:v>Wysokość zrealizowania Planu Sprzedaży Marża</c:v>
                </c:pt>
                <c:pt idx="6">
                  <c:v>Różnica wskaźnika Marża</c:v>
                </c:pt>
                <c:pt idx="7">
                  <c:v>Plan Sprzedaży Obrót</c:v>
                </c:pt>
                <c:pt idx="8">
                  <c:v>Sumaryczny Plan Sprzedaży Obrót</c:v>
                </c:pt>
                <c:pt idx="9">
                  <c:v>Miesięczna realizacja Planu Sprzedaży Obrót</c:v>
                </c:pt>
                <c:pt idx="10">
                  <c:v>Sumaryczna realizacja planu sprzedaży Obrót</c:v>
                </c:pt>
                <c:pt idx="11">
                  <c:v>Wysokość zrealizowania Miesięcznego Planu Sprzedaży Obrót</c:v>
                </c:pt>
                <c:pt idx="12">
                  <c:v>Wysokość zrealizowania Planu Sprzedaży Obrót</c:v>
                </c:pt>
                <c:pt idx="13">
                  <c:v>Różnica wskaźnika Obrót </c:v>
                </c:pt>
                <c:pt idx="14">
                  <c:v>Wysokość Marży miesięcznej</c:v>
                </c:pt>
                <c:pt idx="15">
                  <c:v>Wysokość Marży sumarycznej</c:v>
                </c:pt>
              </c:strCache>
            </c:strRef>
          </c:cat>
          <c:val>
            <c:numRef>
              <c:f>MIRU!$M$4:$M$19</c:f>
              <c:numCache>
                <c:formatCode>_(* #,##0.00_);_(* \(#,##0.00\);_(* "-"??_);_(@_)</c:formatCode>
                <c:ptCount val="16"/>
                <c:pt idx="0">
                  <c:v>110000</c:v>
                </c:pt>
              </c:numCache>
            </c:numRef>
          </c:val>
        </c:ser>
        <c:ser>
          <c:idx val="8"/>
          <c:order val="8"/>
          <c:invertIfNegative val="0"/>
          <c:cat>
            <c:strRef>
              <c:f>MIRU!$A$4:$A$19</c:f>
              <c:strCache>
                <c:ptCount val="16"/>
                <c:pt idx="0">
                  <c:v>Plan Sprzedaży Marża</c:v>
                </c:pt>
                <c:pt idx="1">
                  <c:v>Sumaryczny Plan Sprzedaży Marża</c:v>
                </c:pt>
                <c:pt idx="2">
                  <c:v>Miesięczna realizacja Planu Sprzedaży Marża</c:v>
                </c:pt>
                <c:pt idx="3">
                  <c:v>Sumaryczna realizacja planu sprzedaży Marża</c:v>
                </c:pt>
                <c:pt idx="4">
                  <c:v>Wysokość zrealizowania Miesięcznego Planu Sprzedaży Marża</c:v>
                </c:pt>
                <c:pt idx="5">
                  <c:v>Wysokość zrealizowania Planu Sprzedaży Marża</c:v>
                </c:pt>
                <c:pt idx="6">
                  <c:v>Różnica wskaźnika Marża</c:v>
                </c:pt>
                <c:pt idx="7">
                  <c:v>Plan Sprzedaży Obrót</c:v>
                </c:pt>
                <c:pt idx="8">
                  <c:v>Sumaryczny Plan Sprzedaży Obrót</c:v>
                </c:pt>
                <c:pt idx="9">
                  <c:v>Miesięczna realizacja Planu Sprzedaży Obrót</c:v>
                </c:pt>
                <c:pt idx="10">
                  <c:v>Sumaryczna realizacja planu sprzedaży Obrót</c:v>
                </c:pt>
                <c:pt idx="11">
                  <c:v>Wysokość zrealizowania Miesięcznego Planu Sprzedaży Obrót</c:v>
                </c:pt>
                <c:pt idx="12">
                  <c:v>Wysokość zrealizowania Planu Sprzedaży Obrót</c:v>
                </c:pt>
                <c:pt idx="13">
                  <c:v>Różnica wskaźnika Obrót </c:v>
                </c:pt>
                <c:pt idx="14">
                  <c:v>Wysokość Marży miesięcznej</c:v>
                </c:pt>
                <c:pt idx="15">
                  <c:v>Wysokość Marży sumarycznej</c:v>
                </c:pt>
              </c:strCache>
            </c:strRef>
          </c:cat>
          <c:val>
            <c:numRef>
              <c:f>MIRU!$N$4:$N$19</c:f>
              <c:numCache>
                <c:formatCode>_(* #,##0.00_);_(* \(#,##0.00\);_(* "-"??_);_(@_)</c:formatCode>
                <c:ptCount val="16"/>
                <c:pt idx="0">
                  <c:v>30000.000000000004</c:v>
                </c:pt>
                <c:pt idx="1">
                  <c:v>30000.000000000004</c:v>
                </c:pt>
                <c:pt idx="2">
                  <c:v>22982.051899999999</c:v>
                </c:pt>
                <c:pt idx="3">
                  <c:v>22982.051899999999</c:v>
                </c:pt>
                <c:pt idx="4" formatCode="0.00%">
                  <c:v>0.76606839666666648</c:v>
                </c:pt>
                <c:pt idx="5" formatCode="0.00%">
                  <c:v>0.76606839666666648</c:v>
                </c:pt>
                <c:pt idx="6">
                  <c:v>-7017.9481000000051</c:v>
                </c:pt>
                <c:pt idx="7">
                  <c:v>72000</c:v>
                </c:pt>
                <c:pt idx="8">
                  <c:v>72000</c:v>
                </c:pt>
                <c:pt idx="9">
                  <c:v>45519.79</c:v>
                </c:pt>
                <c:pt idx="10">
                  <c:v>45519.79</c:v>
                </c:pt>
                <c:pt idx="11" formatCode="0.00%">
                  <c:v>0.63221930555555561</c:v>
                </c:pt>
                <c:pt idx="12" formatCode="0.00%">
                  <c:v>0.63221930555555561</c:v>
                </c:pt>
                <c:pt idx="13">
                  <c:v>-26480.21</c:v>
                </c:pt>
                <c:pt idx="14" formatCode="0.00%">
                  <c:v>0.5048804465046961</c:v>
                </c:pt>
                <c:pt idx="15" formatCode="0.00%">
                  <c:v>0.5048804465046961</c:v>
                </c:pt>
              </c:numCache>
            </c:numRef>
          </c:val>
        </c:ser>
        <c:ser>
          <c:idx val="9"/>
          <c:order val="9"/>
          <c:invertIfNegative val="0"/>
          <c:cat>
            <c:strRef>
              <c:f>MIRU!$A$4:$A$19</c:f>
              <c:strCache>
                <c:ptCount val="16"/>
                <c:pt idx="0">
                  <c:v>Plan Sprzedaży Marża</c:v>
                </c:pt>
                <c:pt idx="1">
                  <c:v>Sumaryczny Plan Sprzedaży Marża</c:v>
                </c:pt>
                <c:pt idx="2">
                  <c:v>Miesięczna realizacja Planu Sprzedaży Marża</c:v>
                </c:pt>
                <c:pt idx="3">
                  <c:v>Sumaryczna realizacja planu sprzedaży Marża</c:v>
                </c:pt>
                <c:pt idx="4">
                  <c:v>Wysokość zrealizowania Miesięcznego Planu Sprzedaży Marża</c:v>
                </c:pt>
                <c:pt idx="5">
                  <c:v>Wysokość zrealizowania Planu Sprzedaży Marża</c:v>
                </c:pt>
                <c:pt idx="6">
                  <c:v>Różnica wskaźnika Marża</c:v>
                </c:pt>
                <c:pt idx="7">
                  <c:v>Plan Sprzedaży Obrót</c:v>
                </c:pt>
                <c:pt idx="8">
                  <c:v>Sumaryczny Plan Sprzedaży Obrót</c:v>
                </c:pt>
                <c:pt idx="9">
                  <c:v>Miesięczna realizacja Planu Sprzedaży Obrót</c:v>
                </c:pt>
                <c:pt idx="10">
                  <c:v>Sumaryczna realizacja planu sprzedaży Obrót</c:v>
                </c:pt>
                <c:pt idx="11">
                  <c:v>Wysokość zrealizowania Miesięcznego Planu Sprzedaży Obrót</c:v>
                </c:pt>
                <c:pt idx="12">
                  <c:v>Wysokość zrealizowania Planu Sprzedaży Obrót</c:v>
                </c:pt>
                <c:pt idx="13">
                  <c:v>Różnica wskaźnika Obrót </c:v>
                </c:pt>
                <c:pt idx="14">
                  <c:v>Wysokość Marży miesięcznej</c:v>
                </c:pt>
                <c:pt idx="15">
                  <c:v>Wysokość Marży sumarycznej</c:v>
                </c:pt>
              </c:strCache>
            </c:strRef>
          </c:cat>
          <c:val>
            <c:numRef>
              <c:f>MIRU!$O$4:$O$19</c:f>
              <c:numCache>
                <c:formatCode>_(* #,##0.00_);_(* \(#,##0.00\);_(* "-"??_);_(@_)</c:formatCode>
                <c:ptCount val="16"/>
                <c:pt idx="0">
                  <c:v>33333.333333333336</c:v>
                </c:pt>
                <c:pt idx="1">
                  <c:v>63333.333333333343</c:v>
                </c:pt>
                <c:pt idx="2" formatCode="#,##0.00">
                  <c:v>31821.017500000002</c:v>
                </c:pt>
                <c:pt idx="3">
                  <c:v>54803.0694</c:v>
                </c:pt>
                <c:pt idx="4" formatCode="0.00%">
                  <c:v>0.95463052500000001</c:v>
                </c:pt>
                <c:pt idx="5" formatCode="0.00%">
                  <c:v>0.86531162210526302</c:v>
                </c:pt>
                <c:pt idx="6">
                  <c:v>-8530.2639333333427</c:v>
                </c:pt>
                <c:pt idx="7">
                  <c:v>80000</c:v>
                </c:pt>
                <c:pt idx="8">
                  <c:v>152000</c:v>
                </c:pt>
                <c:pt idx="9" formatCode="#,##0.00">
                  <c:v>70446.38</c:v>
                </c:pt>
                <c:pt idx="10">
                  <c:v>115966.17000000001</c:v>
                </c:pt>
                <c:pt idx="11" formatCode="0.00%">
                  <c:v>0.88057975000000011</c:v>
                </c:pt>
                <c:pt idx="12" formatCode="0.00%">
                  <c:v>0.76293532894736849</c:v>
                </c:pt>
                <c:pt idx="13">
                  <c:v>-36033.829999999987</c:v>
                </c:pt>
                <c:pt idx="14" formatCode="0.00%">
                  <c:v>0.45170550282356597</c:v>
                </c:pt>
                <c:pt idx="15" formatCode="0.00%">
                  <c:v>0.47257807514036199</c:v>
                </c:pt>
              </c:numCache>
            </c:numRef>
          </c:val>
        </c:ser>
        <c:ser>
          <c:idx val="10"/>
          <c:order val="10"/>
          <c:invertIfNegative val="0"/>
          <c:cat>
            <c:strRef>
              <c:f>MIRU!$A$4:$A$19</c:f>
              <c:strCache>
                <c:ptCount val="16"/>
                <c:pt idx="0">
                  <c:v>Plan Sprzedaży Marża</c:v>
                </c:pt>
                <c:pt idx="1">
                  <c:v>Sumaryczny Plan Sprzedaży Marża</c:v>
                </c:pt>
                <c:pt idx="2">
                  <c:v>Miesięczna realizacja Planu Sprzedaży Marża</c:v>
                </c:pt>
                <c:pt idx="3">
                  <c:v>Sumaryczna realizacja planu sprzedaży Marża</c:v>
                </c:pt>
                <c:pt idx="4">
                  <c:v>Wysokość zrealizowania Miesięcznego Planu Sprzedaży Marża</c:v>
                </c:pt>
                <c:pt idx="5">
                  <c:v>Wysokość zrealizowania Planu Sprzedaży Marża</c:v>
                </c:pt>
                <c:pt idx="6">
                  <c:v>Różnica wskaźnika Marża</c:v>
                </c:pt>
                <c:pt idx="7">
                  <c:v>Plan Sprzedaży Obrót</c:v>
                </c:pt>
                <c:pt idx="8">
                  <c:v>Sumaryczny Plan Sprzedaży Obrót</c:v>
                </c:pt>
                <c:pt idx="9">
                  <c:v>Miesięczna realizacja Planu Sprzedaży Obrót</c:v>
                </c:pt>
                <c:pt idx="10">
                  <c:v>Sumaryczna realizacja planu sprzedaży Obrót</c:v>
                </c:pt>
                <c:pt idx="11">
                  <c:v>Wysokość zrealizowania Miesięcznego Planu Sprzedaży Obrót</c:v>
                </c:pt>
                <c:pt idx="12">
                  <c:v>Wysokość zrealizowania Planu Sprzedaży Obrót</c:v>
                </c:pt>
                <c:pt idx="13">
                  <c:v>Różnica wskaźnika Obrót </c:v>
                </c:pt>
                <c:pt idx="14">
                  <c:v>Wysokość Marży miesięcznej</c:v>
                </c:pt>
                <c:pt idx="15">
                  <c:v>Wysokość Marży sumarycznej</c:v>
                </c:pt>
              </c:strCache>
            </c:strRef>
          </c:cat>
          <c:val>
            <c:numRef>
              <c:f>MIRU!$P$4:$P$19</c:f>
              <c:numCache>
                <c:formatCode>_(* #,##0.00_);_(* \(#,##0.00\);_(* "-"??_);_(@_)</c:formatCode>
                <c:ptCount val="16"/>
                <c:pt idx="0">
                  <c:v>36666.666666666672</c:v>
                </c:pt>
                <c:pt idx="1">
                  <c:v>100000.00000000001</c:v>
                </c:pt>
                <c:pt idx="2" formatCode="#,##0.00">
                  <c:v>73100.850999999995</c:v>
                </c:pt>
                <c:pt idx="3">
                  <c:v>127903.9204</c:v>
                </c:pt>
                <c:pt idx="4" formatCode="0.00%">
                  <c:v>1.9936595727272723</c:v>
                </c:pt>
                <c:pt idx="5" formatCode="0.00%">
                  <c:v>1.2790392039999998</c:v>
                </c:pt>
                <c:pt idx="6">
                  <c:v>27903.920399999988</c:v>
                </c:pt>
                <c:pt idx="7">
                  <c:v>88000</c:v>
                </c:pt>
                <c:pt idx="8">
                  <c:v>240000</c:v>
                </c:pt>
                <c:pt idx="9" formatCode="#,##0.00">
                  <c:v>168125.31</c:v>
                </c:pt>
                <c:pt idx="10">
                  <c:v>284091.48</c:v>
                </c:pt>
                <c:pt idx="11" formatCode="0.00%">
                  <c:v>1.9105148863636363</c:v>
                </c:pt>
                <c:pt idx="12" formatCode="0.00%">
                  <c:v>1.1837145</c:v>
                </c:pt>
                <c:pt idx="13">
                  <c:v>44091.479999999981</c:v>
                </c:pt>
                <c:pt idx="14" formatCode="0.00%">
                  <c:v>0.43479979903085381</c:v>
                </c:pt>
                <c:pt idx="15" formatCode="0.00%">
                  <c:v>0.45022089504408935</c:v>
                </c:pt>
              </c:numCache>
            </c:numRef>
          </c:val>
        </c:ser>
        <c:ser>
          <c:idx val="11"/>
          <c:order val="11"/>
          <c:invertIfNegative val="0"/>
          <c:cat>
            <c:strRef>
              <c:f>MIRU!$A$4:$A$19</c:f>
              <c:strCache>
                <c:ptCount val="16"/>
                <c:pt idx="0">
                  <c:v>Plan Sprzedaży Marża</c:v>
                </c:pt>
                <c:pt idx="1">
                  <c:v>Sumaryczny Plan Sprzedaży Marża</c:v>
                </c:pt>
                <c:pt idx="2">
                  <c:v>Miesięczna realizacja Planu Sprzedaży Marża</c:v>
                </c:pt>
                <c:pt idx="3">
                  <c:v>Sumaryczna realizacja planu sprzedaży Marża</c:v>
                </c:pt>
                <c:pt idx="4">
                  <c:v>Wysokość zrealizowania Miesięcznego Planu Sprzedaży Marża</c:v>
                </c:pt>
                <c:pt idx="5">
                  <c:v>Wysokość zrealizowania Planu Sprzedaży Marża</c:v>
                </c:pt>
                <c:pt idx="6">
                  <c:v>Różnica wskaźnika Marża</c:v>
                </c:pt>
                <c:pt idx="7">
                  <c:v>Plan Sprzedaży Obrót</c:v>
                </c:pt>
                <c:pt idx="8">
                  <c:v>Sumaryczny Plan Sprzedaży Obrót</c:v>
                </c:pt>
                <c:pt idx="9">
                  <c:v>Miesięczna realizacja Planu Sprzedaży Obrót</c:v>
                </c:pt>
                <c:pt idx="10">
                  <c:v>Sumaryczna realizacja planu sprzedaży Obrót</c:v>
                </c:pt>
                <c:pt idx="11">
                  <c:v>Wysokość zrealizowania Miesięcznego Planu Sprzedaży Obrót</c:v>
                </c:pt>
                <c:pt idx="12">
                  <c:v>Wysokość zrealizowania Planu Sprzedaży Obrót</c:v>
                </c:pt>
                <c:pt idx="13">
                  <c:v>Różnica wskaźnika Obrót </c:v>
                </c:pt>
                <c:pt idx="14">
                  <c:v>Wysokość Marży miesięcznej</c:v>
                </c:pt>
                <c:pt idx="15">
                  <c:v>Wysokość Marży sumarycznej</c:v>
                </c:pt>
              </c:strCache>
            </c:strRef>
          </c:cat>
          <c:val>
            <c:numRef>
              <c:f>MIRU!$Q$4:$Q$19</c:f>
              <c:numCache>
                <c:formatCode>_(* #,##0.00_);_(* \(#,##0.00\);_(* "-"??_);_(@_)</c:formatCode>
                <c:ptCount val="16"/>
                <c:pt idx="0">
                  <c:v>100000.00000000001</c:v>
                </c:pt>
                <c:pt idx="2">
                  <c:v>127903.9204</c:v>
                </c:pt>
                <c:pt idx="7">
                  <c:v>240000</c:v>
                </c:pt>
                <c:pt idx="9">
                  <c:v>284091.48</c:v>
                </c:pt>
              </c:numCache>
            </c:numRef>
          </c:val>
        </c:ser>
        <c:ser>
          <c:idx val="12"/>
          <c:order val="12"/>
          <c:invertIfNegative val="0"/>
          <c:cat>
            <c:strRef>
              <c:f>MIRU!$A$4:$A$19</c:f>
              <c:strCache>
                <c:ptCount val="16"/>
                <c:pt idx="0">
                  <c:v>Plan Sprzedaży Marża</c:v>
                </c:pt>
                <c:pt idx="1">
                  <c:v>Sumaryczny Plan Sprzedaży Marża</c:v>
                </c:pt>
                <c:pt idx="2">
                  <c:v>Miesięczna realizacja Planu Sprzedaży Marża</c:v>
                </c:pt>
                <c:pt idx="3">
                  <c:v>Sumaryczna realizacja planu sprzedaży Marża</c:v>
                </c:pt>
                <c:pt idx="4">
                  <c:v>Wysokość zrealizowania Miesięcznego Planu Sprzedaży Marża</c:v>
                </c:pt>
                <c:pt idx="5">
                  <c:v>Wysokość zrealizowania Planu Sprzedaży Marża</c:v>
                </c:pt>
                <c:pt idx="6">
                  <c:v>Różnica wskaźnika Marża</c:v>
                </c:pt>
                <c:pt idx="7">
                  <c:v>Plan Sprzedaży Obrót</c:v>
                </c:pt>
                <c:pt idx="8">
                  <c:v>Sumaryczny Plan Sprzedaży Obrót</c:v>
                </c:pt>
                <c:pt idx="9">
                  <c:v>Miesięczna realizacja Planu Sprzedaży Obrót</c:v>
                </c:pt>
                <c:pt idx="10">
                  <c:v>Sumaryczna realizacja planu sprzedaży Obrót</c:v>
                </c:pt>
                <c:pt idx="11">
                  <c:v>Wysokość zrealizowania Miesięcznego Planu Sprzedaży Obrót</c:v>
                </c:pt>
                <c:pt idx="12">
                  <c:v>Wysokość zrealizowania Planu Sprzedaży Obrót</c:v>
                </c:pt>
                <c:pt idx="13">
                  <c:v>Różnica wskaźnika Obrót </c:v>
                </c:pt>
                <c:pt idx="14">
                  <c:v>Wysokość Marży miesięcznej</c:v>
                </c:pt>
                <c:pt idx="15">
                  <c:v>Wysokość Marży sumarycznej</c:v>
                </c:pt>
              </c:strCache>
            </c:strRef>
          </c:cat>
          <c:val>
            <c:numRef>
              <c:f>MIRU!$B$4:$B$19</c:f>
              <c:numCache>
                <c:formatCode>_(* #,##0.00_);_(* \(#,##0.00\);_(* "-"??_);_(@_)</c:formatCode>
                <c:ptCount val="16"/>
                <c:pt idx="0">
                  <c:v>31666.666666666668</c:v>
                </c:pt>
                <c:pt idx="1">
                  <c:v>31666.666666666668</c:v>
                </c:pt>
                <c:pt idx="2" formatCode="#,##0.00">
                  <c:v>40498.259700000002</c:v>
                </c:pt>
                <c:pt idx="3">
                  <c:v>40498.259700000002</c:v>
                </c:pt>
                <c:pt idx="4" formatCode="0.00%">
                  <c:v>1.2788924115789473</c:v>
                </c:pt>
                <c:pt idx="5" formatCode="0.00%">
                  <c:v>1.2788924115789473</c:v>
                </c:pt>
                <c:pt idx="6">
                  <c:v>8831.5930333333345</c:v>
                </c:pt>
                <c:pt idx="7">
                  <c:v>82333.333333333328</c:v>
                </c:pt>
                <c:pt idx="8">
                  <c:v>82333.333333333328</c:v>
                </c:pt>
                <c:pt idx="9" formatCode="#,##0.00">
                  <c:v>101206.22</c:v>
                </c:pt>
                <c:pt idx="10">
                  <c:v>101206.22</c:v>
                </c:pt>
                <c:pt idx="11" formatCode="0.00%">
                  <c:v>1.2292253441295546</c:v>
                </c:pt>
                <c:pt idx="12" formatCode="0.00%">
                  <c:v>1.2292253441295546</c:v>
                </c:pt>
                <c:pt idx="13">
                  <c:v>18872.886666666673</c:v>
                </c:pt>
                <c:pt idx="14" formatCode="0.00%">
                  <c:v>0.4001558372598048</c:v>
                </c:pt>
                <c:pt idx="15" formatCode="0.00%">
                  <c:v>0.4001558372598048</c:v>
                </c:pt>
              </c:numCache>
            </c:numRef>
          </c:val>
        </c:ser>
        <c:ser>
          <c:idx val="13"/>
          <c:order val="13"/>
          <c:invertIfNegative val="0"/>
          <c:cat>
            <c:strRef>
              <c:f>MIRU!$A$4:$A$19</c:f>
              <c:strCache>
                <c:ptCount val="16"/>
                <c:pt idx="0">
                  <c:v>Plan Sprzedaży Marża</c:v>
                </c:pt>
                <c:pt idx="1">
                  <c:v>Sumaryczny Plan Sprzedaży Marża</c:v>
                </c:pt>
                <c:pt idx="2">
                  <c:v>Miesięczna realizacja Planu Sprzedaży Marża</c:v>
                </c:pt>
                <c:pt idx="3">
                  <c:v>Sumaryczna realizacja planu sprzedaży Marża</c:v>
                </c:pt>
                <c:pt idx="4">
                  <c:v>Wysokość zrealizowania Miesięcznego Planu Sprzedaży Marża</c:v>
                </c:pt>
                <c:pt idx="5">
                  <c:v>Wysokość zrealizowania Planu Sprzedaży Marża</c:v>
                </c:pt>
                <c:pt idx="6">
                  <c:v>Różnica wskaźnika Marża</c:v>
                </c:pt>
                <c:pt idx="7">
                  <c:v>Plan Sprzedaży Obrót</c:v>
                </c:pt>
                <c:pt idx="8">
                  <c:v>Sumaryczny Plan Sprzedaży Obrót</c:v>
                </c:pt>
                <c:pt idx="9">
                  <c:v>Miesięczna realizacja Planu Sprzedaży Obrót</c:v>
                </c:pt>
                <c:pt idx="10">
                  <c:v>Sumaryczna realizacja planu sprzedaży Obrót</c:v>
                </c:pt>
                <c:pt idx="11">
                  <c:v>Wysokość zrealizowania Miesięcznego Planu Sprzedaży Obrót</c:v>
                </c:pt>
                <c:pt idx="12">
                  <c:v>Wysokość zrealizowania Planu Sprzedaży Obrót</c:v>
                </c:pt>
                <c:pt idx="13">
                  <c:v>Różnica wskaźnika Obrót </c:v>
                </c:pt>
                <c:pt idx="14">
                  <c:v>Wysokość Marży miesięcznej</c:v>
                </c:pt>
                <c:pt idx="15">
                  <c:v>Wysokość Marży sumarycznej</c:v>
                </c:pt>
              </c:strCache>
            </c:strRef>
          </c:cat>
          <c:val>
            <c:numRef>
              <c:f>MIRU!$C$4:$C$19</c:f>
              <c:numCache>
                <c:formatCode>_(* #,##0.00_);_(* \(#,##0.00\);_(* "-"??_);_(@_)</c:formatCode>
                <c:ptCount val="16"/>
                <c:pt idx="0">
                  <c:v>35000.000000000007</c:v>
                </c:pt>
                <c:pt idx="1">
                  <c:v>66666.666666666672</c:v>
                </c:pt>
                <c:pt idx="2" formatCode="#,##0.00">
                  <c:v>12335.6666</c:v>
                </c:pt>
                <c:pt idx="3">
                  <c:v>52833.926300000006</c:v>
                </c:pt>
                <c:pt idx="4" formatCode="0.00%">
                  <c:v>0.35244761714285711</c:v>
                </c:pt>
                <c:pt idx="5" formatCode="0.00%">
                  <c:v>0.79250889450000006</c:v>
                </c:pt>
                <c:pt idx="6">
                  <c:v>-13832.740366666665</c:v>
                </c:pt>
                <c:pt idx="7">
                  <c:v>91000.000000000015</c:v>
                </c:pt>
                <c:pt idx="8">
                  <c:v>173333.33333333334</c:v>
                </c:pt>
                <c:pt idx="9" formatCode="#,##0.00">
                  <c:v>34580.44</c:v>
                </c:pt>
                <c:pt idx="10">
                  <c:v>135786.66</c:v>
                </c:pt>
                <c:pt idx="11" formatCode="0.00%">
                  <c:v>0.38000483516483513</c:v>
                </c:pt>
                <c:pt idx="12" formatCode="0.00%">
                  <c:v>0.78338457692307695</c:v>
                </c:pt>
                <c:pt idx="13">
                  <c:v>-37546.67333333334</c:v>
                </c:pt>
                <c:pt idx="14" formatCode="0.00%">
                  <c:v>0.35672381843608697</c:v>
                </c:pt>
                <c:pt idx="15" formatCode="0.00%">
                  <c:v>0.38909511656005091</c:v>
                </c:pt>
              </c:numCache>
            </c:numRef>
          </c:val>
        </c:ser>
        <c:ser>
          <c:idx val="14"/>
          <c:order val="14"/>
          <c:invertIfNegative val="0"/>
          <c:cat>
            <c:strRef>
              <c:f>MIRU!$A$4:$A$19</c:f>
              <c:strCache>
                <c:ptCount val="16"/>
                <c:pt idx="0">
                  <c:v>Plan Sprzedaży Marża</c:v>
                </c:pt>
                <c:pt idx="1">
                  <c:v>Sumaryczny Plan Sprzedaży Marża</c:v>
                </c:pt>
                <c:pt idx="2">
                  <c:v>Miesięczna realizacja Planu Sprzedaży Marża</c:v>
                </c:pt>
                <c:pt idx="3">
                  <c:v>Sumaryczna realizacja planu sprzedaży Marża</c:v>
                </c:pt>
                <c:pt idx="4">
                  <c:v>Wysokość zrealizowania Miesięcznego Planu Sprzedaży Marża</c:v>
                </c:pt>
                <c:pt idx="5">
                  <c:v>Wysokość zrealizowania Planu Sprzedaży Marża</c:v>
                </c:pt>
                <c:pt idx="6">
                  <c:v>Różnica wskaźnika Marża</c:v>
                </c:pt>
                <c:pt idx="7">
                  <c:v>Plan Sprzedaży Obrót</c:v>
                </c:pt>
                <c:pt idx="8">
                  <c:v>Sumaryczny Plan Sprzedaży Obrót</c:v>
                </c:pt>
                <c:pt idx="9">
                  <c:v>Miesięczna realizacja Planu Sprzedaży Obrót</c:v>
                </c:pt>
                <c:pt idx="10">
                  <c:v>Sumaryczna realizacja planu sprzedaży Obrót</c:v>
                </c:pt>
                <c:pt idx="11">
                  <c:v>Wysokość zrealizowania Miesięcznego Planu Sprzedaży Obrót</c:v>
                </c:pt>
                <c:pt idx="12">
                  <c:v>Wysokość zrealizowania Planu Sprzedaży Obrót</c:v>
                </c:pt>
                <c:pt idx="13">
                  <c:v>Różnica wskaźnika Obrót </c:v>
                </c:pt>
                <c:pt idx="14">
                  <c:v>Wysokość Marży miesięcznej</c:v>
                </c:pt>
                <c:pt idx="15">
                  <c:v>Wysokość Marży sumarycznej</c:v>
                </c:pt>
              </c:strCache>
            </c:strRef>
          </c:cat>
          <c:val>
            <c:numRef>
              <c:f>MIRU!$D$4:$D$19</c:f>
              <c:numCache>
                <c:formatCode>_(* #,##0.00_);_(* \(#,##0.00\);_(* "-"??_);_(@_)</c:formatCode>
                <c:ptCount val="16"/>
                <c:pt idx="0">
                  <c:v>33333.333333333336</c:v>
                </c:pt>
                <c:pt idx="1">
                  <c:v>100000</c:v>
                </c:pt>
                <c:pt idx="2" formatCode="#,##0.00">
                  <c:v>64654.914100000002</c:v>
                </c:pt>
                <c:pt idx="3">
                  <c:v>117488.84040000002</c:v>
                </c:pt>
                <c:pt idx="4" formatCode="0.00%">
                  <c:v>1.9396474229999998</c:v>
                </c:pt>
                <c:pt idx="5" formatCode="0.00%">
                  <c:v>1.1748884040000001</c:v>
                </c:pt>
                <c:pt idx="6">
                  <c:v>17488.840400000016</c:v>
                </c:pt>
                <c:pt idx="7">
                  <c:v>86666.666666666672</c:v>
                </c:pt>
                <c:pt idx="8">
                  <c:v>260000</c:v>
                </c:pt>
                <c:pt idx="9" formatCode="#,##0.00">
                  <c:v>135213.79689999999</c:v>
                </c:pt>
                <c:pt idx="10">
                  <c:v>271000.45689999999</c:v>
                </c:pt>
                <c:pt idx="11" formatCode="0.00%">
                  <c:v>1.5601591949999998</c:v>
                </c:pt>
                <c:pt idx="12" formatCode="0.00%">
                  <c:v>1.0423094496153846</c:v>
                </c:pt>
                <c:pt idx="13">
                  <c:v>11000.45689999999</c:v>
                </c:pt>
                <c:pt idx="14" formatCode="0.00%">
                  <c:v>0.47816802413896276</c:v>
                </c:pt>
                <c:pt idx="15" formatCode="0.00%">
                  <c:v>0.43353742552306385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6157952"/>
        <c:axId val="86172032"/>
      </c:barChart>
      <c:catAx>
        <c:axId val="86157952"/>
        <c:scaling>
          <c:orientation val="minMax"/>
        </c:scaling>
        <c:delete val="0"/>
        <c:axPos val="b"/>
        <c:majorTickMark val="out"/>
        <c:minorTickMark val="none"/>
        <c:tickLblPos val="nextTo"/>
        <c:crossAx val="86172032"/>
        <c:crosses val="autoZero"/>
        <c:auto val="1"/>
        <c:lblAlgn val="ctr"/>
        <c:lblOffset val="100"/>
        <c:noMultiLvlLbl val="0"/>
      </c:catAx>
      <c:valAx>
        <c:axId val="86172032"/>
        <c:scaling>
          <c:orientation val="minMax"/>
        </c:scaling>
        <c:delete val="0"/>
        <c:axPos val="l"/>
        <c:majorGridlines/>
        <c:numFmt formatCode="_(* #,##0.00_);_(* \(#,##0.00\);_(* &quot;-&quot;??_);_(@_)" sourceLinked="1"/>
        <c:majorTickMark val="out"/>
        <c:minorTickMark val="none"/>
        <c:tickLblPos val="nextTo"/>
        <c:crossAx val="8615795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8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6958" cy="6082229"/>
    <xdr:graphicFrame macro="">
      <xdr:nvGraphicFramePr>
        <xdr:cNvPr id="2" name="Wykres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5.xml"/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84"/>
  <sheetViews>
    <sheetView zoomScale="85" zoomScaleNormal="85" workbookViewId="0">
      <selection activeCell="D50" sqref="D50"/>
    </sheetView>
  </sheetViews>
  <sheetFormatPr defaultRowHeight="12.75"/>
  <cols>
    <col min="1" max="1" width="43" style="149" customWidth="1"/>
    <col min="2" max="17" width="11.42578125" style="150" customWidth="1"/>
    <col min="18" max="18" width="13.7109375" style="150" customWidth="1"/>
    <col min="19" max="16384" width="9.140625" style="13"/>
  </cols>
  <sheetData>
    <row r="1" spans="1:19" ht="15" customHeight="1">
      <c r="A1" s="32" t="s">
        <v>91</v>
      </c>
      <c r="B1" s="584" t="s">
        <v>178</v>
      </c>
      <c r="C1" s="585"/>
      <c r="D1" s="577"/>
      <c r="E1" s="225"/>
      <c r="F1" s="584" t="s">
        <v>177</v>
      </c>
      <c r="G1" s="585"/>
      <c r="H1" s="577"/>
      <c r="I1" s="225"/>
      <c r="J1" s="584" t="s">
        <v>176</v>
      </c>
      <c r="K1" s="585"/>
      <c r="L1" s="577"/>
      <c r="M1" s="225"/>
      <c r="N1" s="584" t="s">
        <v>167</v>
      </c>
      <c r="O1" s="585"/>
      <c r="P1" s="577"/>
      <c r="Q1" s="225"/>
      <c r="R1" s="211"/>
      <c r="S1" s="21"/>
    </row>
    <row r="2" spans="1:19" ht="15" customHeight="1">
      <c r="A2" s="113" t="s">
        <v>0</v>
      </c>
      <c r="B2" s="114" t="s">
        <v>10</v>
      </c>
      <c r="C2" s="114" t="s">
        <v>11</v>
      </c>
      <c r="D2" s="114" t="s">
        <v>12</v>
      </c>
      <c r="E2" s="226" t="s">
        <v>165</v>
      </c>
      <c r="F2" s="114" t="s">
        <v>7</v>
      </c>
      <c r="G2" s="114" t="s">
        <v>8</v>
      </c>
      <c r="H2" s="114" t="s">
        <v>9</v>
      </c>
      <c r="I2" s="226" t="s">
        <v>164</v>
      </c>
      <c r="J2" s="114" t="s">
        <v>4</v>
      </c>
      <c r="K2" s="114" t="s">
        <v>5</v>
      </c>
      <c r="L2" s="114" t="s">
        <v>6</v>
      </c>
      <c r="M2" s="226" t="s">
        <v>163</v>
      </c>
      <c r="N2" s="114" t="s">
        <v>1</v>
      </c>
      <c r="O2" s="114" t="s">
        <v>2</v>
      </c>
      <c r="P2" s="114" t="s">
        <v>3</v>
      </c>
      <c r="Q2" s="226" t="s">
        <v>152</v>
      </c>
      <c r="R2" s="114" t="s">
        <v>166</v>
      </c>
      <c r="S2" s="21"/>
    </row>
    <row r="3" spans="1:19" ht="15" customHeight="1">
      <c r="A3" s="114"/>
      <c r="B3" s="114"/>
      <c r="C3" s="114"/>
      <c r="D3" s="114"/>
      <c r="E3" s="227"/>
      <c r="F3" s="114"/>
      <c r="G3" s="114"/>
      <c r="H3" s="114"/>
      <c r="I3" s="227"/>
      <c r="J3" s="114"/>
      <c r="K3" s="114"/>
      <c r="L3" s="114"/>
      <c r="M3" s="227"/>
      <c r="N3" s="114"/>
      <c r="O3" s="114"/>
      <c r="P3" s="114"/>
      <c r="Q3" s="227"/>
      <c r="R3" s="114"/>
      <c r="S3" s="21"/>
    </row>
    <row r="4" spans="1:19" ht="15" customHeight="1">
      <c r="A4" s="115" t="s">
        <v>47</v>
      </c>
      <c r="B4" s="89">
        <f>'Target 2017'!L3</f>
        <v>39000</v>
      </c>
      <c r="C4" s="89">
        <f>'Target 2017'!M3</f>
        <v>45500.000000000007</v>
      </c>
      <c r="D4" s="89">
        <f>'Target 2017'!N3</f>
        <v>45500.000000000007</v>
      </c>
      <c r="E4" s="228">
        <f>SUM(B4:D4)</f>
        <v>130000</v>
      </c>
      <c r="F4" s="89">
        <f>'Target 2017'!I3</f>
        <v>36833.333333333336</v>
      </c>
      <c r="G4" s="89">
        <f>'Target 2017'!J3</f>
        <v>43333.333333333336</v>
      </c>
      <c r="H4" s="89">
        <f>'Target 2017'!K3</f>
        <v>49833.333333333336</v>
      </c>
      <c r="I4" s="228">
        <f>SUM(F4:H4)</f>
        <v>130000</v>
      </c>
      <c r="J4" s="89">
        <f>'Target 2017'!F3</f>
        <v>39100</v>
      </c>
      <c r="K4" s="89">
        <f>'Target 2017'!G3</f>
        <v>46000</v>
      </c>
      <c r="L4" s="89">
        <f>'Target 2017'!H3</f>
        <v>52899.999999999993</v>
      </c>
      <c r="M4" s="228">
        <f>SUM(J4:L4)</f>
        <v>138000</v>
      </c>
      <c r="N4" s="89">
        <f>'Target 2017'!C3</f>
        <v>36833.333333333336</v>
      </c>
      <c r="O4" s="89">
        <f>'Target 2017'!D3</f>
        <v>43333.333333333336</v>
      </c>
      <c r="P4" s="89">
        <f>'Target 2017'!E3</f>
        <v>49833.333333333336</v>
      </c>
      <c r="Q4" s="228">
        <f>SUM(N4:P4)</f>
        <v>130000</v>
      </c>
      <c r="R4" s="116">
        <f>Q4+M4+I4+E4</f>
        <v>528000</v>
      </c>
      <c r="S4" s="21"/>
    </row>
    <row r="5" spans="1:19" ht="15" customHeight="1">
      <c r="A5" s="117" t="s">
        <v>46</v>
      </c>
      <c r="B5" s="90">
        <f>B4</f>
        <v>39000</v>
      </c>
      <c r="C5" s="90">
        <f>C4+B5</f>
        <v>84500</v>
      </c>
      <c r="D5" s="90">
        <f>D4+C5</f>
        <v>130000</v>
      </c>
      <c r="E5" s="229"/>
      <c r="F5" s="90">
        <f>F4</f>
        <v>36833.333333333336</v>
      </c>
      <c r="G5" s="90">
        <f>G4+F5</f>
        <v>80166.666666666672</v>
      </c>
      <c r="H5" s="90">
        <f>H4+G5</f>
        <v>130000</v>
      </c>
      <c r="I5" s="229"/>
      <c r="J5" s="90">
        <f>J4</f>
        <v>39100</v>
      </c>
      <c r="K5" s="90">
        <f>K4+J5</f>
        <v>85100</v>
      </c>
      <c r="L5" s="90">
        <f>L4+K5</f>
        <v>138000</v>
      </c>
      <c r="M5" s="229"/>
      <c r="N5" s="90">
        <f>N4</f>
        <v>36833.333333333336</v>
      </c>
      <c r="O5" s="90">
        <f>O4+N5</f>
        <v>80166.666666666672</v>
      </c>
      <c r="P5" s="90">
        <f>P4+O5</f>
        <v>130000</v>
      </c>
      <c r="Q5" s="229"/>
      <c r="R5" s="118"/>
      <c r="S5" s="21"/>
    </row>
    <row r="6" spans="1:19" ht="15" customHeight="1">
      <c r="A6" s="119" t="s">
        <v>48</v>
      </c>
      <c r="B6" s="29">
        <f>SUMIF(X!A:A,$A$1,X!I:I)</f>
        <v>47657.546799999996</v>
      </c>
      <c r="C6" s="29">
        <f>SUMIF(XI!A:A,$A$1,XI!I:I)</f>
        <v>45487.108899999999</v>
      </c>
      <c r="D6" s="29">
        <f>SUMIF(XII!A:A,$A$1,XII!I:I)</f>
        <v>44107.023399999998</v>
      </c>
      <c r="E6" s="228">
        <f>SUM(B6:D6)</f>
        <v>137251.67910000001</v>
      </c>
      <c r="F6" s="29">
        <f>SUMIF(VII!A:A,$A$1,VII!I:I)</f>
        <v>51417.783900000002</v>
      </c>
      <c r="G6" s="29">
        <f>SUMIF(VIII!A:A,$A$1,VIII!I:I)</f>
        <v>44786.773500000003</v>
      </c>
      <c r="H6" s="29">
        <f>SUMIF(IX!A:A,$A$1,IX!I:I)</f>
        <v>49522.6345</v>
      </c>
      <c r="I6" s="228">
        <f>SUM(F6:H6)</f>
        <v>145727.19190000001</v>
      </c>
      <c r="J6" s="29">
        <f>SUMIF(IV!A:A,$A$1,IV!I:I)</f>
        <v>51582.646500000003</v>
      </c>
      <c r="K6" s="29">
        <f>SUMIF(V!A:A,$A$1,V!I:I)</f>
        <v>38971.371599999999</v>
      </c>
      <c r="L6" s="29">
        <f>SUMIF(VI!A:A,$A$1,VI!I:I)</f>
        <v>48776.892899999999</v>
      </c>
      <c r="M6" s="228">
        <f>SUM(J6:L6)</f>
        <v>139330.91099999999</v>
      </c>
      <c r="N6" s="91">
        <f>SUMIF(I!A:A,$A$1,I!I:I)</f>
        <v>38983.601600000002</v>
      </c>
      <c r="O6" s="29">
        <f>SUMIF(II!A:A,$A$1,II!I:I)</f>
        <v>45058.722500000003</v>
      </c>
      <c r="P6" s="29">
        <f>SUMIF(III!A:A,$A$1,III!I:I)</f>
        <v>49608.568399999996</v>
      </c>
      <c r="Q6" s="228">
        <f>SUM(N6:P6)</f>
        <v>133650.89249999999</v>
      </c>
      <c r="R6" s="116">
        <f>Q6+M6+I6+E6</f>
        <v>555960.67449999996</v>
      </c>
      <c r="S6" s="21"/>
    </row>
    <row r="7" spans="1:19" s="15" customFormat="1" ht="15" customHeight="1">
      <c r="A7" s="117" t="s">
        <v>49</v>
      </c>
      <c r="B7" s="90">
        <f>B6</f>
        <v>47657.546799999996</v>
      </c>
      <c r="C7" s="90">
        <f>C6+B7</f>
        <v>93144.655700000003</v>
      </c>
      <c r="D7" s="90">
        <f>D6+C7</f>
        <v>137251.67910000001</v>
      </c>
      <c r="E7" s="229"/>
      <c r="F7" s="90">
        <f>F6</f>
        <v>51417.783900000002</v>
      </c>
      <c r="G7" s="90">
        <f>G6+F7</f>
        <v>96204.557400000005</v>
      </c>
      <c r="H7" s="90">
        <f>H6+G7</f>
        <v>145727.19190000001</v>
      </c>
      <c r="I7" s="229"/>
      <c r="J7" s="90">
        <f>J6</f>
        <v>51582.646500000003</v>
      </c>
      <c r="K7" s="90">
        <f>K6+J7</f>
        <v>90554.018100000001</v>
      </c>
      <c r="L7" s="90">
        <f>L6+K7</f>
        <v>139330.91099999999</v>
      </c>
      <c r="M7" s="229"/>
      <c r="N7" s="90">
        <f>N6</f>
        <v>38983.601600000002</v>
      </c>
      <c r="O7" s="90">
        <f>O6+N7</f>
        <v>84042.324099999998</v>
      </c>
      <c r="P7" s="90">
        <f>P6+O7</f>
        <v>133650.89249999999</v>
      </c>
      <c r="Q7" s="229"/>
      <c r="R7" s="118"/>
      <c r="S7" s="21"/>
    </row>
    <row r="8" spans="1:19" s="15" customFormat="1" ht="15" customHeight="1">
      <c r="A8" s="121" t="s">
        <v>50</v>
      </c>
      <c r="B8" s="92">
        <f t="shared" ref="B8:D9" si="0">B6/B4</f>
        <v>1.2219883794871793</v>
      </c>
      <c r="C8" s="92">
        <f t="shared" si="0"/>
        <v>0.99971667912087891</v>
      </c>
      <c r="D8" s="92">
        <f t="shared" si="0"/>
        <v>0.96938512967032953</v>
      </c>
      <c r="E8" s="230"/>
      <c r="F8" s="92">
        <f t="shared" ref="F8:H9" si="1">F6/F4</f>
        <v>1.3959579339366515</v>
      </c>
      <c r="G8" s="92">
        <f t="shared" si="1"/>
        <v>1.0335409269230769</v>
      </c>
      <c r="H8" s="92">
        <f t="shared" si="1"/>
        <v>0.99376524080267559</v>
      </c>
      <c r="I8" s="230"/>
      <c r="J8" s="92">
        <f t="shared" ref="J8:L9" si="2">J6/J4</f>
        <v>1.3192492710997443</v>
      </c>
      <c r="K8" s="92">
        <f t="shared" si="2"/>
        <v>0.84720373043478259</v>
      </c>
      <c r="L8" s="92">
        <f t="shared" si="2"/>
        <v>0.92205846691871463</v>
      </c>
      <c r="M8" s="230"/>
      <c r="N8" s="92">
        <f t="shared" ref="N8:P9" si="3">N6/N4</f>
        <v>1.0583783239819005</v>
      </c>
      <c r="O8" s="92">
        <f t="shared" si="3"/>
        <v>1.0398166730769232</v>
      </c>
      <c r="P8" s="92">
        <f t="shared" si="3"/>
        <v>0.99548966688963203</v>
      </c>
      <c r="Q8" s="230"/>
      <c r="R8" s="122"/>
      <c r="S8" s="21"/>
    </row>
    <row r="9" spans="1:19" s="24" customFormat="1" ht="15" customHeight="1">
      <c r="A9" s="121" t="s">
        <v>51</v>
      </c>
      <c r="B9" s="92">
        <f t="shared" si="0"/>
        <v>1.2219883794871793</v>
      </c>
      <c r="C9" s="92">
        <f t="shared" si="0"/>
        <v>1.1023036177514793</v>
      </c>
      <c r="D9" s="92">
        <f t="shared" si="0"/>
        <v>1.055782146923077</v>
      </c>
      <c r="E9" s="230"/>
      <c r="F9" s="92">
        <f t="shared" si="1"/>
        <v>1.3959579339366515</v>
      </c>
      <c r="G9" s="92">
        <f t="shared" si="1"/>
        <v>1.200056849064449</v>
      </c>
      <c r="H9" s="92">
        <f t="shared" si="1"/>
        <v>1.1209783992307694</v>
      </c>
      <c r="I9" s="230"/>
      <c r="J9" s="92">
        <f t="shared" si="2"/>
        <v>1.3192492710997443</v>
      </c>
      <c r="K9" s="92">
        <f t="shared" si="2"/>
        <v>1.0640895193889541</v>
      </c>
      <c r="L9" s="92">
        <f t="shared" si="2"/>
        <v>1.0096442826086955</v>
      </c>
      <c r="M9" s="230"/>
      <c r="N9" s="92">
        <f t="shared" si="3"/>
        <v>1.0583783239819005</v>
      </c>
      <c r="O9" s="92">
        <f t="shared" si="3"/>
        <v>1.0483449991683991</v>
      </c>
      <c r="P9" s="92">
        <f t="shared" si="3"/>
        <v>1.0280837884615384</v>
      </c>
      <c r="Q9" s="230"/>
      <c r="R9" s="123"/>
      <c r="S9" s="22"/>
    </row>
    <row r="10" spans="1:19" ht="15" customHeight="1">
      <c r="A10" s="117" t="s">
        <v>59</v>
      </c>
      <c r="B10" s="90">
        <f>B7-B5</f>
        <v>8657.5467999999964</v>
      </c>
      <c r="C10" s="90">
        <f>C7-C5</f>
        <v>8644.655700000003</v>
      </c>
      <c r="D10" s="90">
        <f>D7-D5</f>
        <v>7251.6791000000085</v>
      </c>
      <c r="E10" s="229"/>
      <c r="F10" s="90">
        <f>F7-F5</f>
        <v>14584.450566666666</v>
      </c>
      <c r="G10" s="90">
        <f>G7-G5</f>
        <v>16037.890733333334</v>
      </c>
      <c r="H10" s="90">
        <f>H7-H5</f>
        <v>15727.191900000005</v>
      </c>
      <c r="I10" s="229"/>
      <c r="J10" s="90">
        <f>J7-J5</f>
        <v>12482.646500000003</v>
      </c>
      <c r="K10" s="90">
        <f>K7-K5</f>
        <v>5454.0181000000011</v>
      </c>
      <c r="L10" s="90">
        <f>L7-L5</f>
        <v>1330.9109999999928</v>
      </c>
      <c r="M10" s="229"/>
      <c r="N10" s="90">
        <f>N7-N5</f>
        <v>2150.268266666666</v>
      </c>
      <c r="O10" s="90">
        <f>O7-O5</f>
        <v>3875.6574333333265</v>
      </c>
      <c r="P10" s="90">
        <f>P7-P5</f>
        <v>3650.8924999999872</v>
      </c>
      <c r="Q10" s="229"/>
      <c r="R10" s="118"/>
      <c r="S10" s="44"/>
    </row>
    <row r="11" spans="1:19" ht="15" customHeight="1">
      <c r="A11" s="115" t="s">
        <v>52</v>
      </c>
      <c r="B11" s="93">
        <f>'Target 2017'!L13</f>
        <v>90000</v>
      </c>
      <c r="C11" s="93">
        <f>'Target 2017'!M13</f>
        <v>105000</v>
      </c>
      <c r="D11" s="93">
        <f>'Target 2017'!N13</f>
        <v>105000</v>
      </c>
      <c r="E11" s="228">
        <f>SUM(B11:D11)</f>
        <v>300000</v>
      </c>
      <c r="F11" s="93">
        <f>'Target 2017'!I13</f>
        <v>80750</v>
      </c>
      <c r="G11" s="93">
        <f>'Target 2017'!J13</f>
        <v>95000</v>
      </c>
      <c r="H11" s="93">
        <f>'Target 2017'!K13</f>
        <v>109250</v>
      </c>
      <c r="I11" s="228">
        <f>SUM(F11:H11)</f>
        <v>285000</v>
      </c>
      <c r="J11" s="93">
        <f>'Target 2017'!F13</f>
        <v>85000</v>
      </c>
      <c r="K11" s="93">
        <f>'Target 2017'!G13</f>
        <v>100000</v>
      </c>
      <c r="L11" s="93">
        <f>'Target 2017'!H13</f>
        <v>115000</v>
      </c>
      <c r="M11" s="228">
        <f>SUM(J11:L11)</f>
        <v>300000</v>
      </c>
      <c r="N11" s="93">
        <f>'Target 2017'!C13</f>
        <v>79333.333333333328</v>
      </c>
      <c r="O11" s="93">
        <f>'Target 2017'!D13</f>
        <v>93333.333333333328</v>
      </c>
      <c r="P11" s="93">
        <f>'Target 2017'!E13</f>
        <v>107333.33333333333</v>
      </c>
      <c r="Q11" s="228">
        <f>SUM(N11:P11)</f>
        <v>280000</v>
      </c>
      <c r="R11" s="116">
        <f>Q11+M11+I11+E11</f>
        <v>1165000</v>
      </c>
      <c r="S11" s="21"/>
    </row>
    <row r="12" spans="1:19" s="21" customFormat="1" ht="15" customHeight="1">
      <c r="A12" s="117" t="s">
        <v>53</v>
      </c>
      <c r="B12" s="90">
        <f>B11</f>
        <v>90000</v>
      </c>
      <c r="C12" s="90">
        <f>C11+B12</f>
        <v>195000</v>
      </c>
      <c r="D12" s="90">
        <f>D11+C12</f>
        <v>300000</v>
      </c>
      <c r="E12" s="229"/>
      <c r="F12" s="90">
        <f>F11</f>
        <v>80750</v>
      </c>
      <c r="G12" s="90">
        <f>G11+F12</f>
        <v>175750</v>
      </c>
      <c r="H12" s="90">
        <f>H11+G12</f>
        <v>285000</v>
      </c>
      <c r="I12" s="229"/>
      <c r="J12" s="90">
        <f>J11</f>
        <v>85000</v>
      </c>
      <c r="K12" s="90">
        <f>K11+J12</f>
        <v>185000</v>
      </c>
      <c r="L12" s="90">
        <f>L11+K12</f>
        <v>300000</v>
      </c>
      <c r="M12" s="229"/>
      <c r="N12" s="90">
        <f>N11</f>
        <v>79333.333333333328</v>
      </c>
      <c r="O12" s="90">
        <f>O11+N12</f>
        <v>172666.66666666666</v>
      </c>
      <c r="P12" s="90">
        <f>P11+O12</f>
        <v>280000</v>
      </c>
      <c r="Q12" s="229"/>
      <c r="R12" s="118"/>
    </row>
    <row r="13" spans="1:19" ht="15" customHeight="1">
      <c r="A13" s="119" t="s">
        <v>54</v>
      </c>
      <c r="B13" s="29">
        <f>SUMIF(X!A:A,$A$1,X!G:G)</f>
        <v>120282.94</v>
      </c>
      <c r="C13" s="29">
        <f>SUMIF(XI!A:A,$A$1,XI!G:G)</f>
        <v>100983.87</v>
      </c>
      <c r="D13" s="29">
        <f>SUMIF(XII!A:A,$A$1,XII!G:G)</f>
        <v>114545.8906</v>
      </c>
      <c r="E13" s="228">
        <f>SUM(B13:D13)</f>
        <v>335812.70059999998</v>
      </c>
      <c r="F13" s="29">
        <f>SUMIF(VII!A:A,$A$1,VII!G:G)</f>
        <v>121453.12</v>
      </c>
      <c r="G13" s="29">
        <f>SUMIF(VIII!A:A,$A$1,VIII!G:G)</f>
        <v>100373.63</v>
      </c>
      <c r="H13" s="29">
        <f>SUMIF(IX!A:A,$A$1,IX!G:G)</f>
        <v>113018.48</v>
      </c>
      <c r="I13" s="228">
        <f>SUM(F13:H13)</f>
        <v>334845.23</v>
      </c>
      <c r="J13" s="29">
        <f>SUMIF(IV!A:A,$A$1,IV!G:G)</f>
        <v>138154.85</v>
      </c>
      <c r="K13" s="29">
        <f>SUMIF(V!A:A,$A$1,V!G:G)</f>
        <v>84834.31</v>
      </c>
      <c r="L13" s="29">
        <f>SUMIF(VI!A:A,$A$1,VI!G:G)</f>
        <v>114963.77</v>
      </c>
      <c r="M13" s="228">
        <f>SUM(J13:L13)</f>
        <v>337952.93</v>
      </c>
      <c r="N13" s="91">
        <f>SUMIF(I!A:A,$A$1,I!G:G)</f>
        <v>92816.9</v>
      </c>
      <c r="O13" s="29">
        <f>SUMIF(II!A:A,$A$1,II!G:G)</f>
        <v>112235.87</v>
      </c>
      <c r="P13" s="29">
        <f>SUMIF(III!A:A,$A$1,III!G:G)</f>
        <v>109614.17</v>
      </c>
      <c r="Q13" s="228">
        <f>SUM(N13:P13)</f>
        <v>314666.94</v>
      </c>
      <c r="R13" s="116">
        <f>Q13+M13+I13+E13</f>
        <v>1323277.8006</v>
      </c>
      <c r="S13" s="21"/>
    </row>
    <row r="14" spans="1:19" customFormat="1">
      <c r="A14" s="117" t="s">
        <v>55</v>
      </c>
      <c r="B14" s="90">
        <f>B13</f>
        <v>120282.94</v>
      </c>
      <c r="C14" s="90">
        <f>C13+B14</f>
        <v>221266.81</v>
      </c>
      <c r="D14" s="90">
        <f>D13+C14</f>
        <v>335812.70059999998</v>
      </c>
      <c r="E14" s="229"/>
      <c r="F14" s="90">
        <f>F13</f>
        <v>121453.12</v>
      </c>
      <c r="G14" s="90">
        <f>G13+F14</f>
        <v>221826.75</v>
      </c>
      <c r="H14" s="90">
        <f>H13+G14</f>
        <v>334845.23</v>
      </c>
      <c r="I14" s="229"/>
      <c r="J14" s="90">
        <f>J13</f>
        <v>138154.85</v>
      </c>
      <c r="K14" s="90">
        <f>K13+J14</f>
        <v>222989.16</v>
      </c>
      <c r="L14" s="90">
        <f>L13+K14</f>
        <v>337952.93</v>
      </c>
      <c r="M14" s="229"/>
      <c r="N14" s="90">
        <f>N13</f>
        <v>92816.9</v>
      </c>
      <c r="O14" s="90">
        <f>O13+N14</f>
        <v>205052.77</v>
      </c>
      <c r="P14" s="90">
        <f>P13+O14</f>
        <v>314666.94</v>
      </c>
      <c r="Q14" s="229"/>
      <c r="R14" s="118"/>
    </row>
    <row r="15" spans="1:19" s="15" customFormat="1" ht="15" customHeight="1">
      <c r="A15" s="121" t="s">
        <v>56</v>
      </c>
      <c r="B15" s="92">
        <f t="shared" ref="B15:D16" si="4">B13/B11</f>
        <v>1.3364771111111111</v>
      </c>
      <c r="C15" s="92">
        <f t="shared" si="4"/>
        <v>0.9617511428571428</v>
      </c>
      <c r="D15" s="92">
        <f t="shared" si="4"/>
        <v>1.0909132438095237</v>
      </c>
      <c r="E15" s="230"/>
      <c r="F15" s="92">
        <f t="shared" ref="F15:H16" si="5">F13/F11</f>
        <v>1.5040634055727553</v>
      </c>
      <c r="G15" s="92">
        <f t="shared" si="5"/>
        <v>1.0565645263157895</v>
      </c>
      <c r="H15" s="92">
        <f t="shared" si="5"/>
        <v>1.0344940961098399</v>
      </c>
      <c r="I15" s="230"/>
      <c r="J15" s="92">
        <f t="shared" ref="J15:L16" si="6">J13/J11</f>
        <v>1.6253511764705884</v>
      </c>
      <c r="K15" s="92">
        <f t="shared" si="6"/>
        <v>0.84834310000000002</v>
      </c>
      <c r="L15" s="92">
        <f t="shared" si="6"/>
        <v>0.99968495652173917</v>
      </c>
      <c r="M15" s="230"/>
      <c r="N15" s="92">
        <f t="shared" ref="N15:P16" si="7">N13/N11</f>
        <v>1.169960924369748</v>
      </c>
      <c r="O15" s="92">
        <f t="shared" si="7"/>
        <v>1.2025271785714287</v>
      </c>
      <c r="P15" s="92">
        <f t="shared" si="7"/>
        <v>1.0212500310559007</v>
      </c>
      <c r="Q15" s="230"/>
      <c r="R15" s="122"/>
      <c r="S15" s="21"/>
    </row>
    <row r="16" spans="1:19" s="24" customFormat="1" ht="15" customHeight="1">
      <c r="A16" s="121" t="s">
        <v>57</v>
      </c>
      <c r="B16" s="92">
        <f t="shared" si="4"/>
        <v>1.3364771111111111</v>
      </c>
      <c r="C16" s="92">
        <f t="shared" si="4"/>
        <v>1.1347015897435897</v>
      </c>
      <c r="D16" s="92">
        <f t="shared" si="4"/>
        <v>1.1193756686666667</v>
      </c>
      <c r="E16" s="230"/>
      <c r="F16" s="92">
        <f t="shared" si="5"/>
        <v>1.5040634055727553</v>
      </c>
      <c r="G16" s="92">
        <f t="shared" si="5"/>
        <v>1.262172119487909</v>
      </c>
      <c r="H16" s="92">
        <f t="shared" si="5"/>
        <v>1.1748955438596491</v>
      </c>
      <c r="I16" s="230"/>
      <c r="J16" s="92">
        <f t="shared" si="6"/>
        <v>1.6253511764705884</v>
      </c>
      <c r="K16" s="92">
        <f t="shared" si="6"/>
        <v>1.2053468108108107</v>
      </c>
      <c r="L16" s="92">
        <f t="shared" si="6"/>
        <v>1.1265097666666666</v>
      </c>
      <c r="M16" s="230"/>
      <c r="N16" s="92">
        <f t="shared" si="7"/>
        <v>1.169960924369748</v>
      </c>
      <c r="O16" s="92">
        <f t="shared" si="7"/>
        <v>1.187564305019305</v>
      </c>
      <c r="P16" s="92">
        <f t="shared" si="7"/>
        <v>1.1238105</v>
      </c>
      <c r="Q16" s="230"/>
      <c r="R16" s="123"/>
      <c r="S16" s="22"/>
    </row>
    <row r="17" spans="1:19" ht="15" customHeight="1">
      <c r="A17" s="117" t="s">
        <v>58</v>
      </c>
      <c r="B17" s="90">
        <f>B14-B12</f>
        <v>30282.940000000002</v>
      </c>
      <c r="C17" s="90">
        <f>C14-C12</f>
        <v>26266.809999999998</v>
      </c>
      <c r="D17" s="90">
        <f>D14-D12</f>
        <v>35812.700599999982</v>
      </c>
      <c r="E17" s="229"/>
      <c r="F17" s="90">
        <f>F14-F12</f>
        <v>40703.119999999995</v>
      </c>
      <c r="G17" s="90">
        <f>G14-G12</f>
        <v>46076.75</v>
      </c>
      <c r="H17" s="90">
        <f>H14-H12</f>
        <v>49845.229999999981</v>
      </c>
      <c r="I17" s="229"/>
      <c r="J17" s="90">
        <f>J14-J12</f>
        <v>53154.850000000006</v>
      </c>
      <c r="K17" s="90">
        <f>K14-K12</f>
        <v>37989.160000000003</v>
      </c>
      <c r="L17" s="90">
        <f>L14-L12</f>
        <v>37952.929999999993</v>
      </c>
      <c r="M17" s="229"/>
      <c r="N17" s="90">
        <f>N14-N12</f>
        <v>13483.566666666666</v>
      </c>
      <c r="O17" s="90">
        <f>O14-O12</f>
        <v>32386.103333333333</v>
      </c>
      <c r="P17" s="90">
        <f>P14-P12</f>
        <v>34666.94</v>
      </c>
      <c r="Q17" s="229"/>
      <c r="R17" s="124"/>
      <c r="S17" s="44"/>
    </row>
    <row r="18" spans="1:19" ht="15" customHeight="1">
      <c r="A18" s="125" t="s">
        <v>43</v>
      </c>
      <c r="B18" s="96">
        <f t="shared" ref="B18:D19" si="8">B6/B13</f>
        <v>0.39621202142215678</v>
      </c>
      <c r="C18" s="96">
        <f t="shared" si="8"/>
        <v>0.45043935135383506</v>
      </c>
      <c r="D18" s="96">
        <f t="shared" si="8"/>
        <v>0.38505984954121086</v>
      </c>
      <c r="E18" s="231"/>
      <c r="F18" s="96">
        <f t="shared" ref="F18:H19" si="9">F6/F13</f>
        <v>0.42335498585791786</v>
      </c>
      <c r="G18" s="96">
        <f t="shared" si="9"/>
        <v>0.44620059571423293</v>
      </c>
      <c r="H18" s="96">
        <f t="shared" si="9"/>
        <v>0.43818174249025471</v>
      </c>
      <c r="I18" s="231"/>
      <c r="J18" s="96">
        <f t="shared" ref="J18:L19" si="10">J6/J13</f>
        <v>0.37336833632695487</v>
      </c>
      <c r="K18" s="96">
        <f t="shared" si="10"/>
        <v>0.45938219571774674</v>
      </c>
      <c r="L18" s="96">
        <f t="shared" si="10"/>
        <v>0.42428056160649563</v>
      </c>
      <c r="M18" s="231"/>
      <c r="N18" s="96">
        <f t="shared" ref="N18:P19" si="11">N6/N13</f>
        <v>0.42000542573604593</v>
      </c>
      <c r="O18" s="96">
        <f t="shared" si="11"/>
        <v>0.40146454515833491</v>
      </c>
      <c r="P18" s="96">
        <f t="shared" si="11"/>
        <v>0.45257441077189198</v>
      </c>
      <c r="Q18" s="231"/>
      <c r="R18" s="126"/>
      <c r="S18" s="21"/>
    </row>
    <row r="19" spans="1:19" s="15" customFormat="1" ht="15" customHeight="1">
      <c r="A19" s="125" t="s">
        <v>44</v>
      </c>
      <c r="B19" s="96">
        <f t="shared" si="8"/>
        <v>0.39621202142215678</v>
      </c>
      <c r="C19" s="96">
        <f t="shared" si="8"/>
        <v>0.42096081061592566</v>
      </c>
      <c r="D19" s="96">
        <f t="shared" si="8"/>
        <v>0.40871497371829901</v>
      </c>
      <c r="E19" s="231"/>
      <c r="F19" s="96">
        <f t="shared" si="9"/>
        <v>0.42335498585791786</v>
      </c>
      <c r="G19" s="96">
        <f t="shared" si="9"/>
        <v>0.43369231799140545</v>
      </c>
      <c r="H19" s="96">
        <f t="shared" si="9"/>
        <v>0.43520760890038662</v>
      </c>
      <c r="I19" s="231"/>
      <c r="J19" s="96">
        <f t="shared" si="10"/>
        <v>0.37336833632695487</v>
      </c>
      <c r="K19" s="96">
        <f t="shared" si="10"/>
        <v>0.40609157010143454</v>
      </c>
      <c r="L19" s="96">
        <f t="shared" si="10"/>
        <v>0.41227904430359574</v>
      </c>
      <c r="M19" s="231"/>
      <c r="N19" s="96">
        <f t="shared" si="11"/>
        <v>0.42000542573604593</v>
      </c>
      <c r="O19" s="96">
        <f t="shared" si="11"/>
        <v>0.40985705338191725</v>
      </c>
      <c r="P19" s="96">
        <f t="shared" si="11"/>
        <v>0.42473763688044247</v>
      </c>
      <c r="Q19" s="231"/>
      <c r="R19" s="126"/>
      <c r="S19" s="21"/>
    </row>
    <row r="20" spans="1:19" s="71" customFormat="1" ht="15" customHeight="1">
      <c r="A20" s="128"/>
      <c r="B20" s="129"/>
      <c r="C20" s="129"/>
      <c r="D20" s="129"/>
      <c r="E20" s="232"/>
      <c r="F20" s="129"/>
      <c r="G20" s="129"/>
      <c r="H20" s="129"/>
      <c r="I20" s="232"/>
      <c r="J20" s="129"/>
      <c r="K20" s="129"/>
      <c r="L20" s="129"/>
      <c r="M20" s="232"/>
      <c r="N20" s="129"/>
      <c r="O20" s="129"/>
      <c r="P20" s="129"/>
      <c r="Q20" s="232"/>
      <c r="R20" s="127"/>
      <c r="S20" s="70"/>
    </row>
    <row r="21" spans="1:19" s="15" customFormat="1" ht="15" customHeight="1">
      <c r="A21" s="206" t="s">
        <v>33</v>
      </c>
      <c r="B21" s="207"/>
      <c r="C21" s="207"/>
      <c r="D21" s="207"/>
      <c r="E21" s="233"/>
      <c r="F21" s="207"/>
      <c r="G21" s="207"/>
      <c r="H21" s="207"/>
      <c r="I21" s="233"/>
      <c r="J21" s="207"/>
      <c r="K21" s="207"/>
      <c r="L21" s="207"/>
      <c r="M21" s="233"/>
      <c r="N21" s="206"/>
      <c r="O21" s="207"/>
      <c r="P21" s="207"/>
      <c r="Q21" s="233"/>
      <c r="R21" s="131"/>
      <c r="S21" s="21"/>
    </row>
    <row r="22" spans="1:19" s="15" customFormat="1" ht="15" customHeight="1">
      <c r="A22" s="73" t="s">
        <v>89</v>
      </c>
      <c r="B22" s="130">
        <v>3300</v>
      </c>
      <c r="C22" s="130">
        <v>3300</v>
      </c>
      <c r="D22" s="130">
        <v>3300</v>
      </c>
      <c r="E22" s="234"/>
      <c r="F22" s="130">
        <v>3300</v>
      </c>
      <c r="G22" s="130">
        <v>3300</v>
      </c>
      <c r="H22" s="130">
        <v>3300</v>
      </c>
      <c r="I22" s="234"/>
      <c r="J22" s="130">
        <v>3300</v>
      </c>
      <c r="K22" s="130">
        <v>3300</v>
      </c>
      <c r="L22" s="130">
        <v>3300</v>
      </c>
      <c r="M22" s="234"/>
      <c r="N22" s="130">
        <v>2800</v>
      </c>
      <c r="O22" s="130">
        <v>3300</v>
      </c>
      <c r="P22" s="130">
        <v>3300</v>
      </c>
      <c r="Q22" s="234"/>
      <c r="R22" s="131"/>
      <c r="S22" s="21"/>
    </row>
    <row r="23" spans="1:19" ht="15" customHeight="1">
      <c r="A23" s="20" t="s">
        <v>61</v>
      </c>
      <c r="B23" s="79">
        <f>B5</f>
        <v>39000</v>
      </c>
      <c r="C23" s="79">
        <f>C5</f>
        <v>84500</v>
      </c>
      <c r="D23" s="79">
        <f>D5</f>
        <v>130000</v>
      </c>
      <c r="E23" s="235"/>
      <c r="F23" s="79">
        <f>F5</f>
        <v>36833.333333333336</v>
      </c>
      <c r="G23" s="79">
        <f>G5</f>
        <v>80166.666666666672</v>
      </c>
      <c r="H23" s="79">
        <f>H5</f>
        <v>130000</v>
      </c>
      <c r="I23" s="235"/>
      <c r="J23" s="79">
        <f>J5</f>
        <v>39100</v>
      </c>
      <c r="K23" s="79">
        <f>K5</f>
        <v>85100</v>
      </c>
      <c r="L23" s="79">
        <f>L5</f>
        <v>138000</v>
      </c>
      <c r="M23" s="235"/>
      <c r="N23" s="79">
        <f>N5</f>
        <v>36833.333333333336</v>
      </c>
      <c r="O23" s="79">
        <f>O5</f>
        <v>80166.666666666672</v>
      </c>
      <c r="P23" s="79">
        <f>P5</f>
        <v>130000</v>
      </c>
      <c r="Q23" s="235"/>
      <c r="R23" s="133"/>
      <c r="S23" s="21"/>
    </row>
    <row r="24" spans="1:19" ht="15" customHeight="1">
      <c r="A24" s="40" t="s">
        <v>62</v>
      </c>
      <c r="B24" s="82">
        <f>B7</f>
        <v>47657.546799999996</v>
      </c>
      <c r="C24" s="82">
        <f>C7</f>
        <v>93144.655700000003</v>
      </c>
      <c r="D24" s="82">
        <f>D7</f>
        <v>137251.67910000001</v>
      </c>
      <c r="E24" s="236"/>
      <c r="F24" s="82">
        <f>F7</f>
        <v>51417.783900000002</v>
      </c>
      <c r="G24" s="82">
        <f>G7</f>
        <v>96204.557400000005</v>
      </c>
      <c r="H24" s="82">
        <f>H7</f>
        <v>145727.19190000001</v>
      </c>
      <c r="I24" s="236"/>
      <c r="J24" s="82">
        <f>J7</f>
        <v>51582.646500000003</v>
      </c>
      <c r="K24" s="82">
        <f>K7</f>
        <v>90554.018100000001</v>
      </c>
      <c r="L24" s="82">
        <f>L7</f>
        <v>139330.91099999999</v>
      </c>
      <c r="M24" s="236"/>
      <c r="N24" s="82">
        <f>N7</f>
        <v>38983.601600000002</v>
      </c>
      <c r="O24" s="82">
        <f>O7</f>
        <v>84042.324099999998</v>
      </c>
      <c r="P24" s="82">
        <f>P7</f>
        <v>133650.89249999999</v>
      </c>
      <c r="Q24" s="236"/>
      <c r="R24" s="133"/>
      <c r="S24" s="21"/>
    </row>
    <row r="25" spans="1:19" ht="15" customHeight="1">
      <c r="A25" s="40" t="s">
        <v>63</v>
      </c>
      <c r="B25" s="135">
        <f>B24/B23</f>
        <v>1.2219883794871793</v>
      </c>
      <c r="C25" s="135">
        <f>C24/C23</f>
        <v>1.1023036177514793</v>
      </c>
      <c r="D25" s="135">
        <f>D24/D23</f>
        <v>1.055782146923077</v>
      </c>
      <c r="E25" s="237"/>
      <c r="F25" s="135">
        <f>F24/F23</f>
        <v>1.3959579339366515</v>
      </c>
      <c r="G25" s="135">
        <f>G24/G23</f>
        <v>1.200056849064449</v>
      </c>
      <c r="H25" s="135">
        <f>H24/H23</f>
        <v>1.1209783992307694</v>
      </c>
      <c r="I25" s="237"/>
      <c r="J25" s="135">
        <f>J24/J23</f>
        <v>1.3192492710997443</v>
      </c>
      <c r="K25" s="135">
        <f>K24/K23</f>
        <v>1.0640895193889541</v>
      </c>
      <c r="L25" s="135">
        <f>L24/L23</f>
        <v>1.0096442826086955</v>
      </c>
      <c r="M25" s="237"/>
      <c r="N25" s="135">
        <f>N24/N23</f>
        <v>1.0583783239819005</v>
      </c>
      <c r="O25" s="135">
        <f>O24/O23</f>
        <v>1.0483449991683991</v>
      </c>
      <c r="P25" s="135">
        <f>P24/P23</f>
        <v>1.0280837884615384</v>
      </c>
      <c r="Q25" s="237"/>
      <c r="R25" s="133"/>
      <c r="S25" s="21"/>
    </row>
    <row r="26" spans="1:19" ht="15" customHeight="1">
      <c r="A26" s="39" t="s">
        <v>71</v>
      </c>
      <c r="B26" s="86">
        <f>B22*0.2</f>
        <v>660</v>
      </c>
      <c r="C26" s="86">
        <f>C22*0.2</f>
        <v>660</v>
      </c>
      <c r="D26" s="86">
        <f>D22*0.2</f>
        <v>660</v>
      </c>
      <c r="E26" s="238"/>
      <c r="F26" s="86">
        <f>F22*0.2</f>
        <v>660</v>
      </c>
      <c r="G26" s="86">
        <f>G22*0.2</f>
        <v>660</v>
      </c>
      <c r="H26" s="86">
        <f>H22*0.2</f>
        <v>660</v>
      </c>
      <c r="I26" s="238"/>
      <c r="J26" s="86">
        <f>J22*0.2</f>
        <v>660</v>
      </c>
      <c r="K26" s="86">
        <f>K22*0.2</f>
        <v>660</v>
      </c>
      <c r="L26" s="86">
        <f>L22*0.2</f>
        <v>660</v>
      </c>
      <c r="M26" s="238"/>
      <c r="N26" s="86">
        <f>N22*0.2</f>
        <v>560</v>
      </c>
      <c r="O26" s="86">
        <f>O22*0.2</f>
        <v>660</v>
      </c>
      <c r="P26" s="86">
        <f>P22*0.2</f>
        <v>660</v>
      </c>
      <c r="Q26" s="238"/>
      <c r="R26" s="136"/>
      <c r="S26" s="21"/>
    </row>
    <row r="27" spans="1:19" ht="15" customHeight="1">
      <c r="A27" s="40" t="s">
        <v>64</v>
      </c>
      <c r="B27" s="82">
        <f>IF(B25&lt;80%,0,IF(B25&lt;90%,0.5,IF(B25&lt;95%,0.75,1)))</f>
        <v>1</v>
      </c>
      <c r="C27" s="82">
        <f>IF(C25&lt;80%,0,IF(C25&lt;90%,0.5,IF(C25&lt;95%,0.75,1)))</f>
        <v>1</v>
      </c>
      <c r="D27" s="82">
        <f>IF(D25&lt;80%,0,IF(D25&lt;90%,0.5,IF(D25&lt;95%,0.75,1)))</f>
        <v>1</v>
      </c>
      <c r="E27" s="236"/>
      <c r="F27" s="82">
        <f>IF(F25&lt;80%,0,IF(F25&lt;90%,0.5,IF(F25&lt;95%,0.75,1)))</f>
        <v>1</v>
      </c>
      <c r="G27" s="82">
        <f>IF(G25&lt;80%,0,IF(G25&lt;90%,0.5,IF(G25&lt;95%,0.75,1)))</f>
        <v>1</v>
      </c>
      <c r="H27" s="82">
        <f>IF(H25&lt;80%,0,IF(H25&lt;90%,0.5,IF(H25&lt;95%,0.75,1)))</f>
        <v>1</v>
      </c>
      <c r="I27" s="236"/>
      <c r="J27" s="82">
        <f>IF(J25&lt;80%,0,IF(J25&lt;90%,0.5,IF(J25&lt;95%,0.75,1)))</f>
        <v>1</v>
      </c>
      <c r="K27" s="82">
        <f>IF(K25&lt;80%,0,IF(K25&lt;90%,0.5,IF(K25&lt;95%,0.75,1)))</f>
        <v>1</v>
      </c>
      <c r="L27" s="82">
        <f>IF(L25&lt;80%,0,IF(L25&lt;90%,0.5,IF(L25&lt;95%,0.75,1)))</f>
        <v>1</v>
      </c>
      <c r="M27" s="236"/>
      <c r="N27" s="82">
        <f>IF(N25&lt;80%,0,IF(N25&lt;90%,0.5,IF(N25&lt;95%,0.75,1)))</f>
        <v>1</v>
      </c>
      <c r="O27" s="82">
        <f>IF(O25&lt;80%,0,IF(O25&lt;90%,0.5,IF(O25&lt;95%,0.75,1)))</f>
        <v>1</v>
      </c>
      <c r="P27" s="82">
        <f>IF(P25&lt;80%,0,IF(P25&lt;90%,0.5,IF(P25&lt;95%,0.75,1)))</f>
        <v>1</v>
      </c>
      <c r="Q27" s="236"/>
      <c r="R27" s="133"/>
      <c r="S27" s="21"/>
    </row>
    <row r="28" spans="1:19" s="67" customFormat="1" ht="15" customHeight="1">
      <c r="A28" s="59" t="s">
        <v>65</v>
      </c>
      <c r="B28" s="81">
        <f>B27*B26</f>
        <v>660</v>
      </c>
      <c r="C28" s="81">
        <f>C27*C26</f>
        <v>660</v>
      </c>
      <c r="D28" s="81">
        <f>D27*D26</f>
        <v>660</v>
      </c>
      <c r="E28" s="239"/>
      <c r="F28" s="81">
        <f>F27*F26</f>
        <v>660</v>
      </c>
      <c r="G28" s="81">
        <f>G27*G26</f>
        <v>660</v>
      </c>
      <c r="H28" s="81">
        <f>H27*H26</f>
        <v>660</v>
      </c>
      <c r="I28" s="239"/>
      <c r="J28" s="81">
        <f>J27*J26</f>
        <v>660</v>
      </c>
      <c r="K28" s="81">
        <f>K27*K26</f>
        <v>660</v>
      </c>
      <c r="L28" s="81">
        <f>L27*L26</f>
        <v>660</v>
      </c>
      <c r="M28" s="239"/>
      <c r="N28" s="81">
        <f>N27*N26</f>
        <v>560</v>
      </c>
      <c r="O28" s="81">
        <f>O27*O26</f>
        <v>660</v>
      </c>
      <c r="P28" s="81">
        <f>P27*P26</f>
        <v>660</v>
      </c>
      <c r="Q28" s="239"/>
      <c r="R28" s="137"/>
      <c r="S28" s="61"/>
    </row>
    <row r="29" spans="1:19" ht="15" customHeight="1">
      <c r="A29" s="20" t="s">
        <v>60</v>
      </c>
      <c r="B29" s="79">
        <f>B12</f>
        <v>90000</v>
      </c>
      <c r="C29" s="79">
        <f>C12</f>
        <v>195000</v>
      </c>
      <c r="D29" s="79">
        <f>D12</f>
        <v>300000</v>
      </c>
      <c r="E29" s="235"/>
      <c r="F29" s="79">
        <f>F12</f>
        <v>80750</v>
      </c>
      <c r="G29" s="79">
        <f>G12</f>
        <v>175750</v>
      </c>
      <c r="H29" s="79">
        <f>H12</f>
        <v>285000</v>
      </c>
      <c r="I29" s="235"/>
      <c r="J29" s="79">
        <f>J12</f>
        <v>85000</v>
      </c>
      <c r="K29" s="79">
        <f>K12</f>
        <v>185000</v>
      </c>
      <c r="L29" s="79">
        <f>L12</f>
        <v>300000</v>
      </c>
      <c r="M29" s="235"/>
      <c r="N29" s="79">
        <f>N12</f>
        <v>79333.333333333328</v>
      </c>
      <c r="O29" s="79">
        <f>O12</f>
        <v>172666.66666666666</v>
      </c>
      <c r="P29" s="79">
        <f>P12</f>
        <v>280000</v>
      </c>
      <c r="Q29" s="235"/>
      <c r="R29" s="133"/>
      <c r="S29" s="21"/>
    </row>
    <row r="30" spans="1:19" ht="15" customHeight="1">
      <c r="A30" s="40" t="s">
        <v>66</v>
      </c>
      <c r="B30" s="82">
        <f>B14</f>
        <v>120282.94</v>
      </c>
      <c r="C30" s="82">
        <f>C14</f>
        <v>221266.81</v>
      </c>
      <c r="D30" s="82">
        <f>D14</f>
        <v>335812.70059999998</v>
      </c>
      <c r="E30" s="236"/>
      <c r="F30" s="82">
        <f>F14</f>
        <v>121453.12</v>
      </c>
      <c r="G30" s="82">
        <f>G14</f>
        <v>221826.75</v>
      </c>
      <c r="H30" s="82">
        <f>H14</f>
        <v>334845.23</v>
      </c>
      <c r="I30" s="236"/>
      <c r="J30" s="82">
        <f>J14</f>
        <v>138154.85</v>
      </c>
      <c r="K30" s="82">
        <f>K14</f>
        <v>222989.16</v>
      </c>
      <c r="L30" s="82">
        <f>L14</f>
        <v>337952.93</v>
      </c>
      <c r="M30" s="236"/>
      <c r="N30" s="82">
        <f>N14</f>
        <v>92816.9</v>
      </c>
      <c r="O30" s="82">
        <f>O14</f>
        <v>205052.77</v>
      </c>
      <c r="P30" s="82">
        <f>P14</f>
        <v>314666.94</v>
      </c>
      <c r="Q30" s="236"/>
      <c r="R30" s="133"/>
      <c r="S30" s="21"/>
    </row>
    <row r="31" spans="1:19" ht="15" customHeight="1">
      <c r="A31" s="40" t="s">
        <v>67</v>
      </c>
      <c r="B31" s="135">
        <f>B30/B29</f>
        <v>1.3364771111111111</v>
      </c>
      <c r="C31" s="135">
        <f>C30/C29</f>
        <v>1.1347015897435897</v>
      </c>
      <c r="D31" s="135">
        <f>D30/D29</f>
        <v>1.1193756686666667</v>
      </c>
      <c r="E31" s="237"/>
      <c r="F31" s="135">
        <f>F30/F29</f>
        <v>1.5040634055727553</v>
      </c>
      <c r="G31" s="135">
        <f>G30/G29</f>
        <v>1.262172119487909</v>
      </c>
      <c r="H31" s="135">
        <f>H30/H29</f>
        <v>1.1748955438596491</v>
      </c>
      <c r="I31" s="237"/>
      <c r="J31" s="135">
        <f>J30/J29</f>
        <v>1.6253511764705884</v>
      </c>
      <c r="K31" s="135">
        <f>K30/K29</f>
        <v>1.2053468108108107</v>
      </c>
      <c r="L31" s="135">
        <f>L30/L29</f>
        <v>1.1265097666666666</v>
      </c>
      <c r="M31" s="237"/>
      <c r="N31" s="135">
        <f>N30/N29</f>
        <v>1.169960924369748</v>
      </c>
      <c r="O31" s="135">
        <f>O30/O29</f>
        <v>1.187564305019305</v>
      </c>
      <c r="P31" s="135">
        <f>P30/P29</f>
        <v>1.1238105</v>
      </c>
      <c r="Q31" s="237"/>
      <c r="R31" s="133"/>
      <c r="S31" s="21"/>
    </row>
    <row r="32" spans="1:19" ht="15" customHeight="1">
      <c r="A32" s="88" t="s">
        <v>72</v>
      </c>
      <c r="B32" s="82">
        <f>B22*0.2</f>
        <v>660</v>
      </c>
      <c r="C32" s="82">
        <f>C22*0.2</f>
        <v>660</v>
      </c>
      <c r="D32" s="82">
        <f>D22*0.2</f>
        <v>660</v>
      </c>
      <c r="E32" s="236"/>
      <c r="F32" s="82">
        <f>F22*0.2</f>
        <v>660</v>
      </c>
      <c r="G32" s="82">
        <f>G22*0.2</f>
        <v>660</v>
      </c>
      <c r="H32" s="82">
        <f>H22*0.2</f>
        <v>660</v>
      </c>
      <c r="I32" s="236"/>
      <c r="J32" s="82">
        <f>J22*0.2</f>
        <v>660</v>
      </c>
      <c r="K32" s="82">
        <f>K22*0.2</f>
        <v>660</v>
      </c>
      <c r="L32" s="82">
        <f>L22*0.2</f>
        <v>660</v>
      </c>
      <c r="M32" s="236"/>
      <c r="N32" s="82">
        <f>N22*0.2</f>
        <v>560</v>
      </c>
      <c r="O32" s="82">
        <f>O22*0.2</f>
        <v>660</v>
      </c>
      <c r="P32" s="82">
        <f>P22*0.2</f>
        <v>660</v>
      </c>
      <c r="Q32" s="236"/>
      <c r="R32" s="133"/>
      <c r="S32" s="21"/>
    </row>
    <row r="33" spans="1:19" ht="15" customHeight="1">
      <c r="A33" s="40" t="s">
        <v>68</v>
      </c>
      <c r="B33" s="86">
        <f>IF(B31&lt;80%,0,IF(B31&lt;90%,0.5,IF(B31&lt;95%,0.75,1)))</f>
        <v>1</v>
      </c>
      <c r="C33" s="86">
        <f>IF(C31&lt;80%,0,IF(C31&lt;90%,0.5,IF(C31&lt;95%,0.75,1)))</f>
        <v>1</v>
      </c>
      <c r="D33" s="86">
        <f>IF(D31&lt;80%,0,IF(D31&lt;90%,0.5,IF(D31&lt;95%,0.75,1)))</f>
        <v>1</v>
      </c>
      <c r="E33" s="238"/>
      <c r="F33" s="86">
        <f>IF(F31&lt;80%,0,IF(F31&lt;90%,0.5,IF(F31&lt;95%,0.75,1)))</f>
        <v>1</v>
      </c>
      <c r="G33" s="86">
        <f>IF(G31&lt;80%,0,IF(G31&lt;90%,0.5,IF(G31&lt;95%,0.75,1)))</f>
        <v>1</v>
      </c>
      <c r="H33" s="86">
        <f>IF(H31&lt;80%,0,IF(H31&lt;90%,0.5,IF(H31&lt;95%,0.75,1)))</f>
        <v>1</v>
      </c>
      <c r="I33" s="238"/>
      <c r="J33" s="86">
        <f>IF(J31&lt;80%,0,IF(J31&lt;90%,0.5,IF(J31&lt;95%,0.75,1)))</f>
        <v>1</v>
      </c>
      <c r="K33" s="86">
        <f>IF(K31&lt;80%,0,IF(K31&lt;90%,0.5,IF(K31&lt;95%,0.75,1)))</f>
        <v>1</v>
      </c>
      <c r="L33" s="86">
        <f>IF(L31&lt;80%,0,IF(L31&lt;90%,0.5,IF(L31&lt;95%,0.75,1)))</f>
        <v>1</v>
      </c>
      <c r="M33" s="238"/>
      <c r="N33" s="86">
        <f>IF(N31&lt;80%,0,IF(N31&lt;90%,0.5,IF(N31&lt;95%,0.75,1)))</f>
        <v>1</v>
      </c>
      <c r="O33" s="86">
        <f>IF(O31&lt;80%,0,IF(O31&lt;90%,0.5,IF(O31&lt;95%,0.75,1)))</f>
        <v>1</v>
      </c>
      <c r="P33" s="86">
        <f>IF(P31&lt;80%,0,IF(P31&lt;90%,0.5,IF(P31&lt;95%,0.75,1)))</f>
        <v>1</v>
      </c>
      <c r="Q33" s="238"/>
      <c r="R33" s="133"/>
      <c r="S33" s="21"/>
    </row>
    <row r="34" spans="1:19" s="67" customFormat="1" ht="15" customHeight="1">
      <c r="A34" s="59" t="s">
        <v>69</v>
      </c>
      <c r="B34" s="81">
        <f>B33*B32</f>
        <v>660</v>
      </c>
      <c r="C34" s="81">
        <f>C33*C32</f>
        <v>660</v>
      </c>
      <c r="D34" s="81">
        <f>D33*D32</f>
        <v>660</v>
      </c>
      <c r="E34" s="239"/>
      <c r="F34" s="81">
        <f>F33*F32</f>
        <v>660</v>
      </c>
      <c r="G34" s="81">
        <f>G33*G32</f>
        <v>660</v>
      </c>
      <c r="H34" s="81">
        <f>H33*H32</f>
        <v>660</v>
      </c>
      <c r="I34" s="239"/>
      <c r="J34" s="81">
        <f>J33*J32</f>
        <v>660</v>
      </c>
      <c r="K34" s="81">
        <f>K33*K32</f>
        <v>660</v>
      </c>
      <c r="L34" s="81">
        <f>L33*L32</f>
        <v>660</v>
      </c>
      <c r="M34" s="239"/>
      <c r="N34" s="81">
        <f>N33*N32</f>
        <v>560</v>
      </c>
      <c r="O34" s="81">
        <f>O33*O32</f>
        <v>660</v>
      </c>
      <c r="P34" s="81">
        <f>P33*P32</f>
        <v>660</v>
      </c>
      <c r="Q34" s="239"/>
      <c r="R34" s="137"/>
      <c r="S34" s="61"/>
    </row>
    <row r="35" spans="1:19" ht="15" customHeight="1">
      <c r="A35" s="20" t="s">
        <v>45</v>
      </c>
      <c r="B35" s="79">
        <v>1</v>
      </c>
      <c r="C35" s="79">
        <v>1</v>
      </c>
      <c r="D35" s="79">
        <v>1</v>
      </c>
      <c r="E35" s="235"/>
      <c r="F35" s="79">
        <v>1</v>
      </c>
      <c r="G35" s="79">
        <v>1</v>
      </c>
      <c r="H35" s="79">
        <v>1</v>
      </c>
      <c r="I35" s="235"/>
      <c r="J35" s="79">
        <v>1</v>
      </c>
      <c r="K35" s="79">
        <v>1</v>
      </c>
      <c r="L35" s="79">
        <v>1</v>
      </c>
      <c r="M35" s="235"/>
      <c r="N35" s="79">
        <v>1</v>
      </c>
      <c r="O35" s="79">
        <v>1</v>
      </c>
      <c r="P35" s="79">
        <v>1</v>
      </c>
      <c r="Q35" s="235"/>
      <c r="R35" s="138"/>
      <c r="S35" s="21"/>
    </row>
    <row r="36" spans="1:19" ht="15" customHeight="1">
      <c r="A36" s="52" t="s">
        <v>70</v>
      </c>
      <c r="B36" s="139">
        <f>B22*0.1</f>
        <v>330</v>
      </c>
      <c r="C36" s="139">
        <f>C22*0.1</f>
        <v>330</v>
      </c>
      <c r="D36" s="139">
        <f>D22*0.1</f>
        <v>330</v>
      </c>
      <c r="E36" s="240"/>
      <c r="F36" s="139">
        <f>F22*0.1</f>
        <v>330</v>
      </c>
      <c r="G36" s="139">
        <f>G22*0.1</f>
        <v>330</v>
      </c>
      <c r="H36" s="139">
        <f>H22*0.1</f>
        <v>330</v>
      </c>
      <c r="I36" s="240"/>
      <c r="J36" s="139">
        <f>J22*0.1</f>
        <v>330</v>
      </c>
      <c r="K36" s="139">
        <f>K22*0.1</f>
        <v>330</v>
      </c>
      <c r="L36" s="139">
        <f>L22*0.1</f>
        <v>330</v>
      </c>
      <c r="M36" s="240"/>
      <c r="N36" s="139">
        <f>N22*0.1</f>
        <v>280</v>
      </c>
      <c r="O36" s="139">
        <f>O22*0.1</f>
        <v>330</v>
      </c>
      <c r="P36" s="139">
        <f>P22*0.1</f>
        <v>330</v>
      </c>
      <c r="Q36" s="240"/>
      <c r="R36" s="136"/>
      <c r="S36" s="21"/>
    </row>
    <row r="37" spans="1:19" ht="15" customHeight="1">
      <c r="A37" s="40" t="s">
        <v>73</v>
      </c>
      <c r="B37" s="82">
        <v>1</v>
      </c>
      <c r="C37" s="82">
        <v>1</v>
      </c>
      <c r="D37" s="82">
        <v>1</v>
      </c>
      <c r="E37" s="236"/>
      <c r="F37" s="82">
        <v>1</v>
      </c>
      <c r="G37" s="82">
        <v>1</v>
      </c>
      <c r="H37" s="82">
        <v>1</v>
      </c>
      <c r="I37" s="236"/>
      <c r="J37" s="82">
        <v>1</v>
      </c>
      <c r="K37" s="82">
        <v>1</v>
      </c>
      <c r="L37" s="82">
        <v>1</v>
      </c>
      <c r="M37" s="236"/>
      <c r="N37" s="82">
        <v>1</v>
      </c>
      <c r="O37" s="82">
        <v>1</v>
      </c>
      <c r="P37" s="82">
        <v>1</v>
      </c>
      <c r="Q37" s="236"/>
      <c r="R37" s="133"/>
      <c r="S37" s="21"/>
    </row>
    <row r="38" spans="1:19" s="22" customFormat="1" ht="15" customHeight="1">
      <c r="A38" s="66" t="s">
        <v>74</v>
      </c>
      <c r="B38" s="81">
        <f>B37*B36</f>
        <v>330</v>
      </c>
      <c r="C38" s="81">
        <f>C37*C36</f>
        <v>330</v>
      </c>
      <c r="D38" s="81">
        <f>D37*D36</f>
        <v>330</v>
      </c>
      <c r="E38" s="239"/>
      <c r="F38" s="81">
        <f>F37*F36</f>
        <v>330</v>
      </c>
      <c r="G38" s="81">
        <f>G37*G36</f>
        <v>330</v>
      </c>
      <c r="H38" s="81">
        <f>H37*H36</f>
        <v>330</v>
      </c>
      <c r="I38" s="239"/>
      <c r="J38" s="81">
        <f>J37*J36</f>
        <v>330</v>
      </c>
      <c r="K38" s="81">
        <f>K37*K36</f>
        <v>330</v>
      </c>
      <c r="L38" s="81">
        <f>L37*L36</f>
        <v>330</v>
      </c>
      <c r="M38" s="239"/>
      <c r="N38" s="81">
        <f>N37*N36</f>
        <v>280</v>
      </c>
      <c r="O38" s="81">
        <f>O37*O36</f>
        <v>330</v>
      </c>
      <c r="P38" s="81">
        <f>P37*P36</f>
        <v>330</v>
      </c>
      <c r="Q38" s="239"/>
      <c r="R38" s="140"/>
      <c r="S38" s="14"/>
    </row>
    <row r="39" spans="1:19" s="43" customFormat="1" ht="15" customHeight="1">
      <c r="A39" s="56" t="s">
        <v>78</v>
      </c>
      <c r="B39" s="84">
        <f>B34+B28+B38</f>
        <v>1650</v>
      </c>
      <c r="C39" s="84">
        <f>C34+C28+C38</f>
        <v>1650</v>
      </c>
      <c r="D39" s="84">
        <f>D34+D28+D38</f>
        <v>1650</v>
      </c>
      <c r="E39" s="241"/>
      <c r="F39" s="84">
        <f>F34+F28+F38</f>
        <v>1650</v>
      </c>
      <c r="G39" s="84">
        <f>G34+G28+G38</f>
        <v>1650</v>
      </c>
      <c r="H39" s="84">
        <f>H34+H28+H38</f>
        <v>1650</v>
      </c>
      <c r="I39" s="241"/>
      <c r="J39" s="84">
        <f>J34+J28+J38</f>
        <v>1650</v>
      </c>
      <c r="K39" s="84">
        <f>K34+K28+K38</f>
        <v>1650</v>
      </c>
      <c r="L39" s="84">
        <f>L34+L28+L38</f>
        <v>1650</v>
      </c>
      <c r="M39" s="241"/>
      <c r="N39" s="84">
        <f>N34+N28+N38</f>
        <v>1400</v>
      </c>
      <c r="O39" s="84">
        <f>O34+O28+O38</f>
        <v>1650</v>
      </c>
      <c r="P39" s="84">
        <f>P34+P28+P38</f>
        <v>1650</v>
      </c>
      <c r="Q39" s="241"/>
      <c r="R39" s="141"/>
      <c r="S39" s="17"/>
    </row>
    <row r="40" spans="1:19" s="12" customFormat="1" ht="15" customHeight="1">
      <c r="A40" s="132" t="s">
        <v>162</v>
      </c>
      <c r="B40" s="586">
        <f>D5</f>
        <v>130000</v>
      </c>
      <c r="C40" s="587"/>
      <c r="D40" s="587"/>
      <c r="E40" s="574"/>
      <c r="F40" s="586">
        <f>H5</f>
        <v>130000</v>
      </c>
      <c r="G40" s="587"/>
      <c r="H40" s="587"/>
      <c r="I40" s="574"/>
      <c r="J40" s="586">
        <f>L5</f>
        <v>138000</v>
      </c>
      <c r="K40" s="587"/>
      <c r="L40" s="587"/>
      <c r="M40" s="574"/>
      <c r="N40" s="586">
        <f>P5</f>
        <v>130000</v>
      </c>
      <c r="O40" s="587"/>
      <c r="P40" s="587"/>
      <c r="Q40" s="574"/>
      <c r="R40" s="136"/>
      <c r="S40" s="34"/>
    </row>
    <row r="41" spans="1:19" s="12" customFormat="1" ht="15" customHeight="1">
      <c r="A41" s="134" t="s">
        <v>80</v>
      </c>
      <c r="B41" s="580">
        <f>D7</f>
        <v>137251.67910000001</v>
      </c>
      <c r="C41" s="581"/>
      <c r="D41" s="581"/>
      <c r="E41" s="574"/>
      <c r="F41" s="580">
        <f>H7</f>
        <v>145727.19190000001</v>
      </c>
      <c r="G41" s="581"/>
      <c r="H41" s="581"/>
      <c r="I41" s="574"/>
      <c r="J41" s="580">
        <f>L7</f>
        <v>139330.91099999999</v>
      </c>
      <c r="K41" s="581"/>
      <c r="L41" s="581"/>
      <c r="M41" s="574"/>
      <c r="N41" s="580">
        <f>P7</f>
        <v>133650.89249999999</v>
      </c>
      <c r="O41" s="581"/>
      <c r="P41" s="581"/>
      <c r="Q41" s="574"/>
      <c r="R41" s="136"/>
      <c r="S41" s="34"/>
    </row>
    <row r="42" spans="1:19" s="68" customFormat="1" ht="15" customHeight="1">
      <c r="A42" s="134" t="s">
        <v>79</v>
      </c>
      <c r="B42" s="582">
        <f>B41/B40</f>
        <v>1.055782146923077</v>
      </c>
      <c r="C42" s="583"/>
      <c r="D42" s="583"/>
      <c r="E42" s="574"/>
      <c r="F42" s="582">
        <f>F41/F40</f>
        <v>1.1209783992307694</v>
      </c>
      <c r="G42" s="583"/>
      <c r="H42" s="583"/>
      <c r="I42" s="574"/>
      <c r="J42" s="582">
        <f>J41/J40</f>
        <v>1.0096442826086955</v>
      </c>
      <c r="K42" s="583"/>
      <c r="L42" s="583"/>
      <c r="M42" s="574"/>
      <c r="N42" s="582">
        <f>N41/N40</f>
        <v>1.0280837884615384</v>
      </c>
      <c r="O42" s="583"/>
      <c r="P42" s="583"/>
      <c r="Q42" s="574"/>
      <c r="R42" s="142"/>
      <c r="S42" s="47"/>
    </row>
    <row r="43" spans="1:19" s="19" customFormat="1" ht="15" customHeight="1">
      <c r="A43" s="134" t="s">
        <v>76</v>
      </c>
      <c r="B43" s="572">
        <f>D22</f>
        <v>3300</v>
      </c>
      <c r="C43" s="573"/>
      <c r="D43" s="573"/>
      <c r="E43" s="574"/>
      <c r="F43" s="572">
        <f>H22</f>
        <v>3300</v>
      </c>
      <c r="G43" s="573"/>
      <c r="H43" s="573"/>
      <c r="I43" s="574"/>
      <c r="J43" s="572">
        <f>L22</f>
        <v>3300</v>
      </c>
      <c r="K43" s="573"/>
      <c r="L43" s="573"/>
      <c r="M43" s="574"/>
      <c r="N43" s="572">
        <f>P22</f>
        <v>3300</v>
      </c>
      <c r="O43" s="573"/>
      <c r="P43" s="573"/>
      <c r="Q43" s="574"/>
      <c r="R43" s="136"/>
      <c r="S43" s="34"/>
    </row>
    <row r="44" spans="1:19" s="14" customFormat="1" ht="15" customHeight="1">
      <c r="A44" s="88" t="s">
        <v>77</v>
      </c>
      <c r="B44" s="575">
        <f>IF(B42&lt;100%,0,IF(B42&lt;110%,0.5,IF(B42&lt;120%,0.7,1)))</f>
        <v>0.5</v>
      </c>
      <c r="C44" s="576"/>
      <c r="D44" s="576"/>
      <c r="E44" s="577"/>
      <c r="F44" s="575">
        <f>IF(F42&lt;100%,0,IF(F42&lt;110%,0.5,IF(F42&lt;120%,0.7,1)))</f>
        <v>0.7</v>
      </c>
      <c r="G44" s="576"/>
      <c r="H44" s="576"/>
      <c r="I44" s="577"/>
      <c r="J44" s="575">
        <f>IF(J42&lt;100%,0,IF(J42&lt;110%,0.5,IF(J42&lt;120%,0.7,1)))</f>
        <v>0.5</v>
      </c>
      <c r="K44" s="576"/>
      <c r="L44" s="576"/>
      <c r="M44" s="577"/>
      <c r="N44" s="575">
        <f>IF(N42&lt;100%,0,IF(N42&lt;110%,0.5,IF(N42&lt;120%,0.7,1)))</f>
        <v>0.5</v>
      </c>
      <c r="O44" s="576"/>
      <c r="P44" s="576"/>
      <c r="Q44" s="577"/>
      <c r="R44" s="143"/>
      <c r="S44" s="34"/>
    </row>
    <row r="45" spans="1:19" s="62" customFormat="1" ht="15" customHeight="1">
      <c r="A45" s="56" t="s">
        <v>75</v>
      </c>
      <c r="B45" s="578">
        <f>B44*B43</f>
        <v>1650</v>
      </c>
      <c r="C45" s="579"/>
      <c r="D45" s="579"/>
      <c r="E45" s="577"/>
      <c r="F45" s="578">
        <f>F44*F43</f>
        <v>2310</v>
      </c>
      <c r="G45" s="579"/>
      <c r="H45" s="579"/>
      <c r="I45" s="577"/>
      <c r="J45" s="578">
        <f>J44*J43</f>
        <v>1650</v>
      </c>
      <c r="K45" s="579"/>
      <c r="L45" s="579"/>
      <c r="M45" s="577"/>
      <c r="N45" s="578">
        <f>N44*N43</f>
        <v>1650</v>
      </c>
      <c r="O45" s="579"/>
      <c r="P45" s="579"/>
      <c r="Q45" s="577"/>
      <c r="R45" s="144"/>
    </row>
    <row r="46" spans="1:19" s="62" customFormat="1" ht="15" customHeight="1">
      <c r="A46" s="145"/>
      <c r="B46" s="146"/>
      <c r="C46" s="146"/>
      <c r="D46" s="146"/>
      <c r="E46" s="146"/>
      <c r="F46" s="146"/>
      <c r="G46" s="146"/>
      <c r="H46" s="146"/>
      <c r="I46" s="146"/>
      <c r="J46" s="146"/>
      <c r="K46" s="146"/>
      <c r="L46" s="146"/>
      <c r="M46" s="146"/>
      <c r="N46" s="146"/>
      <c r="O46" s="146"/>
      <c r="P46" s="146"/>
      <c r="Q46" s="146"/>
      <c r="R46" s="147"/>
    </row>
    <row r="47" spans="1:19" ht="15" customHeight="1">
      <c r="A47" s="208" t="s">
        <v>27</v>
      </c>
      <c r="B47" s="114" t="s">
        <v>10</v>
      </c>
      <c r="C47" s="114" t="s">
        <v>11</v>
      </c>
      <c r="D47" s="114" t="s">
        <v>12</v>
      </c>
      <c r="E47" s="223" t="s">
        <v>165</v>
      </c>
      <c r="F47" s="114" t="s">
        <v>7</v>
      </c>
      <c r="G47" s="114" t="s">
        <v>8</v>
      </c>
      <c r="H47" s="114" t="s">
        <v>9</v>
      </c>
      <c r="I47" s="223" t="s">
        <v>164</v>
      </c>
      <c r="J47" s="114" t="s">
        <v>4</v>
      </c>
      <c r="K47" s="114" t="s">
        <v>5</v>
      </c>
      <c r="L47" s="114" t="s">
        <v>6</v>
      </c>
      <c r="M47" s="223" t="s">
        <v>163</v>
      </c>
      <c r="N47" s="114" t="s">
        <v>1</v>
      </c>
      <c r="O47" s="114" t="s">
        <v>2</v>
      </c>
      <c r="P47" s="114" t="s">
        <v>3</v>
      </c>
      <c r="Q47" s="223" t="s">
        <v>152</v>
      </c>
      <c r="R47" s="114" t="s">
        <v>166</v>
      </c>
      <c r="S47" s="21"/>
    </row>
    <row r="48" spans="1:19" ht="15" customHeight="1">
      <c r="A48" s="148" t="s">
        <v>36</v>
      </c>
      <c r="B48" s="115"/>
      <c r="C48" s="115"/>
      <c r="D48" s="115"/>
      <c r="E48" s="224">
        <f>SUM(B48:D48)</f>
        <v>0</v>
      </c>
      <c r="F48" s="115"/>
      <c r="G48" s="115">
        <v>1</v>
      </c>
      <c r="H48" s="115"/>
      <c r="I48" s="224">
        <f>SUM(F48:H48)</f>
        <v>1</v>
      </c>
      <c r="J48" s="115"/>
      <c r="K48" s="115"/>
      <c r="L48" s="115"/>
      <c r="M48" s="224">
        <f t="shared" ref="M48:M61" si="12">SUM(J48:L48)</f>
        <v>0</v>
      </c>
      <c r="N48" s="115"/>
      <c r="O48" s="115"/>
      <c r="P48" s="115"/>
      <c r="Q48" s="224">
        <f t="shared" ref="Q48:Q55" si="13">SUM(N48:P48)</f>
        <v>0</v>
      </c>
      <c r="R48" s="116">
        <f t="shared" ref="R48:R61" si="14">Q48+M48+I48+E48</f>
        <v>1</v>
      </c>
      <c r="S48" s="21"/>
    </row>
    <row r="49" spans="1:19" ht="15" customHeight="1">
      <c r="A49" s="148" t="s">
        <v>37</v>
      </c>
      <c r="B49" s="115">
        <v>2</v>
      </c>
      <c r="C49" s="115"/>
      <c r="D49" s="115">
        <v>2</v>
      </c>
      <c r="E49" s="224">
        <f t="shared" ref="E49:E61" si="15">SUM(B49:D49)</f>
        <v>4</v>
      </c>
      <c r="F49" s="115"/>
      <c r="G49" s="115">
        <v>2</v>
      </c>
      <c r="H49" s="115">
        <v>2</v>
      </c>
      <c r="I49" s="224">
        <f t="shared" ref="I49:I60" si="16">SUM(F49:H49)</f>
        <v>4</v>
      </c>
      <c r="J49" s="115"/>
      <c r="K49" s="115">
        <v>1</v>
      </c>
      <c r="L49" s="115"/>
      <c r="M49" s="224">
        <f t="shared" si="12"/>
        <v>1</v>
      </c>
      <c r="N49" s="115">
        <v>2</v>
      </c>
      <c r="O49" s="115">
        <v>1</v>
      </c>
      <c r="P49" s="115">
        <v>1</v>
      </c>
      <c r="Q49" s="224">
        <f t="shared" si="13"/>
        <v>4</v>
      </c>
      <c r="R49" s="116">
        <f t="shared" si="14"/>
        <v>13</v>
      </c>
      <c r="S49" s="21"/>
    </row>
    <row r="50" spans="1:19" ht="15" customHeight="1">
      <c r="A50" s="148" t="s">
        <v>81</v>
      </c>
      <c r="B50" s="115"/>
      <c r="C50" s="115"/>
      <c r="D50" s="115"/>
      <c r="E50" s="224">
        <f t="shared" si="15"/>
        <v>0</v>
      </c>
      <c r="F50" s="115"/>
      <c r="G50" s="115"/>
      <c r="H50" s="115"/>
      <c r="I50" s="224">
        <f t="shared" si="16"/>
        <v>0</v>
      </c>
      <c r="J50" s="115"/>
      <c r="K50" s="115"/>
      <c r="L50" s="115"/>
      <c r="M50" s="224">
        <f t="shared" si="12"/>
        <v>0</v>
      </c>
      <c r="N50" s="115"/>
      <c r="O50" s="115"/>
      <c r="P50" s="115"/>
      <c r="Q50" s="224">
        <f t="shared" si="13"/>
        <v>0</v>
      </c>
      <c r="R50" s="116">
        <f t="shared" si="14"/>
        <v>0</v>
      </c>
      <c r="S50" s="21"/>
    </row>
    <row r="51" spans="1:19" ht="15" customHeight="1">
      <c r="A51" s="148" t="s">
        <v>38</v>
      </c>
      <c r="B51" s="115">
        <v>1</v>
      </c>
      <c r="C51" s="115">
        <v>4</v>
      </c>
      <c r="D51" s="115"/>
      <c r="E51" s="224">
        <f t="shared" si="15"/>
        <v>5</v>
      </c>
      <c r="F51" s="115">
        <v>1</v>
      </c>
      <c r="G51" s="115">
        <v>1</v>
      </c>
      <c r="H51" s="115"/>
      <c r="I51" s="224">
        <f t="shared" si="16"/>
        <v>2</v>
      </c>
      <c r="J51" s="115"/>
      <c r="K51" s="115"/>
      <c r="L51" s="115"/>
      <c r="M51" s="224">
        <f t="shared" si="12"/>
        <v>0</v>
      </c>
      <c r="N51" s="115"/>
      <c r="O51" s="115">
        <v>2</v>
      </c>
      <c r="P51" s="115">
        <v>2</v>
      </c>
      <c r="Q51" s="224">
        <f t="shared" si="13"/>
        <v>4</v>
      </c>
      <c r="R51" s="116">
        <f t="shared" si="14"/>
        <v>11</v>
      </c>
      <c r="S51" s="21"/>
    </row>
    <row r="52" spans="1:19" ht="15" customHeight="1">
      <c r="A52" s="148" t="s">
        <v>23</v>
      </c>
      <c r="B52" s="115">
        <v>1</v>
      </c>
      <c r="C52" s="115">
        <v>1</v>
      </c>
      <c r="D52" s="115">
        <v>1</v>
      </c>
      <c r="E52" s="224">
        <f t="shared" si="15"/>
        <v>3</v>
      </c>
      <c r="F52" s="115"/>
      <c r="G52" s="115"/>
      <c r="H52" s="115"/>
      <c r="I52" s="224">
        <f t="shared" si="16"/>
        <v>0</v>
      </c>
      <c r="J52" s="115"/>
      <c r="K52" s="115"/>
      <c r="L52" s="115"/>
      <c r="M52" s="224">
        <f t="shared" si="12"/>
        <v>0</v>
      </c>
      <c r="N52" s="115"/>
      <c r="O52" s="115">
        <v>1</v>
      </c>
      <c r="P52" s="115">
        <v>1</v>
      </c>
      <c r="Q52" s="224">
        <f t="shared" si="13"/>
        <v>2</v>
      </c>
      <c r="R52" s="116">
        <f t="shared" si="14"/>
        <v>5</v>
      </c>
      <c r="S52" s="21"/>
    </row>
    <row r="53" spans="1:19" ht="15" customHeight="1">
      <c r="A53" s="148" t="s">
        <v>29</v>
      </c>
      <c r="B53" s="115"/>
      <c r="C53" s="115"/>
      <c r="D53" s="115"/>
      <c r="E53" s="224">
        <f t="shared" si="15"/>
        <v>0</v>
      </c>
      <c r="F53" s="115"/>
      <c r="G53" s="115"/>
      <c r="H53" s="115"/>
      <c r="I53" s="224">
        <f t="shared" si="16"/>
        <v>0</v>
      </c>
      <c r="J53" s="115"/>
      <c r="K53" s="115"/>
      <c r="L53" s="115"/>
      <c r="M53" s="224">
        <f t="shared" si="12"/>
        <v>0</v>
      </c>
      <c r="N53" s="115"/>
      <c r="O53" s="115"/>
      <c r="P53" s="115"/>
      <c r="Q53" s="224">
        <f t="shared" si="13"/>
        <v>0</v>
      </c>
      <c r="R53" s="116">
        <f t="shared" si="14"/>
        <v>0</v>
      </c>
      <c r="S53" s="21"/>
    </row>
    <row r="54" spans="1:19" ht="15" customHeight="1">
      <c r="A54" s="148" t="s">
        <v>24</v>
      </c>
      <c r="B54" s="115">
        <v>1</v>
      </c>
      <c r="C54" s="115">
        <v>1</v>
      </c>
      <c r="D54" s="115">
        <v>2</v>
      </c>
      <c r="E54" s="224">
        <f t="shared" si="15"/>
        <v>4</v>
      </c>
      <c r="F54" s="115"/>
      <c r="G54" s="115"/>
      <c r="H54" s="115"/>
      <c r="I54" s="224">
        <f t="shared" si="16"/>
        <v>0</v>
      </c>
      <c r="J54" s="115"/>
      <c r="K54" s="115"/>
      <c r="L54" s="115"/>
      <c r="M54" s="224">
        <f t="shared" si="12"/>
        <v>0</v>
      </c>
      <c r="N54" s="115">
        <v>1</v>
      </c>
      <c r="O54" s="115"/>
      <c r="P54" s="115"/>
      <c r="Q54" s="224">
        <f t="shared" si="13"/>
        <v>1</v>
      </c>
      <c r="R54" s="116">
        <f t="shared" si="14"/>
        <v>5</v>
      </c>
      <c r="S54" s="21"/>
    </row>
    <row r="55" spans="1:19" ht="15" customHeight="1">
      <c r="A55" s="148" t="s">
        <v>28</v>
      </c>
      <c r="B55" s="115"/>
      <c r="C55" s="115"/>
      <c r="D55" s="115"/>
      <c r="E55" s="224">
        <f t="shared" si="15"/>
        <v>0</v>
      </c>
      <c r="F55" s="115"/>
      <c r="G55" s="115"/>
      <c r="H55" s="115"/>
      <c r="I55" s="224">
        <f t="shared" si="16"/>
        <v>0</v>
      </c>
      <c r="J55" s="115"/>
      <c r="K55" s="115"/>
      <c r="L55" s="115"/>
      <c r="M55" s="224">
        <f t="shared" si="12"/>
        <v>0</v>
      </c>
      <c r="N55" s="115"/>
      <c r="O55" s="115"/>
      <c r="P55" s="115"/>
      <c r="Q55" s="224">
        <f t="shared" si="13"/>
        <v>0</v>
      </c>
      <c r="R55" s="116">
        <f t="shared" si="14"/>
        <v>0</v>
      </c>
      <c r="S55" s="21"/>
    </row>
    <row r="56" spans="1:19" ht="15" customHeight="1">
      <c r="A56" s="148" t="s">
        <v>200</v>
      </c>
      <c r="B56" s="115"/>
      <c r="C56" s="115"/>
      <c r="D56" s="115"/>
      <c r="E56" s="224"/>
      <c r="F56" s="115">
        <v>2</v>
      </c>
      <c r="G56" s="115"/>
      <c r="H56" s="115"/>
      <c r="I56" s="224"/>
      <c r="J56" s="115">
        <v>2</v>
      </c>
      <c r="K56" s="115">
        <v>2</v>
      </c>
      <c r="L56" s="115"/>
      <c r="M56" s="224"/>
      <c r="N56" s="115">
        <v>1</v>
      </c>
      <c r="O56" s="115">
        <v>1</v>
      </c>
      <c r="P56" s="115"/>
      <c r="Q56" s="224"/>
      <c r="R56" s="116">
        <f t="shared" si="14"/>
        <v>0</v>
      </c>
      <c r="S56" s="21"/>
    </row>
    <row r="57" spans="1:19" ht="15" customHeight="1">
      <c r="A57" s="148" t="s">
        <v>221</v>
      </c>
      <c r="B57" s="115"/>
      <c r="C57" s="115"/>
      <c r="D57" s="115"/>
      <c r="E57" s="224"/>
      <c r="F57" s="115"/>
      <c r="G57" s="115"/>
      <c r="H57" s="115"/>
      <c r="I57" s="224"/>
      <c r="J57" s="115"/>
      <c r="K57" s="115"/>
      <c r="L57" s="115">
        <v>1</v>
      </c>
      <c r="M57" s="224"/>
      <c r="N57" s="115"/>
      <c r="O57" s="115"/>
      <c r="P57" s="115"/>
      <c r="Q57" s="224"/>
      <c r="R57" s="116">
        <f t="shared" si="14"/>
        <v>0</v>
      </c>
      <c r="S57" s="21"/>
    </row>
    <row r="58" spans="1:19" ht="15" customHeight="1">
      <c r="A58" s="148" t="s">
        <v>25</v>
      </c>
      <c r="B58" s="115"/>
      <c r="C58" s="115"/>
      <c r="D58" s="115"/>
      <c r="E58" s="224">
        <f t="shared" si="15"/>
        <v>0</v>
      </c>
      <c r="F58" s="115"/>
      <c r="G58" s="115"/>
      <c r="H58" s="115"/>
      <c r="I58" s="224">
        <f t="shared" si="16"/>
        <v>0</v>
      </c>
      <c r="J58" s="115"/>
      <c r="K58" s="115"/>
      <c r="L58" s="115"/>
      <c r="M58" s="224">
        <f t="shared" si="12"/>
        <v>0</v>
      </c>
      <c r="N58" s="115"/>
      <c r="O58" s="115"/>
      <c r="P58" s="115"/>
      <c r="Q58" s="224">
        <f>SUM(N58:P58)</f>
        <v>0</v>
      </c>
      <c r="R58" s="116">
        <f t="shared" si="14"/>
        <v>0</v>
      </c>
      <c r="S58" s="21"/>
    </row>
    <row r="59" spans="1:19" ht="15" customHeight="1">
      <c r="A59" s="148" t="s">
        <v>82</v>
      </c>
      <c r="B59" s="115"/>
      <c r="C59" s="115"/>
      <c r="D59" s="115"/>
      <c r="E59" s="224">
        <f t="shared" si="15"/>
        <v>0</v>
      </c>
      <c r="F59" s="115">
        <v>1</v>
      </c>
      <c r="G59" s="115"/>
      <c r="H59" s="115"/>
      <c r="I59" s="224">
        <f t="shared" si="16"/>
        <v>1</v>
      </c>
      <c r="J59" s="115"/>
      <c r="K59" s="115"/>
      <c r="L59" s="115"/>
      <c r="M59" s="224">
        <f t="shared" si="12"/>
        <v>0</v>
      </c>
      <c r="N59" s="115"/>
      <c r="O59" s="115"/>
      <c r="P59" s="115"/>
      <c r="Q59" s="224">
        <f>SUM(N59:P59)</f>
        <v>0</v>
      </c>
      <c r="R59" s="116">
        <f t="shared" si="14"/>
        <v>1</v>
      </c>
      <c r="S59" s="21"/>
    </row>
    <row r="60" spans="1:19" ht="15" customHeight="1">
      <c r="A60" s="148" t="s">
        <v>35</v>
      </c>
      <c r="B60" s="115"/>
      <c r="C60" s="115"/>
      <c r="D60" s="115"/>
      <c r="E60" s="224">
        <f t="shared" si="15"/>
        <v>0</v>
      </c>
      <c r="F60" s="115"/>
      <c r="G60" s="115"/>
      <c r="H60" s="115"/>
      <c r="I60" s="224">
        <f t="shared" si="16"/>
        <v>0</v>
      </c>
      <c r="J60" s="115"/>
      <c r="K60" s="115"/>
      <c r="L60" s="115"/>
      <c r="M60" s="224">
        <f t="shared" si="12"/>
        <v>0</v>
      </c>
      <c r="N60" s="115"/>
      <c r="O60" s="115"/>
      <c r="P60" s="115"/>
      <c r="Q60" s="224">
        <f>SUM(N60:P60)</f>
        <v>0</v>
      </c>
      <c r="R60" s="116">
        <f t="shared" si="14"/>
        <v>0</v>
      </c>
      <c r="S60" s="21"/>
    </row>
    <row r="61" spans="1:19" ht="15" customHeight="1">
      <c r="A61" s="148" t="s">
        <v>26</v>
      </c>
      <c r="B61" s="115">
        <f>SUM(B48:B60)</f>
        <v>5</v>
      </c>
      <c r="C61" s="115">
        <f>SUM(C48:C60)</f>
        <v>6</v>
      </c>
      <c r="D61" s="115">
        <f>SUM(D48:D60)</f>
        <v>5</v>
      </c>
      <c r="E61" s="224">
        <f t="shared" si="15"/>
        <v>16</v>
      </c>
      <c r="F61" s="115">
        <f>SUM(F48:F60)</f>
        <v>4</v>
      </c>
      <c r="G61" s="115">
        <f>SUM(G48:G60)</f>
        <v>4</v>
      </c>
      <c r="H61" s="115">
        <f>SUM(H48:H60)</f>
        <v>2</v>
      </c>
      <c r="I61" s="224">
        <f>SUM(F61:H61)</f>
        <v>10</v>
      </c>
      <c r="J61" s="115">
        <f>SUM(J48:J60)</f>
        <v>2</v>
      </c>
      <c r="K61" s="115">
        <f>SUM(K48:K60)</f>
        <v>3</v>
      </c>
      <c r="L61" s="115">
        <f>SUM(L48:L60)</f>
        <v>1</v>
      </c>
      <c r="M61" s="224">
        <f t="shared" si="12"/>
        <v>6</v>
      </c>
      <c r="N61" s="115">
        <f>SUM(N48:N56)</f>
        <v>4</v>
      </c>
      <c r="O61" s="115">
        <f>SUM(O48:O56)</f>
        <v>5</v>
      </c>
      <c r="P61" s="115">
        <f>SUM(P48:P56)</f>
        <v>4</v>
      </c>
      <c r="Q61" s="224">
        <f>SUM(N61:P61)</f>
        <v>13</v>
      </c>
      <c r="R61" s="116">
        <f t="shared" si="14"/>
        <v>45</v>
      </c>
      <c r="S61" s="21"/>
    </row>
    <row r="62" spans="1:19" ht="13.5" thickBot="1"/>
    <row r="63" spans="1:19" ht="13.5" thickBot="1">
      <c r="A63" s="177" t="s">
        <v>109</v>
      </c>
      <c r="B63" s="178" t="s">
        <v>110</v>
      </c>
      <c r="C63" s="178" t="s">
        <v>11</v>
      </c>
      <c r="D63" s="178" t="s">
        <v>12</v>
      </c>
      <c r="E63" s="178" t="s">
        <v>165</v>
      </c>
      <c r="F63" s="178" t="s">
        <v>7</v>
      </c>
      <c r="G63" s="178" t="s">
        <v>8</v>
      </c>
      <c r="H63" s="178" t="s">
        <v>9</v>
      </c>
      <c r="I63" s="178" t="s">
        <v>164</v>
      </c>
      <c r="J63" s="178" t="s">
        <v>4</v>
      </c>
      <c r="K63" s="178" t="s">
        <v>5</v>
      </c>
      <c r="L63" s="178" t="s">
        <v>6</v>
      </c>
      <c r="M63" s="178" t="s">
        <v>163</v>
      </c>
      <c r="N63" s="178" t="s">
        <v>1</v>
      </c>
      <c r="O63" s="178" t="s">
        <v>2</v>
      </c>
      <c r="P63" s="178" t="s">
        <v>3</v>
      </c>
      <c r="Q63" s="167" t="s">
        <v>173</v>
      </c>
      <c r="R63" s="167" t="s">
        <v>111</v>
      </c>
    </row>
    <row r="64" spans="1:19" ht="13.5" thickTop="1">
      <c r="A64" s="179" t="s">
        <v>112</v>
      </c>
      <c r="B64" s="564">
        <v>9</v>
      </c>
      <c r="C64" s="564">
        <v>8</v>
      </c>
      <c r="D64" s="564">
        <v>3</v>
      </c>
      <c r="E64" s="256">
        <f>SUM(B64:D64)</f>
        <v>20</v>
      </c>
      <c r="F64" s="170">
        <v>0</v>
      </c>
      <c r="G64" s="170">
        <v>1</v>
      </c>
      <c r="H64" s="170">
        <v>4</v>
      </c>
      <c r="I64" s="256">
        <f>SUM(F64:H64)</f>
        <v>5</v>
      </c>
      <c r="J64" s="170">
        <v>1</v>
      </c>
      <c r="K64" s="170">
        <v>2</v>
      </c>
      <c r="L64" s="170">
        <v>4</v>
      </c>
      <c r="M64" s="256">
        <f>SUM(J64:L64)</f>
        <v>7</v>
      </c>
      <c r="N64" s="170">
        <v>4</v>
      </c>
      <c r="O64" s="170">
        <v>5</v>
      </c>
      <c r="P64" s="170">
        <v>3</v>
      </c>
      <c r="Q64" s="256">
        <f>SUM(N64:P64)</f>
        <v>12</v>
      </c>
      <c r="R64" s="256">
        <f>Q64+M64+I64+E64</f>
        <v>44</v>
      </c>
      <c r="S64" s="69"/>
    </row>
    <row r="65" spans="1:19">
      <c r="A65" s="180" t="s">
        <v>113</v>
      </c>
      <c r="B65" s="559">
        <v>1</v>
      </c>
      <c r="C65" s="559">
        <v>0</v>
      </c>
      <c r="D65" s="559">
        <v>0</v>
      </c>
      <c r="E65" s="256">
        <f>SUM(B65:D65)</f>
        <v>1</v>
      </c>
      <c r="F65" s="171">
        <v>1</v>
      </c>
      <c r="G65" s="171">
        <v>0</v>
      </c>
      <c r="H65" s="171">
        <v>1</v>
      </c>
      <c r="I65" s="256">
        <f>SUM(F65:H65)</f>
        <v>2</v>
      </c>
      <c r="J65" s="171">
        <v>0</v>
      </c>
      <c r="K65" s="171">
        <v>1</v>
      </c>
      <c r="L65" s="171">
        <v>0</v>
      </c>
      <c r="M65" s="256">
        <f>SUM(J65:L65)</f>
        <v>1</v>
      </c>
      <c r="N65" s="171">
        <v>1</v>
      </c>
      <c r="O65" s="171">
        <v>1</v>
      </c>
      <c r="P65" s="171">
        <v>1</v>
      </c>
      <c r="Q65" s="256">
        <f>SUM(N65:P65)</f>
        <v>3</v>
      </c>
      <c r="R65" s="256">
        <f>Q65+M65+I65+E65</f>
        <v>7</v>
      </c>
      <c r="S65" s="69"/>
    </row>
    <row r="66" spans="1:19">
      <c r="A66" s="180" t="s">
        <v>114</v>
      </c>
      <c r="B66" s="559">
        <v>686</v>
      </c>
      <c r="C66" s="559">
        <v>702</v>
      </c>
      <c r="D66" s="559">
        <v>707</v>
      </c>
      <c r="E66" s="257"/>
      <c r="F66" s="171">
        <v>649</v>
      </c>
      <c r="G66" s="171">
        <v>658</v>
      </c>
      <c r="H66" s="171">
        <v>671</v>
      </c>
      <c r="I66" s="257"/>
      <c r="J66" s="171">
        <v>610</v>
      </c>
      <c r="K66" s="171">
        <v>624</v>
      </c>
      <c r="L66" s="171">
        <v>634</v>
      </c>
      <c r="M66" s="257"/>
      <c r="N66" s="171">
        <v>555</v>
      </c>
      <c r="O66" s="171">
        <v>578</v>
      </c>
      <c r="P66" s="171">
        <v>591</v>
      </c>
      <c r="Q66" s="257"/>
      <c r="R66" s="257"/>
      <c r="S66" s="69"/>
    </row>
    <row r="67" spans="1:19">
      <c r="A67" s="180" t="s">
        <v>115</v>
      </c>
      <c r="B67" s="559">
        <v>7</v>
      </c>
      <c r="C67" s="559">
        <v>13</v>
      </c>
      <c r="D67" s="559">
        <v>11</v>
      </c>
      <c r="E67" s="257"/>
      <c r="F67" s="171">
        <v>9</v>
      </c>
      <c r="G67" s="171">
        <v>9</v>
      </c>
      <c r="H67" s="171">
        <v>11</v>
      </c>
      <c r="I67" s="257"/>
      <c r="J67" s="171">
        <v>12</v>
      </c>
      <c r="K67" s="171">
        <v>10</v>
      </c>
      <c r="L67" s="171">
        <v>7</v>
      </c>
      <c r="M67" s="257"/>
      <c r="N67" s="171">
        <v>13</v>
      </c>
      <c r="O67" s="171">
        <v>8</v>
      </c>
      <c r="P67" s="171">
        <v>8</v>
      </c>
      <c r="Q67" s="257"/>
      <c r="R67" s="257"/>
      <c r="S67" s="69"/>
    </row>
    <row r="68" spans="1:19">
      <c r="A68" s="180" t="s">
        <v>172</v>
      </c>
      <c r="B68" s="559">
        <v>203</v>
      </c>
      <c r="C68" s="559">
        <v>201</v>
      </c>
      <c r="D68" s="559">
        <v>200</v>
      </c>
      <c r="E68" s="257"/>
      <c r="F68" s="171">
        <v>210</v>
      </c>
      <c r="G68" s="171">
        <v>209</v>
      </c>
      <c r="H68" s="171">
        <v>206</v>
      </c>
      <c r="I68" s="257"/>
      <c r="J68" s="171">
        <v>236</v>
      </c>
      <c r="K68" s="171">
        <v>224</v>
      </c>
      <c r="L68" s="171">
        <v>220</v>
      </c>
      <c r="M68" s="257"/>
      <c r="N68" s="171">
        <v>249</v>
      </c>
      <c r="O68" s="171">
        <v>243</v>
      </c>
      <c r="P68" s="171">
        <v>235</v>
      </c>
      <c r="Q68" s="257"/>
      <c r="R68" s="257"/>
      <c r="S68" s="69"/>
    </row>
    <row r="69" spans="1:19">
      <c r="A69" s="180" t="s">
        <v>116</v>
      </c>
      <c r="B69" s="565">
        <v>896</v>
      </c>
      <c r="C69" s="565">
        <v>916</v>
      </c>
      <c r="D69" s="565">
        <v>918</v>
      </c>
      <c r="E69" s="258"/>
      <c r="F69" s="181">
        <f t="shared" ref="F69:G69" si="17">SUM(F66:F68)</f>
        <v>868</v>
      </c>
      <c r="G69" s="181">
        <f t="shared" si="17"/>
        <v>876</v>
      </c>
      <c r="H69" s="181">
        <f t="shared" ref="H69" si="18">SUM(H66:H68)</f>
        <v>888</v>
      </c>
      <c r="I69" s="258"/>
      <c r="J69" s="181">
        <f t="shared" ref="J69:K69" si="19">SUM(J66:J68)</f>
        <v>858</v>
      </c>
      <c r="K69" s="181">
        <f t="shared" si="19"/>
        <v>858</v>
      </c>
      <c r="L69" s="181">
        <f t="shared" ref="L69" si="20">SUM(L66:L68)</f>
        <v>861</v>
      </c>
      <c r="M69" s="258"/>
      <c r="N69" s="181">
        <f t="shared" ref="N69:P69" si="21">SUM(N66:N68)</f>
        <v>817</v>
      </c>
      <c r="O69" s="181">
        <f t="shared" si="21"/>
        <v>829</v>
      </c>
      <c r="P69" s="181">
        <f t="shared" si="21"/>
        <v>834</v>
      </c>
      <c r="Q69" s="258"/>
      <c r="R69" s="258"/>
      <c r="S69" s="69"/>
    </row>
    <row r="70" spans="1:19" ht="13.5" thickBot="1">
      <c r="A70" s="182" t="s">
        <v>117</v>
      </c>
      <c r="B70" s="566">
        <v>5</v>
      </c>
      <c r="C70" s="566">
        <v>6</v>
      </c>
      <c r="D70" s="566">
        <v>5</v>
      </c>
      <c r="E70" s="256">
        <f>SUM(B70:D70)</f>
        <v>16</v>
      </c>
      <c r="F70" s="172">
        <v>4</v>
      </c>
      <c r="G70" s="172">
        <v>4</v>
      </c>
      <c r="H70" s="172">
        <v>2</v>
      </c>
      <c r="I70" s="256">
        <f>SUM(F70:H70)</f>
        <v>10</v>
      </c>
      <c r="J70" s="172">
        <v>2</v>
      </c>
      <c r="K70" s="172">
        <v>3</v>
      </c>
      <c r="L70" s="172">
        <v>1</v>
      </c>
      <c r="M70" s="256">
        <f>SUM(J70:L70)</f>
        <v>6</v>
      </c>
      <c r="N70" s="172">
        <v>4</v>
      </c>
      <c r="O70" s="172">
        <v>5</v>
      </c>
      <c r="P70" s="172">
        <v>4</v>
      </c>
      <c r="Q70" s="256">
        <f>SUM(N70:P70)</f>
        <v>13</v>
      </c>
      <c r="R70" s="256">
        <f>Q70+M70+I70+E70</f>
        <v>45</v>
      </c>
      <c r="S70" s="69"/>
    </row>
    <row r="71" spans="1:19" ht="13.5" thickTop="1">
      <c r="A71" s="183" t="s">
        <v>174</v>
      </c>
      <c r="B71" s="567">
        <v>13</v>
      </c>
      <c r="C71" s="567">
        <v>8</v>
      </c>
      <c r="D71" s="567">
        <v>10</v>
      </c>
      <c r="E71" s="256">
        <f>SUM(B71:D71)</f>
        <v>31</v>
      </c>
      <c r="F71" s="173">
        <v>16</v>
      </c>
      <c r="G71" s="173">
        <v>5</v>
      </c>
      <c r="H71" s="173">
        <v>4</v>
      </c>
      <c r="I71" s="256">
        <f>SUM(F71:H71)</f>
        <v>25</v>
      </c>
      <c r="J71" s="173">
        <v>11</v>
      </c>
      <c r="K71" s="173">
        <v>25</v>
      </c>
      <c r="L71" s="173">
        <v>21</v>
      </c>
      <c r="M71" s="256">
        <f>SUM(J71:L71)</f>
        <v>57</v>
      </c>
      <c r="N71" s="173">
        <v>27</v>
      </c>
      <c r="O71" s="173">
        <v>16</v>
      </c>
      <c r="P71" s="173">
        <v>21</v>
      </c>
      <c r="Q71" s="256">
        <f>SUM(N71:P71)</f>
        <v>64</v>
      </c>
      <c r="R71" s="256">
        <f>Q71+M71+I71+E71</f>
        <v>177</v>
      </c>
      <c r="S71" s="69"/>
    </row>
    <row r="72" spans="1:19">
      <c r="A72" s="180" t="s">
        <v>118</v>
      </c>
      <c r="B72" s="559">
        <v>3</v>
      </c>
      <c r="C72" s="559">
        <v>3</v>
      </c>
      <c r="D72" s="559">
        <v>4</v>
      </c>
      <c r="E72" s="259"/>
      <c r="F72" s="171">
        <v>6</v>
      </c>
      <c r="G72" s="171">
        <v>5</v>
      </c>
      <c r="H72" s="171">
        <v>3</v>
      </c>
      <c r="I72" s="259"/>
      <c r="J72" s="171">
        <v>5</v>
      </c>
      <c r="K72" s="171">
        <v>4</v>
      </c>
      <c r="L72" s="171">
        <v>6</v>
      </c>
      <c r="M72" s="259"/>
      <c r="N72" s="171">
        <v>7</v>
      </c>
      <c r="O72" s="171">
        <v>8</v>
      </c>
      <c r="P72" s="171">
        <v>2</v>
      </c>
      <c r="Q72" s="259"/>
      <c r="R72" s="259"/>
      <c r="S72" s="69"/>
    </row>
    <row r="73" spans="1:19">
      <c r="A73" s="180" t="s">
        <v>119</v>
      </c>
      <c r="B73" s="559">
        <v>3</v>
      </c>
      <c r="C73" s="559">
        <v>3</v>
      </c>
      <c r="D73" s="559">
        <v>3</v>
      </c>
      <c r="E73" s="260"/>
      <c r="F73" s="171">
        <v>5</v>
      </c>
      <c r="G73" s="171">
        <v>1</v>
      </c>
      <c r="H73" s="171">
        <v>2</v>
      </c>
      <c r="I73" s="260"/>
      <c r="J73" s="171">
        <v>3</v>
      </c>
      <c r="K73" s="171">
        <v>6</v>
      </c>
      <c r="L73" s="171">
        <v>6</v>
      </c>
      <c r="M73" s="260"/>
      <c r="N73" s="171">
        <v>11</v>
      </c>
      <c r="O73" s="171">
        <v>9</v>
      </c>
      <c r="P73" s="171">
        <v>12</v>
      </c>
      <c r="Q73" s="260"/>
      <c r="R73" s="260"/>
      <c r="S73" s="69"/>
    </row>
    <row r="74" spans="1:19" ht="13.5" thickBot="1">
      <c r="A74" s="184" t="s">
        <v>120</v>
      </c>
      <c r="B74" s="568">
        <v>11</v>
      </c>
      <c r="C74" s="568">
        <v>5</v>
      </c>
      <c r="D74" s="568">
        <v>6</v>
      </c>
      <c r="E74" s="261"/>
      <c r="F74" s="174">
        <v>11</v>
      </c>
      <c r="G74" s="174">
        <v>5</v>
      </c>
      <c r="H74" s="174">
        <v>3</v>
      </c>
      <c r="I74" s="261"/>
      <c r="J74" s="174">
        <v>5</v>
      </c>
      <c r="K74" s="174">
        <v>20</v>
      </c>
      <c r="L74" s="174">
        <v>13</v>
      </c>
      <c r="M74" s="261"/>
      <c r="N74" s="174">
        <v>18</v>
      </c>
      <c r="O74" s="174">
        <v>5</v>
      </c>
      <c r="P74" s="174">
        <v>16</v>
      </c>
      <c r="Q74" s="261"/>
      <c r="R74" s="261"/>
      <c r="S74" s="69"/>
    </row>
    <row r="75" spans="1:19" ht="13.5" thickTop="1">
      <c r="A75" s="179" t="s">
        <v>121</v>
      </c>
      <c r="B75" s="564">
        <v>26</v>
      </c>
      <c r="C75" s="564">
        <v>11</v>
      </c>
      <c r="D75" s="564">
        <v>11</v>
      </c>
      <c r="E75" s="256">
        <f>SUM(B75:D75)</f>
        <v>48</v>
      </c>
      <c r="F75" s="170">
        <v>10</v>
      </c>
      <c r="G75" s="170">
        <v>5</v>
      </c>
      <c r="H75" s="170">
        <v>8</v>
      </c>
      <c r="I75" s="256">
        <f>SUM(F75:H75)</f>
        <v>23</v>
      </c>
      <c r="J75" s="170">
        <v>9</v>
      </c>
      <c r="K75" s="170">
        <v>14</v>
      </c>
      <c r="L75" s="170">
        <v>8</v>
      </c>
      <c r="M75" s="256">
        <f>SUM(J75:L75)</f>
        <v>31</v>
      </c>
      <c r="N75" s="170">
        <v>12</v>
      </c>
      <c r="O75" s="170">
        <v>9</v>
      </c>
      <c r="P75" s="170">
        <v>12</v>
      </c>
      <c r="Q75" s="256">
        <f>SUM(N75:P75)</f>
        <v>33</v>
      </c>
      <c r="R75" s="256">
        <f>Q75+M75+I75+E75</f>
        <v>135</v>
      </c>
      <c r="S75" s="69"/>
    </row>
    <row r="76" spans="1:19">
      <c r="A76" s="180" t="s">
        <v>122</v>
      </c>
      <c r="B76" s="559">
        <v>1</v>
      </c>
      <c r="C76" s="559">
        <v>4</v>
      </c>
      <c r="D76" s="559">
        <v>1</v>
      </c>
      <c r="E76" s="256">
        <f t="shared" ref="E76:E82" si="22">SUM(B76:D76)</f>
        <v>6</v>
      </c>
      <c r="F76" s="171">
        <v>0</v>
      </c>
      <c r="G76" s="171">
        <v>0</v>
      </c>
      <c r="H76" s="171">
        <v>2</v>
      </c>
      <c r="I76" s="256">
        <f t="shared" ref="I76:I82" si="23">SUM(F76:H76)</f>
        <v>2</v>
      </c>
      <c r="J76" s="171">
        <v>14</v>
      </c>
      <c r="K76" s="171">
        <v>0</v>
      </c>
      <c r="L76" s="171">
        <v>1</v>
      </c>
      <c r="M76" s="256">
        <f t="shared" ref="M76:M82" si="24">SUM(J76:L76)</f>
        <v>15</v>
      </c>
      <c r="N76" s="171">
        <v>0</v>
      </c>
      <c r="O76" s="171">
        <v>4</v>
      </c>
      <c r="P76" s="171">
        <v>11</v>
      </c>
      <c r="Q76" s="256">
        <f t="shared" ref="Q76:Q82" si="25">SUM(N76:P76)</f>
        <v>15</v>
      </c>
      <c r="R76" s="256">
        <f>Q76+M76+I76+E76</f>
        <v>38</v>
      </c>
      <c r="S76" s="69"/>
    </row>
    <row r="77" spans="1:19" ht="13.5" thickBot="1">
      <c r="A77" s="182" t="s">
        <v>123</v>
      </c>
      <c r="B77" s="566">
        <v>0</v>
      </c>
      <c r="C77" s="566">
        <v>0</v>
      </c>
      <c r="D77" s="566">
        <v>0</v>
      </c>
      <c r="E77" s="256">
        <f t="shared" si="22"/>
        <v>0</v>
      </c>
      <c r="F77" s="172">
        <v>0</v>
      </c>
      <c r="G77" s="172">
        <v>0</v>
      </c>
      <c r="H77" s="172">
        <v>0</v>
      </c>
      <c r="I77" s="256">
        <f t="shared" si="23"/>
        <v>0</v>
      </c>
      <c r="J77" s="172">
        <v>0</v>
      </c>
      <c r="K77" s="172">
        <v>0</v>
      </c>
      <c r="L77" s="172">
        <v>0</v>
      </c>
      <c r="M77" s="256">
        <f t="shared" si="24"/>
        <v>0</v>
      </c>
      <c r="N77" s="172">
        <v>0</v>
      </c>
      <c r="O77" s="172">
        <v>0</v>
      </c>
      <c r="P77" s="172">
        <v>0</v>
      </c>
      <c r="Q77" s="256">
        <f t="shared" si="25"/>
        <v>0</v>
      </c>
      <c r="R77" s="256">
        <f>Q77+M77+I77+E77</f>
        <v>0</v>
      </c>
      <c r="S77" s="69"/>
    </row>
    <row r="78" spans="1:19" ht="14.25" thickTop="1" thickBot="1">
      <c r="A78" s="182" t="s">
        <v>124</v>
      </c>
      <c r="B78" s="566">
        <v>3</v>
      </c>
      <c r="C78" s="566">
        <v>1</v>
      </c>
      <c r="D78" s="566">
        <v>2</v>
      </c>
      <c r="E78" s="256">
        <f t="shared" si="22"/>
        <v>6</v>
      </c>
      <c r="F78" s="172">
        <v>0</v>
      </c>
      <c r="G78" s="172">
        <v>0</v>
      </c>
      <c r="H78" s="172">
        <v>0</v>
      </c>
      <c r="I78" s="256">
        <f t="shared" si="23"/>
        <v>0</v>
      </c>
      <c r="J78" s="172">
        <v>0</v>
      </c>
      <c r="K78" s="172">
        <v>0</v>
      </c>
      <c r="L78" s="172">
        <v>1</v>
      </c>
      <c r="M78" s="256">
        <f t="shared" si="24"/>
        <v>1</v>
      </c>
      <c r="N78" s="172">
        <v>0</v>
      </c>
      <c r="O78" s="172">
        <v>0</v>
      </c>
      <c r="P78" s="172">
        <v>2</v>
      </c>
      <c r="Q78" s="256">
        <f t="shared" si="25"/>
        <v>2</v>
      </c>
      <c r="R78" s="256">
        <f>Q78+M78+I78+E78</f>
        <v>9</v>
      </c>
      <c r="S78" s="69"/>
    </row>
    <row r="79" spans="1:19" ht="13.5" thickTop="1">
      <c r="A79" s="251" t="s">
        <v>125</v>
      </c>
      <c r="B79" s="569">
        <v>10</v>
      </c>
      <c r="C79" s="569">
        <v>8</v>
      </c>
      <c r="D79" s="569">
        <v>19</v>
      </c>
      <c r="E79" s="168"/>
      <c r="F79" s="191">
        <v>18</v>
      </c>
      <c r="G79" s="191">
        <v>15</v>
      </c>
      <c r="H79" s="254">
        <v>16</v>
      </c>
      <c r="I79" s="168"/>
      <c r="J79" s="191">
        <v>26</v>
      </c>
      <c r="K79" s="191">
        <v>20</v>
      </c>
      <c r="L79" s="191">
        <v>14</v>
      </c>
      <c r="M79" s="168"/>
      <c r="N79" s="191">
        <v>17</v>
      </c>
      <c r="O79" s="191">
        <v>18</v>
      </c>
      <c r="P79" s="191">
        <v>16</v>
      </c>
      <c r="Q79" s="168"/>
      <c r="R79" s="168"/>
      <c r="S79" s="69"/>
    </row>
    <row r="80" spans="1:19">
      <c r="A80" s="252" t="s">
        <v>126</v>
      </c>
      <c r="B80" s="570">
        <v>28</v>
      </c>
      <c r="C80" s="570">
        <v>19</v>
      </c>
      <c r="D80" s="570">
        <v>13</v>
      </c>
      <c r="E80" s="256">
        <f t="shared" si="22"/>
        <v>60</v>
      </c>
      <c r="F80" s="192">
        <v>13</v>
      </c>
      <c r="G80" s="192">
        <v>11</v>
      </c>
      <c r="H80" s="255">
        <v>18</v>
      </c>
      <c r="I80" s="256">
        <f t="shared" si="23"/>
        <v>42</v>
      </c>
      <c r="J80" s="192">
        <v>21</v>
      </c>
      <c r="K80" s="192">
        <v>24</v>
      </c>
      <c r="L80" s="192">
        <v>19</v>
      </c>
      <c r="M80" s="256">
        <f t="shared" si="24"/>
        <v>64</v>
      </c>
      <c r="N80" s="192">
        <v>31</v>
      </c>
      <c r="O80" s="192">
        <v>21</v>
      </c>
      <c r="P80" s="192">
        <v>23</v>
      </c>
      <c r="Q80" s="256">
        <f t="shared" si="25"/>
        <v>75</v>
      </c>
      <c r="R80" s="256">
        <f>Q80+M80+I80+E80</f>
        <v>241</v>
      </c>
      <c r="S80" s="69"/>
    </row>
    <row r="81" spans="1:19">
      <c r="A81" s="252" t="s">
        <v>127</v>
      </c>
      <c r="B81" s="570">
        <v>7</v>
      </c>
      <c r="C81" s="561">
        <v>9</v>
      </c>
      <c r="D81" s="563">
        <v>3</v>
      </c>
      <c r="E81" s="256">
        <f t="shared" si="22"/>
        <v>19</v>
      </c>
      <c r="F81" s="192">
        <v>4</v>
      </c>
      <c r="G81" s="192">
        <v>5</v>
      </c>
      <c r="H81" s="255">
        <v>6</v>
      </c>
      <c r="I81" s="256">
        <f t="shared" si="23"/>
        <v>15</v>
      </c>
      <c r="J81" s="192">
        <v>4</v>
      </c>
      <c r="K81" s="192">
        <v>8</v>
      </c>
      <c r="L81" s="192">
        <v>15</v>
      </c>
      <c r="M81" s="256">
        <f t="shared" si="24"/>
        <v>27</v>
      </c>
      <c r="N81" s="192">
        <v>13</v>
      </c>
      <c r="O81" s="192">
        <v>12</v>
      </c>
      <c r="P81" s="192">
        <v>9</v>
      </c>
      <c r="Q81" s="256">
        <f t="shared" si="25"/>
        <v>34</v>
      </c>
      <c r="R81" s="256">
        <f>Q81+M81+I81+E81</f>
        <v>95</v>
      </c>
      <c r="S81" s="69"/>
    </row>
    <row r="82" spans="1:19">
      <c r="A82" s="252" t="s">
        <v>128</v>
      </c>
      <c r="B82" s="570">
        <v>26</v>
      </c>
      <c r="C82" s="561">
        <v>8</v>
      </c>
      <c r="D82" s="563">
        <v>5</v>
      </c>
      <c r="E82" s="256">
        <f t="shared" si="22"/>
        <v>39</v>
      </c>
      <c r="F82" s="192">
        <v>9</v>
      </c>
      <c r="G82" s="192">
        <v>11</v>
      </c>
      <c r="H82" s="255">
        <v>12</v>
      </c>
      <c r="I82" s="256">
        <f t="shared" si="23"/>
        <v>32</v>
      </c>
      <c r="J82" s="192">
        <v>9</v>
      </c>
      <c r="K82" s="192">
        <v>26</v>
      </c>
      <c r="L82" s="192">
        <v>10</v>
      </c>
      <c r="M82" s="256">
        <f t="shared" si="24"/>
        <v>45</v>
      </c>
      <c r="N82" s="192">
        <v>20</v>
      </c>
      <c r="O82" s="192">
        <v>12</v>
      </c>
      <c r="P82" s="192">
        <v>16</v>
      </c>
      <c r="Q82" s="256">
        <f t="shared" si="25"/>
        <v>48</v>
      </c>
      <c r="R82" s="256">
        <f>Q82+M82+I82+E82</f>
        <v>164</v>
      </c>
      <c r="S82" s="169">
        <f>R82/D84</f>
        <v>1</v>
      </c>
    </row>
    <row r="83" spans="1:19" ht="13.5" thickBot="1">
      <c r="A83" s="253" t="s">
        <v>129</v>
      </c>
      <c r="B83" s="571">
        <v>4</v>
      </c>
      <c r="C83" s="560">
        <v>7</v>
      </c>
      <c r="D83" s="562">
        <v>7</v>
      </c>
      <c r="E83" s="262"/>
      <c r="F83" s="194">
        <v>6</v>
      </c>
      <c r="G83" s="194">
        <v>5</v>
      </c>
      <c r="H83" s="200">
        <v>4</v>
      </c>
      <c r="I83" s="262"/>
      <c r="J83" s="194">
        <v>4</v>
      </c>
      <c r="K83" s="194">
        <v>4</v>
      </c>
      <c r="L83" s="194">
        <v>4</v>
      </c>
      <c r="M83" s="262"/>
      <c r="N83" s="194">
        <v>2</v>
      </c>
      <c r="O83" s="194">
        <v>1</v>
      </c>
      <c r="P83" s="194">
        <v>4</v>
      </c>
      <c r="Q83" s="262"/>
      <c r="R83" s="262"/>
      <c r="S83" s="169">
        <f>R83/D84</f>
        <v>0</v>
      </c>
    </row>
    <row r="84" spans="1:19" ht="13.5" thickTop="1">
      <c r="A84"/>
      <c r="B84" s="69"/>
      <c r="C84" s="69"/>
      <c r="D84" s="185">
        <f>SUM(R82:R83)</f>
        <v>164</v>
      </c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</row>
  </sheetData>
  <mergeCells count="28">
    <mergeCell ref="N1:P1"/>
    <mergeCell ref="N40:Q40"/>
    <mergeCell ref="J1:L1"/>
    <mergeCell ref="F1:H1"/>
    <mergeCell ref="B1:D1"/>
    <mergeCell ref="B40:E40"/>
    <mergeCell ref="J40:M40"/>
    <mergeCell ref="F40:I40"/>
    <mergeCell ref="F41:I41"/>
    <mergeCell ref="F42:I42"/>
    <mergeCell ref="B42:E42"/>
    <mergeCell ref="N41:Q41"/>
    <mergeCell ref="N42:Q42"/>
    <mergeCell ref="B41:E41"/>
    <mergeCell ref="J41:M41"/>
    <mergeCell ref="J42:M42"/>
    <mergeCell ref="J45:M45"/>
    <mergeCell ref="J43:M43"/>
    <mergeCell ref="J44:M44"/>
    <mergeCell ref="N44:Q44"/>
    <mergeCell ref="N43:Q43"/>
    <mergeCell ref="N45:Q45"/>
    <mergeCell ref="F43:I43"/>
    <mergeCell ref="F44:I44"/>
    <mergeCell ref="B43:E43"/>
    <mergeCell ref="B44:E44"/>
    <mergeCell ref="F45:I45"/>
    <mergeCell ref="B45:E45"/>
  </mergeCells>
  <phoneticPr fontId="0" type="noConversion"/>
  <pageMargins left="0.75" right="0.75" top="1" bottom="1" header="0.5" footer="0.5"/>
  <pageSetup paperSize="9" orientation="landscape" horizontalDpi="4294967294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58"/>
  <sheetViews>
    <sheetView zoomScale="85" zoomScaleNormal="85" workbookViewId="0">
      <selection activeCell="B38" sqref="B38:D57"/>
    </sheetView>
  </sheetViews>
  <sheetFormatPr defaultRowHeight="12.75"/>
  <cols>
    <col min="1" max="1" width="39" style="149" customWidth="1"/>
    <col min="2" max="2" width="12.140625" style="150" customWidth="1"/>
    <col min="3" max="3" width="13" style="150" customWidth="1"/>
    <col min="4" max="5" width="12.7109375" style="150" customWidth="1"/>
    <col min="6" max="8" width="13.140625" style="150" customWidth="1"/>
    <col min="9" max="9" width="12.28515625" style="150" customWidth="1"/>
    <col min="10" max="10" width="11.28515625" style="150" customWidth="1"/>
    <col min="11" max="11" width="13" style="150" customWidth="1"/>
    <col min="12" max="12" width="15" style="150" customWidth="1"/>
    <col min="13" max="13" width="13.85546875" style="150" customWidth="1"/>
    <col min="14" max="17" width="12" style="150" customWidth="1"/>
    <col min="18" max="18" width="13" style="150" customWidth="1"/>
    <col min="19" max="19" width="9.140625" style="150"/>
    <col min="20" max="25" width="7.42578125" style="161" customWidth="1"/>
    <col min="26" max="27" width="9.140625" style="152"/>
    <col min="28" max="16384" width="9.140625" style="13"/>
  </cols>
  <sheetData>
    <row r="1" spans="1:27" ht="15" customHeight="1">
      <c r="A1" s="32" t="s">
        <v>84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584" t="s">
        <v>108</v>
      </c>
      <c r="O1" s="585"/>
      <c r="P1" s="585"/>
      <c r="Q1" s="585"/>
      <c r="R1" s="210"/>
      <c r="T1" s="151"/>
      <c r="U1" s="151"/>
      <c r="V1" s="151"/>
      <c r="W1" s="151"/>
      <c r="X1" s="151"/>
      <c r="Y1" s="151"/>
    </row>
    <row r="2" spans="1:27" ht="15" customHeight="1">
      <c r="A2" s="113" t="s">
        <v>0</v>
      </c>
      <c r="B2" s="114" t="s">
        <v>10</v>
      </c>
      <c r="C2" s="114" t="s">
        <v>11</v>
      </c>
      <c r="D2" s="114" t="s">
        <v>12</v>
      </c>
      <c r="E2" s="114"/>
      <c r="F2" s="114" t="s">
        <v>7</v>
      </c>
      <c r="G2" s="114" t="s">
        <v>8</v>
      </c>
      <c r="H2" s="114" t="s">
        <v>9</v>
      </c>
      <c r="I2" s="114"/>
      <c r="J2" s="114" t="s">
        <v>4</v>
      </c>
      <c r="K2" s="114" t="s">
        <v>5</v>
      </c>
      <c r="L2" s="114" t="s">
        <v>6</v>
      </c>
      <c r="M2" s="114"/>
      <c r="N2" s="114" t="s">
        <v>1</v>
      </c>
      <c r="O2" s="114" t="s">
        <v>2</v>
      </c>
      <c r="P2" s="114" t="s">
        <v>3</v>
      </c>
      <c r="Q2" s="217" t="s">
        <v>152</v>
      </c>
      <c r="R2" s="114" t="s">
        <v>13</v>
      </c>
      <c r="S2" s="153"/>
      <c r="T2" s="152"/>
      <c r="U2" s="152"/>
      <c r="V2" s="152"/>
      <c r="W2" s="152"/>
      <c r="X2" s="152"/>
      <c r="Y2" s="152"/>
    </row>
    <row r="3" spans="1:27" ht="15" customHeight="1">
      <c r="A3" s="114"/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53"/>
      <c r="T3" s="152"/>
      <c r="U3" s="152"/>
      <c r="V3" s="152"/>
      <c r="W3" s="152"/>
      <c r="X3" s="152"/>
      <c r="Y3" s="152"/>
    </row>
    <row r="4" spans="1:27" ht="15" customHeight="1">
      <c r="A4" s="115" t="s">
        <v>47</v>
      </c>
      <c r="B4" s="163">
        <f>'Target 2017'!L4</f>
        <v>31666.666666666668</v>
      </c>
      <c r="C4" s="163">
        <f>'Target 2017'!M4</f>
        <v>35000.000000000007</v>
      </c>
      <c r="D4" s="163">
        <f>'Target 2017'!N4</f>
        <v>33333.333333333336</v>
      </c>
      <c r="E4" s="163"/>
      <c r="F4" s="163">
        <f>'Target 2017'!I4</f>
        <v>31166.666666666664</v>
      </c>
      <c r="G4" s="163">
        <f>'Target 2017'!J4</f>
        <v>36666.666666666664</v>
      </c>
      <c r="H4" s="163">
        <f>'Target 2017'!K4</f>
        <v>42166.666666666664</v>
      </c>
      <c r="I4" s="446">
        <f>SUM(F4:H4)</f>
        <v>110000</v>
      </c>
      <c r="J4" s="163">
        <f>'Target 2017'!F4</f>
        <v>31166.666666666664</v>
      </c>
      <c r="K4" s="163">
        <f>'Target 2017'!G4</f>
        <v>36666.666666666664</v>
      </c>
      <c r="L4" s="163">
        <f>'Target 2017'!H4</f>
        <v>42166.666666666664</v>
      </c>
      <c r="M4" s="446">
        <f>SUM(J4:L4)</f>
        <v>110000</v>
      </c>
      <c r="N4" s="163">
        <f>'Target 2017'!C4</f>
        <v>30000.000000000004</v>
      </c>
      <c r="O4" s="163">
        <f>'Target 2017'!D4</f>
        <v>33333.333333333336</v>
      </c>
      <c r="P4" s="163">
        <f>'Target 2017'!E4</f>
        <v>36666.666666666672</v>
      </c>
      <c r="Q4" s="218">
        <f>SUM(N4:P4)</f>
        <v>100000.00000000001</v>
      </c>
      <c r="R4" s="116">
        <f>SUM(N4:Q4)</f>
        <v>200000.00000000003</v>
      </c>
      <c r="S4" s="153"/>
      <c r="T4" s="152"/>
      <c r="U4" s="152"/>
      <c r="V4" s="152"/>
      <c r="W4" s="152"/>
      <c r="X4" s="152"/>
      <c r="Y4" s="152"/>
    </row>
    <row r="5" spans="1:27" ht="15" customHeight="1">
      <c r="A5" s="117" t="s">
        <v>46</v>
      </c>
      <c r="B5" s="90">
        <f>B4</f>
        <v>31666.666666666668</v>
      </c>
      <c r="C5" s="90">
        <f>C4+B5</f>
        <v>66666.666666666672</v>
      </c>
      <c r="D5" s="90">
        <f>D4+C5</f>
        <v>100000</v>
      </c>
      <c r="E5" s="90"/>
      <c r="F5" s="90">
        <f>F4</f>
        <v>31166.666666666664</v>
      </c>
      <c r="G5" s="90">
        <f>G4+F5</f>
        <v>67833.333333333328</v>
      </c>
      <c r="H5" s="90">
        <f>H4+G5</f>
        <v>110000</v>
      </c>
      <c r="I5" s="90"/>
      <c r="J5" s="90">
        <f>J4</f>
        <v>31166.666666666664</v>
      </c>
      <c r="K5" s="90">
        <f>K4+J5</f>
        <v>67833.333333333328</v>
      </c>
      <c r="L5" s="90">
        <f>L4+K5</f>
        <v>110000</v>
      </c>
      <c r="M5" s="90"/>
      <c r="N5" s="90">
        <f>N4</f>
        <v>30000.000000000004</v>
      </c>
      <c r="O5" s="90">
        <f>O4+N5</f>
        <v>63333.333333333343</v>
      </c>
      <c r="P5" s="90">
        <f>P4+O5</f>
        <v>100000.00000000001</v>
      </c>
      <c r="Q5" s="90"/>
      <c r="R5" s="118"/>
      <c r="S5" s="153"/>
      <c r="T5" s="152"/>
      <c r="U5" s="152"/>
      <c r="V5" s="152"/>
      <c r="W5" s="152"/>
      <c r="X5" s="152"/>
      <c r="Y5" s="152"/>
    </row>
    <row r="6" spans="1:27" ht="15" customHeight="1">
      <c r="A6" s="119" t="s">
        <v>48</v>
      </c>
      <c r="B6" s="29">
        <f>SUMIF(X!A:A,$A$1,X!I:I)</f>
        <v>40498.259700000002</v>
      </c>
      <c r="C6" s="29">
        <f>SUMIF(XI!A:A,$A$1,XI!I:I)</f>
        <v>12335.6666</v>
      </c>
      <c r="D6" s="29">
        <f>SUMIF(XII!A:A,$A$1,XII!I:I)</f>
        <v>64654.914100000002</v>
      </c>
      <c r="E6" s="29"/>
      <c r="F6" s="29">
        <f>SUMIF(VII!A:A,$A$1,VII!I:I)</f>
        <v>37868.170100000003</v>
      </c>
      <c r="G6" s="29">
        <f>SUMIF(VIII!A:A,$A$1,VIII!I:I)</f>
        <v>19068.265599999999</v>
      </c>
      <c r="H6" s="29">
        <f>SUMIF(IX!A:A,$A$1,IX!I:I)</f>
        <v>32385.378400000001</v>
      </c>
      <c r="I6" s="29"/>
      <c r="J6" s="29">
        <f>SUMIF(IV!A:A,$A$1,IV!I:I)</f>
        <v>28997.443500000001</v>
      </c>
      <c r="K6" s="29">
        <f>SUMIF(V!A:A,$A$1,V!I:I)</f>
        <v>54801.4712</v>
      </c>
      <c r="L6" s="29">
        <f>SUMIF(VI!A:A,$A$1,VI!I:I)</f>
        <v>40637.181499999999</v>
      </c>
      <c r="M6" s="29"/>
      <c r="N6" s="91">
        <f>SUMIF(I!A:A,$A$1,I!I:I)</f>
        <v>22982.051899999999</v>
      </c>
      <c r="O6" s="266">
        <f>SUMIF(II!A:A,$A$1,II!I:I)</f>
        <v>31821.017500000002</v>
      </c>
      <c r="P6" s="266">
        <f>SUMIF(III!A:A,$A$1,III!I:I)</f>
        <v>73100.850999999995</v>
      </c>
      <c r="Q6" s="218">
        <f>SUM(N6:P6)</f>
        <v>127903.9204</v>
      </c>
      <c r="R6" s="120">
        <f>N6+O6+P6+J6+K6+L6+F6+G6+H6+B6+C6+D6</f>
        <v>459150.67109999998</v>
      </c>
      <c r="S6" s="153"/>
      <c r="T6" s="152"/>
      <c r="U6" s="152"/>
      <c r="V6" s="152"/>
      <c r="W6" s="152"/>
      <c r="X6" s="152"/>
      <c r="Y6" s="152"/>
    </row>
    <row r="7" spans="1:27" ht="15" customHeight="1">
      <c r="A7" s="117" t="s">
        <v>49</v>
      </c>
      <c r="B7" s="90">
        <f>B6</f>
        <v>40498.259700000002</v>
      </c>
      <c r="C7" s="90">
        <f>C6+B7</f>
        <v>52833.926300000006</v>
      </c>
      <c r="D7" s="90">
        <f>D6+C7</f>
        <v>117488.84040000002</v>
      </c>
      <c r="E7" s="90"/>
      <c r="F7" s="90">
        <f>F6</f>
        <v>37868.170100000003</v>
      </c>
      <c r="G7" s="90">
        <f>G6+F7</f>
        <v>56936.435700000002</v>
      </c>
      <c r="H7" s="90">
        <f>H6+G7</f>
        <v>89321.814100000003</v>
      </c>
      <c r="I7" s="90"/>
      <c r="J7" s="90">
        <f>J6</f>
        <v>28997.443500000001</v>
      </c>
      <c r="K7" s="90">
        <f>K6+J7</f>
        <v>83798.914699999994</v>
      </c>
      <c r="L7" s="90">
        <f>L6+K7</f>
        <v>124436.0962</v>
      </c>
      <c r="M7" s="90"/>
      <c r="N7" s="90">
        <f>N6</f>
        <v>22982.051899999999</v>
      </c>
      <c r="O7" s="90">
        <f>O6+N7</f>
        <v>54803.0694</v>
      </c>
      <c r="P7" s="90">
        <f>P6+O7</f>
        <v>127903.9204</v>
      </c>
      <c r="Q7" s="90"/>
      <c r="R7" s="118"/>
      <c r="S7" s="153"/>
      <c r="T7" s="152"/>
      <c r="U7" s="152"/>
      <c r="V7" s="152"/>
      <c r="W7" s="152"/>
      <c r="X7" s="152"/>
      <c r="Y7" s="152"/>
    </row>
    <row r="8" spans="1:27" ht="15" customHeight="1">
      <c r="A8" s="121" t="s">
        <v>50</v>
      </c>
      <c r="B8" s="92">
        <f t="shared" ref="B8:D9" si="0">B6/B4</f>
        <v>1.2788924115789473</v>
      </c>
      <c r="C8" s="92">
        <f t="shared" si="0"/>
        <v>0.35244761714285711</v>
      </c>
      <c r="D8" s="92">
        <f t="shared" si="0"/>
        <v>1.9396474229999998</v>
      </c>
      <c r="E8" s="92"/>
      <c r="F8" s="92">
        <f t="shared" ref="F8:H9" si="1">F6/F4</f>
        <v>1.2150215005347595</v>
      </c>
      <c r="G8" s="92">
        <f t="shared" si="1"/>
        <v>0.52004360727272725</v>
      </c>
      <c r="H8" s="92">
        <f t="shared" si="1"/>
        <v>0.76803268932806334</v>
      </c>
      <c r="I8" s="92"/>
      <c r="J8" s="92">
        <f t="shared" ref="J8:L9" si="2">J6/J4</f>
        <v>0.93039925668449208</v>
      </c>
      <c r="K8" s="92">
        <f t="shared" si="2"/>
        <v>1.4945855781818183</v>
      </c>
      <c r="L8" s="92">
        <f t="shared" si="2"/>
        <v>0.96372762450592886</v>
      </c>
      <c r="M8" s="92"/>
      <c r="N8" s="92">
        <f t="shared" ref="N8:P9" si="3">N6/N4</f>
        <v>0.76606839666666648</v>
      </c>
      <c r="O8" s="92">
        <f t="shared" si="3"/>
        <v>0.95463052500000001</v>
      </c>
      <c r="P8" s="92">
        <f t="shared" si="3"/>
        <v>1.9936595727272723</v>
      </c>
      <c r="Q8" s="92"/>
      <c r="R8" s="122"/>
      <c r="S8" s="153"/>
      <c r="T8" s="152"/>
      <c r="U8" s="152"/>
      <c r="V8" s="152"/>
      <c r="W8" s="152"/>
      <c r="X8" s="152"/>
      <c r="Y8" s="152"/>
    </row>
    <row r="9" spans="1:27" s="15" customFormat="1" ht="15" customHeight="1">
      <c r="A9" s="121" t="s">
        <v>51</v>
      </c>
      <c r="B9" s="92">
        <f t="shared" si="0"/>
        <v>1.2788924115789473</v>
      </c>
      <c r="C9" s="92">
        <f t="shared" si="0"/>
        <v>0.79250889450000006</v>
      </c>
      <c r="D9" s="92">
        <f t="shared" si="0"/>
        <v>1.1748884040000001</v>
      </c>
      <c r="E9" s="92"/>
      <c r="F9" s="92">
        <f t="shared" si="1"/>
        <v>1.2150215005347595</v>
      </c>
      <c r="G9" s="92">
        <f t="shared" si="1"/>
        <v>0.83935777444717452</v>
      </c>
      <c r="H9" s="92">
        <f t="shared" si="1"/>
        <v>0.81201649181818181</v>
      </c>
      <c r="I9" s="92"/>
      <c r="J9" s="92">
        <f t="shared" si="2"/>
        <v>0.93039925668449208</v>
      </c>
      <c r="K9" s="92">
        <f t="shared" si="2"/>
        <v>1.2353648358722358</v>
      </c>
      <c r="L9" s="92">
        <f t="shared" si="2"/>
        <v>1.1312372381818181</v>
      </c>
      <c r="M9" s="92"/>
      <c r="N9" s="92">
        <f t="shared" si="3"/>
        <v>0.76606839666666648</v>
      </c>
      <c r="O9" s="92">
        <f t="shared" si="3"/>
        <v>0.86531162210526302</v>
      </c>
      <c r="P9" s="92">
        <f t="shared" si="3"/>
        <v>1.2790392039999998</v>
      </c>
      <c r="Q9" s="92"/>
      <c r="R9" s="123"/>
      <c r="S9" s="154"/>
      <c r="T9" s="155"/>
      <c r="U9" s="155"/>
      <c r="V9" s="155"/>
      <c r="W9" s="155"/>
      <c r="X9" s="155"/>
      <c r="Y9" s="155"/>
      <c r="Z9" s="155"/>
      <c r="AA9" s="155"/>
    </row>
    <row r="10" spans="1:27" s="24" customFormat="1" ht="15" customHeight="1">
      <c r="A10" s="117" t="s">
        <v>59</v>
      </c>
      <c r="B10" s="90">
        <f>B7-B5</f>
        <v>8831.5930333333345</v>
      </c>
      <c r="C10" s="90">
        <f>C7-C5</f>
        <v>-13832.740366666665</v>
      </c>
      <c r="D10" s="90">
        <f>D7-D5</f>
        <v>17488.840400000016</v>
      </c>
      <c r="E10" s="90"/>
      <c r="F10" s="90">
        <f>F7-F5</f>
        <v>6701.5034333333388</v>
      </c>
      <c r="G10" s="90">
        <f>G7-G5</f>
        <v>-10896.897633333327</v>
      </c>
      <c r="H10" s="90">
        <f>H7-H5</f>
        <v>-20678.185899999997</v>
      </c>
      <c r="I10" s="90"/>
      <c r="J10" s="90">
        <f>J7-J5</f>
        <v>-2169.223166666663</v>
      </c>
      <c r="K10" s="90">
        <f>K7-K5</f>
        <v>15965.581366666665</v>
      </c>
      <c r="L10" s="90">
        <f>L7-L5</f>
        <v>14436.0962</v>
      </c>
      <c r="M10" s="90"/>
      <c r="N10" s="90">
        <f>N7-N5</f>
        <v>-7017.9481000000051</v>
      </c>
      <c r="O10" s="90">
        <f>O7-O5</f>
        <v>-8530.2639333333427</v>
      </c>
      <c r="P10" s="90">
        <f>P7-P5</f>
        <v>27903.920399999988</v>
      </c>
      <c r="Q10" s="90"/>
      <c r="R10" s="124"/>
      <c r="S10" s="156"/>
      <c r="T10" s="157"/>
      <c r="U10" s="157"/>
      <c r="V10" s="157"/>
      <c r="W10" s="157"/>
      <c r="X10" s="157"/>
      <c r="Y10" s="157"/>
      <c r="Z10" s="157"/>
      <c r="AA10" s="157"/>
    </row>
    <row r="11" spans="1:27" ht="15" customHeight="1">
      <c r="A11" s="115" t="s">
        <v>52</v>
      </c>
      <c r="B11" s="163">
        <f>'Target 2017'!L14</f>
        <v>82333.333333333328</v>
      </c>
      <c r="C11" s="163">
        <f>'Target 2017'!M14</f>
        <v>91000.000000000015</v>
      </c>
      <c r="D11" s="163">
        <f>'Target 2017'!N14</f>
        <v>86666.666666666672</v>
      </c>
      <c r="E11" s="163"/>
      <c r="F11" s="163">
        <f>'Target 2017'!I14</f>
        <v>73666.666666666672</v>
      </c>
      <c r="G11" s="163">
        <f>'Target 2017'!J14</f>
        <v>86666.666666666672</v>
      </c>
      <c r="H11" s="163">
        <f>'Target 2017'!K14</f>
        <v>99666.666666666672</v>
      </c>
      <c r="I11" s="163">
        <f>SUM(F11:H11)</f>
        <v>260000</v>
      </c>
      <c r="J11" s="163">
        <f>'Target 2017'!F14</f>
        <v>73666.666666666672</v>
      </c>
      <c r="K11" s="163">
        <f>'Target 2017'!G14</f>
        <v>86666.666666666672</v>
      </c>
      <c r="L11" s="163">
        <f>'Target 2017'!H14</f>
        <v>99666.666666666672</v>
      </c>
      <c r="M11" s="163"/>
      <c r="N11" s="163">
        <f>'Target 2017'!C14</f>
        <v>72000</v>
      </c>
      <c r="O11" s="163">
        <f>'Target 2017'!D14</f>
        <v>80000</v>
      </c>
      <c r="P11" s="163">
        <f>'Target 2017'!E14</f>
        <v>88000</v>
      </c>
      <c r="Q11" s="218">
        <f>SUM(N11:P11)</f>
        <v>240000</v>
      </c>
      <c r="R11" s="116">
        <f>SUM(N11:Q11)</f>
        <v>480000</v>
      </c>
      <c r="S11" s="153"/>
      <c r="T11" s="152"/>
      <c r="U11" s="152"/>
      <c r="V11" s="152"/>
      <c r="W11" s="152"/>
      <c r="X11" s="152"/>
      <c r="Y11" s="152"/>
    </row>
    <row r="12" spans="1:27" s="21" customFormat="1" ht="15" customHeight="1">
      <c r="A12" s="117" t="s">
        <v>53</v>
      </c>
      <c r="B12" s="90">
        <f>B11</f>
        <v>82333.333333333328</v>
      </c>
      <c r="C12" s="90">
        <f>C11+B12</f>
        <v>173333.33333333334</v>
      </c>
      <c r="D12" s="90">
        <f>D11+C12</f>
        <v>260000</v>
      </c>
      <c r="E12" s="90"/>
      <c r="F12" s="90">
        <f>F11</f>
        <v>73666.666666666672</v>
      </c>
      <c r="G12" s="90">
        <f>G11+F12</f>
        <v>160333.33333333334</v>
      </c>
      <c r="H12" s="90">
        <f>H11+G12</f>
        <v>260000</v>
      </c>
      <c r="I12" s="90"/>
      <c r="J12" s="90">
        <f>J11</f>
        <v>73666.666666666672</v>
      </c>
      <c r="K12" s="90">
        <f>K11+J12</f>
        <v>160333.33333333334</v>
      </c>
      <c r="L12" s="90">
        <f>L11+K12</f>
        <v>260000</v>
      </c>
      <c r="M12" s="90"/>
      <c r="N12" s="90">
        <f>N11</f>
        <v>72000</v>
      </c>
      <c r="O12" s="90">
        <f>O11+N12</f>
        <v>152000</v>
      </c>
      <c r="P12" s="90">
        <f>P11+O12</f>
        <v>240000</v>
      </c>
      <c r="Q12" s="90"/>
      <c r="R12" s="122"/>
      <c r="S12" s="153"/>
      <c r="T12" s="153"/>
      <c r="U12" s="153"/>
      <c r="V12" s="153"/>
      <c r="W12" s="153"/>
      <c r="X12" s="153"/>
      <c r="Y12" s="153"/>
      <c r="Z12" s="153"/>
      <c r="AA12" s="153"/>
    </row>
    <row r="13" spans="1:27" ht="15" customHeight="1">
      <c r="A13" s="119" t="s">
        <v>54</v>
      </c>
      <c r="B13" s="29">
        <f>SUMIF(X!A:A,$A$1,X!G:G)</f>
        <v>101206.22</v>
      </c>
      <c r="C13" s="29">
        <f>SUMIF(XI!A:A,$A$1,XI!G:G)</f>
        <v>34580.44</v>
      </c>
      <c r="D13" s="29">
        <f>SUMIF(XII!A:A,$A$1,XII!G:G)</f>
        <v>135213.79689999999</v>
      </c>
      <c r="E13" s="29"/>
      <c r="F13" s="29">
        <f>SUMIF(VII!A:A,$A$1,VII!G:G)</f>
        <v>83205.62</v>
      </c>
      <c r="G13" s="29">
        <f>SUMIF(VIII!A:A,$A$1,VIII!G:G)</f>
        <v>52478.080000000002</v>
      </c>
      <c r="H13" s="29">
        <f>SUMIF(IX!A:A,$A$1,IX!G:G)</f>
        <v>101905.87</v>
      </c>
      <c r="I13" s="29"/>
      <c r="J13" s="29">
        <f>SUMIF(IV!A:A,$A$1,IV!G:G)</f>
        <v>79851.850000000006</v>
      </c>
      <c r="K13" s="29">
        <f>SUMIF(V!A:A,$A$1,V!G:G)</f>
        <v>118999.17</v>
      </c>
      <c r="L13" s="29">
        <f>SUMIF(VI!A:A,$A$1,VI!G:G)</f>
        <v>114819.72</v>
      </c>
      <c r="M13" s="29"/>
      <c r="N13" s="267">
        <f>SUMIF(I!A:A,$A$1,I!G:G)</f>
        <v>45519.79</v>
      </c>
      <c r="O13" s="266">
        <f>SUMIF(II!A:A,$A$1,II!G:G)</f>
        <v>70446.38</v>
      </c>
      <c r="P13" s="266">
        <f>SUMIF(III!A:A,$A$1,III!G:G)</f>
        <v>168125.31</v>
      </c>
      <c r="Q13" s="218">
        <f>SUM(N13:P13)</f>
        <v>284091.48</v>
      </c>
      <c r="R13" s="120">
        <f>SUM(N13:Q13)</f>
        <v>568182.96</v>
      </c>
      <c r="S13" s="153"/>
      <c r="T13" s="152"/>
      <c r="U13" s="152"/>
      <c r="V13" s="152"/>
      <c r="W13" s="152"/>
      <c r="X13" s="152"/>
      <c r="Y13" s="152"/>
    </row>
    <row r="14" spans="1:27" customFormat="1">
      <c r="A14" s="117" t="s">
        <v>55</v>
      </c>
      <c r="B14" s="90">
        <f>B13</f>
        <v>101206.22</v>
      </c>
      <c r="C14" s="90">
        <f>C13+B14</f>
        <v>135786.66</v>
      </c>
      <c r="D14" s="90">
        <f>D13+C14</f>
        <v>271000.45689999999</v>
      </c>
      <c r="E14" s="90"/>
      <c r="F14" s="90">
        <f>F13</f>
        <v>83205.62</v>
      </c>
      <c r="G14" s="90">
        <f>G13+F14</f>
        <v>135683.70000000001</v>
      </c>
      <c r="H14" s="90">
        <f>H13+G14</f>
        <v>237589.57</v>
      </c>
      <c r="I14" s="90"/>
      <c r="J14" s="90">
        <f>J13</f>
        <v>79851.850000000006</v>
      </c>
      <c r="K14" s="90">
        <f>K13+J14</f>
        <v>198851.02000000002</v>
      </c>
      <c r="L14" s="90">
        <f>L13+K14</f>
        <v>313670.74</v>
      </c>
      <c r="M14" s="90"/>
      <c r="N14" s="90">
        <f>N13</f>
        <v>45519.79</v>
      </c>
      <c r="O14" s="90">
        <f>O13+N14</f>
        <v>115966.17000000001</v>
      </c>
      <c r="P14" s="90">
        <f>P13+O14</f>
        <v>284091.48</v>
      </c>
      <c r="Q14" s="90"/>
      <c r="R14" s="118"/>
      <c r="S14" s="158"/>
      <c r="T14" s="158"/>
      <c r="U14" s="158"/>
      <c r="V14" s="158"/>
      <c r="W14" s="158"/>
      <c r="X14" s="158"/>
      <c r="Y14" s="158"/>
      <c r="Z14" s="158"/>
      <c r="AA14" s="158"/>
    </row>
    <row r="15" spans="1:27" s="15" customFormat="1" ht="15" customHeight="1">
      <c r="A15" s="121" t="s">
        <v>56</v>
      </c>
      <c r="B15" s="92">
        <f t="shared" ref="B15:D16" si="4">B13/B11</f>
        <v>1.2292253441295546</v>
      </c>
      <c r="C15" s="92">
        <f t="shared" si="4"/>
        <v>0.38000483516483513</v>
      </c>
      <c r="D15" s="92">
        <f t="shared" si="4"/>
        <v>1.5601591949999998</v>
      </c>
      <c r="E15" s="92"/>
      <c r="F15" s="92">
        <f t="shared" ref="F15:H16" si="5">F13/F11</f>
        <v>1.1294880542986423</v>
      </c>
      <c r="G15" s="92">
        <f t="shared" si="5"/>
        <v>0.60551630769230769</v>
      </c>
      <c r="H15" s="92">
        <f t="shared" si="5"/>
        <v>1.022466923076923</v>
      </c>
      <c r="I15" s="92"/>
      <c r="J15" s="92">
        <f t="shared" ref="J15:L16" si="6">J13/J11</f>
        <v>1.0839617647058823</v>
      </c>
      <c r="K15" s="92">
        <f t="shared" si="6"/>
        <v>1.3730673461538461</v>
      </c>
      <c r="L15" s="92">
        <f t="shared" si="6"/>
        <v>1.1520373244147157</v>
      </c>
      <c r="M15" s="92"/>
      <c r="N15" s="92">
        <f t="shared" ref="N15:P16" si="7">N13/N11</f>
        <v>0.63221930555555561</v>
      </c>
      <c r="O15" s="92">
        <f t="shared" si="7"/>
        <v>0.88057975000000011</v>
      </c>
      <c r="P15" s="92">
        <f t="shared" si="7"/>
        <v>1.9105148863636363</v>
      </c>
      <c r="Q15" s="92"/>
      <c r="R15" s="118"/>
      <c r="S15" s="154"/>
      <c r="T15" s="155"/>
      <c r="U15" s="155"/>
      <c r="V15" s="155"/>
      <c r="W15" s="155"/>
      <c r="X15" s="155"/>
      <c r="Y15" s="155"/>
      <c r="Z15" s="155"/>
      <c r="AA15" s="155"/>
    </row>
    <row r="16" spans="1:27" ht="15" customHeight="1">
      <c r="A16" s="121" t="s">
        <v>57</v>
      </c>
      <c r="B16" s="92">
        <f t="shared" si="4"/>
        <v>1.2292253441295546</v>
      </c>
      <c r="C16" s="92">
        <f t="shared" si="4"/>
        <v>0.78338457692307695</v>
      </c>
      <c r="D16" s="92">
        <f t="shared" si="4"/>
        <v>1.0423094496153846</v>
      </c>
      <c r="E16" s="92"/>
      <c r="F16" s="92">
        <f t="shared" si="5"/>
        <v>1.1294880542986423</v>
      </c>
      <c r="G16" s="92">
        <f t="shared" si="5"/>
        <v>0.84626008316008317</v>
      </c>
      <c r="H16" s="92">
        <f t="shared" si="5"/>
        <v>0.91380603846153852</v>
      </c>
      <c r="I16" s="92"/>
      <c r="J16" s="92">
        <f t="shared" si="6"/>
        <v>1.0839617647058823</v>
      </c>
      <c r="K16" s="92">
        <f t="shared" si="6"/>
        <v>1.240235051975052</v>
      </c>
      <c r="L16" s="92">
        <f t="shared" si="6"/>
        <v>1.206425923076923</v>
      </c>
      <c r="M16" s="92"/>
      <c r="N16" s="92">
        <f t="shared" si="7"/>
        <v>0.63221930555555561</v>
      </c>
      <c r="O16" s="92">
        <f t="shared" si="7"/>
        <v>0.76293532894736849</v>
      </c>
      <c r="P16" s="92">
        <f t="shared" si="7"/>
        <v>1.1837145</v>
      </c>
      <c r="Q16" s="92"/>
      <c r="R16" s="123"/>
      <c r="S16" s="153"/>
      <c r="T16" s="152"/>
      <c r="U16" s="152"/>
      <c r="V16" s="152"/>
      <c r="W16" s="152"/>
      <c r="X16" s="152"/>
      <c r="Y16" s="152"/>
    </row>
    <row r="17" spans="1:27" ht="15" customHeight="1">
      <c r="A17" s="117" t="s">
        <v>58</v>
      </c>
      <c r="B17" s="164">
        <f>B14-B12</f>
        <v>18872.886666666673</v>
      </c>
      <c r="C17" s="164">
        <f>C14-C12</f>
        <v>-37546.67333333334</v>
      </c>
      <c r="D17" s="164">
        <f>D14-D12</f>
        <v>11000.45689999999</v>
      </c>
      <c r="E17" s="164"/>
      <c r="F17" s="164">
        <f>F14-F12</f>
        <v>9538.9533333333238</v>
      </c>
      <c r="G17" s="164">
        <f>G14-G12</f>
        <v>-24649.633333333331</v>
      </c>
      <c r="H17" s="164">
        <f>H14-H12</f>
        <v>-22410.429999999993</v>
      </c>
      <c r="I17" s="164"/>
      <c r="J17" s="164">
        <f>J14-J12</f>
        <v>6185.1833333333343</v>
      </c>
      <c r="K17" s="164">
        <f>K14-K12</f>
        <v>38517.686666666676</v>
      </c>
      <c r="L17" s="164">
        <f>L14-L12</f>
        <v>53670.739999999991</v>
      </c>
      <c r="M17" s="164"/>
      <c r="N17" s="164">
        <f>N14-N12</f>
        <v>-26480.21</v>
      </c>
      <c r="O17" s="164">
        <f>O14-O12</f>
        <v>-36033.829999999987</v>
      </c>
      <c r="P17" s="164">
        <f>P14-P12</f>
        <v>44091.479999999981</v>
      </c>
      <c r="Q17" s="164"/>
      <c r="R17" s="124"/>
      <c r="S17" s="153"/>
      <c r="T17" s="152"/>
      <c r="U17" s="152"/>
      <c r="V17" s="152"/>
      <c r="W17" s="152"/>
      <c r="X17" s="152"/>
      <c r="Y17" s="152"/>
    </row>
    <row r="18" spans="1:27" ht="15" customHeight="1">
      <c r="A18" s="125" t="s">
        <v>43</v>
      </c>
      <c r="B18" s="96">
        <f t="shared" ref="B18:D19" si="8">B6/B13</f>
        <v>0.4001558372598048</v>
      </c>
      <c r="C18" s="96">
        <f t="shared" si="8"/>
        <v>0.35672381843608697</v>
      </c>
      <c r="D18" s="96">
        <f t="shared" si="8"/>
        <v>0.47816802413896276</v>
      </c>
      <c r="E18" s="96"/>
      <c r="F18" s="96">
        <f t="shared" ref="F18:H19" si="9">F6/F13</f>
        <v>0.45511553306134855</v>
      </c>
      <c r="G18" s="96">
        <f t="shared" si="9"/>
        <v>0.3633567691500908</v>
      </c>
      <c r="H18" s="96">
        <f t="shared" si="9"/>
        <v>0.31779698657201988</v>
      </c>
      <c r="I18" s="96"/>
      <c r="J18" s="96">
        <f t="shared" ref="J18:L19" si="10">J6/J13</f>
        <v>0.3631405346275634</v>
      </c>
      <c r="K18" s="96">
        <f t="shared" si="10"/>
        <v>0.46051977673457722</v>
      </c>
      <c r="L18" s="96">
        <f t="shared" si="10"/>
        <v>0.35392162165175112</v>
      </c>
      <c r="M18" s="96"/>
      <c r="N18" s="96">
        <f t="shared" ref="N18:P19" si="11">N6/N13</f>
        <v>0.5048804465046961</v>
      </c>
      <c r="O18" s="96">
        <f t="shared" si="11"/>
        <v>0.45170550282356597</v>
      </c>
      <c r="P18" s="96">
        <f t="shared" si="11"/>
        <v>0.43479979903085381</v>
      </c>
      <c r="Q18" s="96"/>
      <c r="R18" s="126"/>
      <c r="S18" s="153"/>
      <c r="T18" s="152"/>
      <c r="U18" s="152"/>
      <c r="V18" s="152"/>
      <c r="W18" s="152"/>
      <c r="X18" s="152"/>
      <c r="Y18" s="152"/>
    </row>
    <row r="19" spans="1:27" ht="15" customHeight="1">
      <c r="A19" s="125" t="s">
        <v>44</v>
      </c>
      <c r="B19" s="96">
        <f t="shared" si="8"/>
        <v>0.4001558372598048</v>
      </c>
      <c r="C19" s="96">
        <f t="shared" si="8"/>
        <v>0.38909511656005091</v>
      </c>
      <c r="D19" s="96">
        <f t="shared" si="8"/>
        <v>0.43353742552306385</v>
      </c>
      <c r="E19" s="96"/>
      <c r="F19" s="96">
        <f t="shared" si="9"/>
        <v>0.45511553306134855</v>
      </c>
      <c r="G19" s="96">
        <f t="shared" si="9"/>
        <v>0.41962620196825406</v>
      </c>
      <c r="H19" s="96">
        <f t="shared" si="9"/>
        <v>0.37595006422209526</v>
      </c>
      <c r="I19" s="96"/>
      <c r="J19" s="96">
        <f t="shared" si="10"/>
        <v>0.3631405346275634</v>
      </c>
      <c r="K19" s="96">
        <f t="shared" si="10"/>
        <v>0.42141556377231548</v>
      </c>
      <c r="L19" s="96">
        <f t="shared" si="10"/>
        <v>0.39670928885493112</v>
      </c>
      <c r="M19" s="96"/>
      <c r="N19" s="96">
        <f t="shared" si="11"/>
        <v>0.5048804465046961</v>
      </c>
      <c r="O19" s="96">
        <f t="shared" si="11"/>
        <v>0.47257807514036199</v>
      </c>
      <c r="P19" s="96">
        <f t="shared" si="11"/>
        <v>0.45022089504408935</v>
      </c>
      <c r="Q19" s="96"/>
      <c r="R19" s="126"/>
      <c r="S19" s="153"/>
      <c r="T19" s="152"/>
      <c r="U19" s="152"/>
      <c r="V19" s="152"/>
      <c r="W19" s="152"/>
      <c r="X19" s="152"/>
      <c r="Y19" s="152"/>
    </row>
    <row r="20" spans="1:27" s="71" customFormat="1" ht="15" customHeight="1">
      <c r="A20" s="128"/>
      <c r="B20" s="129"/>
      <c r="C20" s="129"/>
      <c r="D20" s="129"/>
      <c r="E20" s="129"/>
      <c r="F20" s="129"/>
      <c r="G20" s="129"/>
      <c r="H20" s="129"/>
      <c r="I20" s="129"/>
      <c r="J20" s="129"/>
      <c r="K20" s="129"/>
      <c r="L20" s="129"/>
      <c r="M20" s="129"/>
      <c r="N20" s="129"/>
      <c r="O20" s="129"/>
      <c r="P20" s="129"/>
      <c r="Q20" s="129"/>
      <c r="R20" s="127"/>
      <c r="S20" s="159"/>
      <c r="T20" s="160"/>
      <c r="U20" s="160"/>
      <c r="V20" s="160"/>
      <c r="W20" s="160"/>
      <c r="X20" s="160"/>
      <c r="Y20" s="160"/>
      <c r="Z20" s="160"/>
      <c r="AA20" s="160"/>
    </row>
    <row r="21" spans="1:27">
      <c r="A21" s="208" t="s">
        <v>27</v>
      </c>
      <c r="B21" s="209"/>
      <c r="C21" s="209"/>
      <c r="D21" s="209"/>
      <c r="E21" s="209"/>
      <c r="F21" s="209"/>
      <c r="G21" s="209"/>
      <c r="H21" s="209"/>
      <c r="I21" s="209"/>
      <c r="J21" s="209"/>
      <c r="K21" s="209"/>
      <c r="L21" s="209"/>
      <c r="M21" s="209"/>
      <c r="N21" s="209"/>
      <c r="O21" s="209"/>
      <c r="P21" s="209"/>
      <c r="Q21" s="209"/>
      <c r="R21" s="210"/>
      <c r="S21" s="153"/>
      <c r="T21" s="152"/>
      <c r="U21" s="152"/>
      <c r="V21" s="152"/>
      <c r="W21" s="152"/>
      <c r="X21" s="152"/>
      <c r="Y21" s="152"/>
    </row>
    <row r="22" spans="1:27">
      <c r="A22" s="148" t="s">
        <v>36</v>
      </c>
      <c r="B22" s="115"/>
      <c r="C22" s="115"/>
      <c r="D22" s="115"/>
      <c r="E22" s="115"/>
      <c r="F22" s="115"/>
      <c r="G22" s="115"/>
      <c r="H22" s="115"/>
      <c r="I22" s="115"/>
      <c r="J22" s="115"/>
      <c r="K22" s="115"/>
      <c r="L22" s="115"/>
      <c r="M22" s="115"/>
      <c r="N22" s="115"/>
      <c r="O22" s="115"/>
      <c r="P22" s="115"/>
      <c r="Q22" s="115"/>
      <c r="R22" s="115">
        <f t="shared" ref="R22:R29" si="12">SUM(N22:Q22)</f>
        <v>0</v>
      </c>
      <c r="S22" s="153"/>
      <c r="T22" s="152"/>
      <c r="U22" s="152"/>
      <c r="V22" s="152"/>
      <c r="W22" s="152"/>
      <c r="X22" s="152"/>
      <c r="Y22" s="152"/>
    </row>
    <row r="23" spans="1:27">
      <c r="A23" s="148" t="s">
        <v>37</v>
      </c>
      <c r="B23" s="115"/>
      <c r="C23" s="115"/>
      <c r="D23" s="115"/>
      <c r="E23" s="115"/>
      <c r="F23" s="115"/>
      <c r="G23" s="115"/>
      <c r="H23" s="115">
        <v>9</v>
      </c>
      <c r="I23" s="115"/>
      <c r="J23" s="115"/>
      <c r="K23" s="115">
        <v>7</v>
      </c>
      <c r="L23" s="115">
        <v>3</v>
      </c>
      <c r="M23" s="115"/>
      <c r="N23" s="115"/>
      <c r="O23" s="115"/>
      <c r="P23" s="115"/>
      <c r="Q23" s="115"/>
      <c r="R23" s="115">
        <f t="shared" si="12"/>
        <v>0</v>
      </c>
      <c r="S23" s="153"/>
      <c r="T23" s="152"/>
      <c r="U23" s="152"/>
      <c r="V23" s="152"/>
      <c r="W23" s="152"/>
      <c r="X23" s="152"/>
      <c r="Y23" s="152"/>
    </row>
    <row r="24" spans="1:27">
      <c r="A24" s="148" t="s">
        <v>81</v>
      </c>
      <c r="B24" s="115"/>
      <c r="C24" s="115"/>
      <c r="D24" s="115"/>
      <c r="E24" s="115"/>
      <c r="F24" s="115"/>
      <c r="G24" s="115"/>
      <c r="H24" s="115"/>
      <c r="I24" s="115"/>
      <c r="J24" s="115"/>
      <c r="K24" s="115"/>
      <c r="L24" s="115"/>
      <c r="M24" s="115"/>
      <c r="N24" s="115"/>
      <c r="O24" s="115"/>
      <c r="P24" s="115"/>
      <c r="Q24" s="115"/>
      <c r="R24" s="115">
        <f t="shared" si="12"/>
        <v>0</v>
      </c>
      <c r="S24" s="153"/>
      <c r="T24" s="152"/>
      <c r="U24" s="152"/>
      <c r="V24" s="152"/>
      <c r="W24" s="152"/>
      <c r="X24" s="152"/>
      <c r="Y24" s="152"/>
    </row>
    <row r="25" spans="1:27">
      <c r="A25" s="148" t="s">
        <v>38</v>
      </c>
      <c r="B25" s="115"/>
      <c r="C25" s="115"/>
      <c r="D25" s="115"/>
      <c r="E25" s="115"/>
      <c r="F25" s="115"/>
      <c r="G25" s="115"/>
      <c r="H25" s="115"/>
      <c r="I25" s="115"/>
      <c r="J25" s="115"/>
      <c r="K25" s="115"/>
      <c r="L25" s="115"/>
      <c r="M25" s="115"/>
      <c r="N25" s="115"/>
      <c r="O25" s="115"/>
      <c r="P25" s="115"/>
      <c r="Q25" s="115"/>
      <c r="R25" s="115">
        <f t="shared" si="12"/>
        <v>0</v>
      </c>
      <c r="S25" s="153"/>
      <c r="T25" s="152"/>
      <c r="U25" s="152"/>
      <c r="V25" s="152"/>
      <c r="W25" s="152"/>
      <c r="X25" s="152"/>
      <c r="Y25" s="152"/>
    </row>
    <row r="26" spans="1:27">
      <c r="A26" s="148" t="s">
        <v>23</v>
      </c>
      <c r="B26" s="115"/>
      <c r="C26" s="115"/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5"/>
      <c r="P26" s="115"/>
      <c r="Q26" s="115"/>
      <c r="R26" s="115">
        <f t="shared" si="12"/>
        <v>0</v>
      </c>
      <c r="S26" s="153"/>
      <c r="T26" s="152"/>
      <c r="U26" s="152"/>
      <c r="V26" s="152"/>
      <c r="W26" s="152"/>
      <c r="X26" s="152"/>
      <c r="Y26" s="152"/>
    </row>
    <row r="27" spans="1:27">
      <c r="A27" s="148" t="s">
        <v>29</v>
      </c>
      <c r="B27" s="115"/>
      <c r="C27" s="115"/>
      <c r="D27" s="115"/>
      <c r="E27" s="115"/>
      <c r="F27" s="115"/>
      <c r="G27" s="115"/>
      <c r="H27" s="115"/>
      <c r="I27" s="115"/>
      <c r="J27" s="115"/>
      <c r="K27" s="115"/>
      <c r="L27" s="115"/>
      <c r="M27" s="115"/>
      <c r="N27" s="115"/>
      <c r="O27" s="115"/>
      <c r="P27" s="115"/>
      <c r="Q27" s="115"/>
      <c r="R27" s="115">
        <f t="shared" si="12"/>
        <v>0</v>
      </c>
      <c r="S27" s="153"/>
      <c r="T27" s="152"/>
      <c r="U27" s="152"/>
      <c r="V27" s="152"/>
      <c r="W27" s="152"/>
      <c r="X27" s="152"/>
      <c r="Y27" s="152"/>
    </row>
    <row r="28" spans="1:27">
      <c r="A28" s="148" t="s">
        <v>24</v>
      </c>
      <c r="B28" s="115"/>
      <c r="C28" s="115"/>
      <c r="D28" s="115"/>
      <c r="E28" s="115"/>
      <c r="F28" s="115"/>
      <c r="G28" s="115"/>
      <c r="H28" s="115"/>
      <c r="I28" s="115"/>
      <c r="J28" s="115"/>
      <c r="K28" s="115"/>
      <c r="L28" s="115"/>
      <c r="M28" s="115"/>
      <c r="N28" s="115"/>
      <c r="O28" s="115"/>
      <c r="P28" s="115"/>
      <c r="Q28" s="115"/>
      <c r="R28" s="115">
        <f t="shared" si="12"/>
        <v>0</v>
      </c>
      <c r="S28" s="153"/>
      <c r="T28" s="152"/>
      <c r="U28" s="152"/>
      <c r="V28" s="152"/>
      <c r="W28" s="152"/>
      <c r="X28" s="152"/>
      <c r="Y28" s="152"/>
    </row>
    <row r="29" spans="1:27">
      <c r="A29" s="148" t="s">
        <v>28</v>
      </c>
      <c r="B29" s="115"/>
      <c r="C29" s="115"/>
      <c r="D29" s="115"/>
      <c r="E29" s="115"/>
      <c r="F29" s="115"/>
      <c r="G29" s="115"/>
      <c r="H29" s="115"/>
      <c r="I29" s="115"/>
      <c r="J29" s="115"/>
      <c r="K29" s="115"/>
      <c r="L29" s="115"/>
      <c r="M29" s="115"/>
      <c r="N29" s="115"/>
      <c r="O29" s="115"/>
      <c r="P29" s="115"/>
      <c r="Q29" s="115"/>
      <c r="R29" s="115">
        <f t="shared" si="12"/>
        <v>0</v>
      </c>
      <c r="S29" s="153"/>
      <c r="T29" s="152"/>
      <c r="U29" s="152"/>
      <c r="V29" s="152"/>
      <c r="W29" s="152"/>
      <c r="X29" s="152"/>
      <c r="Y29" s="152"/>
    </row>
    <row r="30" spans="1:27" ht="15" customHeight="1">
      <c r="A30" s="148" t="s">
        <v>200</v>
      </c>
      <c r="B30" s="115"/>
      <c r="C30" s="115">
        <v>1</v>
      </c>
      <c r="D30" s="115"/>
      <c r="E30" s="224"/>
      <c r="F30" s="115"/>
      <c r="G30" s="115"/>
      <c r="H30" s="115"/>
      <c r="I30" s="224"/>
      <c r="J30" s="115"/>
      <c r="K30" s="115"/>
      <c r="L30" s="115"/>
      <c r="M30" s="224"/>
      <c r="N30" s="115"/>
      <c r="O30" s="115"/>
      <c r="P30" s="115"/>
      <c r="Q30" s="224"/>
      <c r="R30" s="116">
        <f>Q30+M30+I30+E30</f>
        <v>0</v>
      </c>
      <c r="S30" s="21"/>
      <c r="T30" s="13"/>
      <c r="U30" s="13"/>
      <c r="V30" s="13"/>
      <c r="W30" s="13"/>
      <c r="X30" s="13"/>
      <c r="Y30" s="13"/>
      <c r="Z30" s="13"/>
      <c r="AA30" s="13"/>
    </row>
    <row r="31" spans="1:27" ht="15" customHeight="1">
      <c r="A31" s="148" t="s">
        <v>221</v>
      </c>
      <c r="B31" s="115"/>
      <c r="C31" s="115"/>
      <c r="D31" s="115"/>
      <c r="E31" s="224"/>
      <c r="F31" s="115"/>
      <c r="G31" s="115"/>
      <c r="H31" s="115"/>
      <c r="I31" s="224"/>
      <c r="J31" s="115"/>
      <c r="K31" s="115"/>
      <c r="L31" s="115"/>
      <c r="M31" s="224"/>
      <c r="N31" s="115"/>
      <c r="O31" s="115"/>
      <c r="P31" s="115"/>
      <c r="Q31" s="224"/>
      <c r="R31" s="116">
        <f>Q31+M31+I31+E31</f>
        <v>0</v>
      </c>
      <c r="S31" s="21"/>
      <c r="T31" s="13"/>
      <c r="U31" s="13"/>
      <c r="V31" s="13"/>
      <c r="W31" s="13"/>
      <c r="X31" s="13"/>
      <c r="Y31" s="13"/>
      <c r="Z31" s="13"/>
      <c r="AA31" s="13"/>
    </row>
    <row r="32" spans="1:27">
      <c r="A32" s="148" t="s">
        <v>25</v>
      </c>
      <c r="B32" s="115"/>
      <c r="C32" s="115"/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R32" s="115">
        <f>SUM(N32:Q32)</f>
        <v>0</v>
      </c>
    </row>
    <row r="33" spans="1:19">
      <c r="A33" s="148" t="s">
        <v>82</v>
      </c>
      <c r="B33" s="115"/>
      <c r="C33" s="115"/>
      <c r="D33" s="115"/>
      <c r="E33" s="115"/>
      <c r="F33" s="115"/>
      <c r="G33" s="115"/>
      <c r="H33" s="115"/>
      <c r="I33" s="115"/>
      <c r="J33" s="115"/>
      <c r="K33" s="115"/>
      <c r="L33" s="115"/>
      <c r="M33" s="115"/>
      <c r="N33" s="115"/>
      <c r="O33" s="115"/>
      <c r="P33" s="115"/>
      <c r="Q33" s="115"/>
      <c r="R33" s="115">
        <f>SUM(N33:Q33)</f>
        <v>0</v>
      </c>
    </row>
    <row r="34" spans="1:19">
      <c r="A34" s="148" t="s">
        <v>35</v>
      </c>
      <c r="B34" s="115"/>
      <c r="C34" s="115"/>
      <c r="D34" s="115">
        <v>1</v>
      </c>
      <c r="E34" s="115"/>
      <c r="F34" s="115"/>
      <c r="G34" s="115"/>
      <c r="H34" s="115"/>
      <c r="I34" s="115"/>
      <c r="J34" s="115"/>
      <c r="K34" s="115"/>
      <c r="L34" s="115"/>
      <c r="M34" s="115"/>
      <c r="N34" s="115"/>
      <c r="O34" s="115"/>
      <c r="P34" s="115">
        <v>2</v>
      </c>
      <c r="Q34" s="115"/>
      <c r="R34" s="115">
        <f>SUM(N34:Q34)</f>
        <v>2</v>
      </c>
    </row>
    <row r="35" spans="1:19">
      <c r="A35" s="148" t="s">
        <v>26</v>
      </c>
      <c r="B35" s="115">
        <f>SUM(B22:B34)</f>
        <v>0</v>
      </c>
      <c r="C35" s="115">
        <f>SUM(C22:C34)</f>
        <v>1</v>
      </c>
      <c r="D35" s="115">
        <f>SUM(D22:D34)</f>
        <v>1</v>
      </c>
      <c r="E35" s="115"/>
      <c r="F35" s="115">
        <f>SUM(F22:F34)</f>
        <v>0</v>
      </c>
      <c r="G35" s="115">
        <f>SUM(G22:G34)</f>
        <v>0</v>
      </c>
      <c r="H35" s="115">
        <f>SUM(H22:H34)</f>
        <v>9</v>
      </c>
      <c r="I35" s="115"/>
      <c r="J35" s="115">
        <f>SUM(J22:J34)</f>
        <v>0</v>
      </c>
      <c r="K35" s="115">
        <f>SUM(K22:K34)</f>
        <v>7</v>
      </c>
      <c r="L35" s="115">
        <f>SUM(L22:L34)</f>
        <v>3</v>
      </c>
      <c r="M35" s="115"/>
      <c r="N35" s="115">
        <f>SUM(N22:N34)</f>
        <v>0</v>
      </c>
      <c r="O35" s="115">
        <f>SUM(O22:O34)</f>
        <v>0</v>
      </c>
      <c r="P35" s="115">
        <f>SUM(P22:P34)</f>
        <v>2</v>
      </c>
      <c r="Q35" s="115"/>
      <c r="R35" s="115">
        <f>SUM(R22:R34)</f>
        <v>2</v>
      </c>
    </row>
    <row r="36" spans="1:19" ht="13.5" thickBot="1"/>
    <row r="37" spans="1:19" ht="13.5" thickBot="1">
      <c r="A37" s="177" t="s">
        <v>109</v>
      </c>
      <c r="B37" s="178" t="s">
        <v>110</v>
      </c>
      <c r="C37" s="178" t="s">
        <v>11</v>
      </c>
      <c r="D37" s="178" t="s">
        <v>12</v>
      </c>
      <c r="E37" s="178"/>
      <c r="F37" s="178" t="s">
        <v>7</v>
      </c>
      <c r="G37" s="178" t="s">
        <v>8</v>
      </c>
      <c r="H37" s="178" t="s">
        <v>9</v>
      </c>
      <c r="I37" s="178"/>
      <c r="J37" s="178" t="s">
        <v>4</v>
      </c>
      <c r="K37" s="178" t="s">
        <v>5</v>
      </c>
      <c r="L37" s="178" t="s">
        <v>6</v>
      </c>
      <c r="M37" s="178"/>
      <c r="N37" s="178" t="s">
        <v>1</v>
      </c>
      <c r="O37" s="178" t="s">
        <v>2</v>
      </c>
      <c r="P37" s="178" t="s">
        <v>3</v>
      </c>
      <c r="Q37" s="178"/>
      <c r="R37" s="167" t="s">
        <v>111</v>
      </c>
    </row>
    <row r="38" spans="1:19" ht="13.5" thickTop="1">
      <c r="A38" s="179" t="s">
        <v>112</v>
      </c>
      <c r="B38" s="551">
        <v>0</v>
      </c>
      <c r="C38" s="551">
        <v>0</v>
      </c>
      <c r="D38" s="551">
        <v>0</v>
      </c>
      <c r="E38" s="256">
        <f>SUM(B38:D38)</f>
        <v>0</v>
      </c>
      <c r="F38" s="170">
        <v>1</v>
      </c>
      <c r="G38" s="170">
        <v>0</v>
      </c>
      <c r="H38" s="170">
        <v>0</v>
      </c>
      <c r="I38" s="256">
        <f>SUM(F38:H38)</f>
        <v>1</v>
      </c>
      <c r="J38" s="170">
        <v>0</v>
      </c>
      <c r="K38" s="170">
        <v>0</v>
      </c>
      <c r="L38" s="170">
        <v>0</v>
      </c>
      <c r="M38" s="256">
        <f>SUM(J38:L38)</f>
        <v>0</v>
      </c>
      <c r="N38" s="170">
        <v>0</v>
      </c>
      <c r="O38" s="170">
        <v>0</v>
      </c>
      <c r="P38" s="170">
        <v>0</v>
      </c>
      <c r="Q38" s="256">
        <f>SUM(N38:P38)</f>
        <v>0</v>
      </c>
      <c r="R38" s="256">
        <f>Q38+M38+I38+E38</f>
        <v>1</v>
      </c>
      <c r="S38" s="69"/>
    </row>
    <row r="39" spans="1:19">
      <c r="A39" s="180" t="s">
        <v>113</v>
      </c>
      <c r="B39" s="546">
        <v>0</v>
      </c>
      <c r="C39" s="546">
        <v>0</v>
      </c>
      <c r="D39" s="546">
        <v>0</v>
      </c>
      <c r="E39" s="256">
        <f>SUM(B39:D39)</f>
        <v>0</v>
      </c>
      <c r="F39" s="171">
        <v>0</v>
      </c>
      <c r="G39" s="171">
        <v>0</v>
      </c>
      <c r="H39" s="171">
        <v>0</v>
      </c>
      <c r="I39" s="256">
        <f>SUM(F39:H39)</f>
        <v>0</v>
      </c>
      <c r="J39" s="171">
        <v>0</v>
      </c>
      <c r="K39" s="171">
        <v>0</v>
      </c>
      <c r="L39" s="171">
        <v>0</v>
      </c>
      <c r="M39" s="256">
        <f>SUM(J39:L39)</f>
        <v>0</v>
      </c>
      <c r="N39" s="171">
        <v>0</v>
      </c>
      <c r="O39" s="171">
        <v>0</v>
      </c>
      <c r="P39" s="171">
        <v>0</v>
      </c>
      <c r="Q39" s="256">
        <f>SUM(N39:P39)</f>
        <v>0</v>
      </c>
      <c r="R39" s="256">
        <f>Q39+M39+I39+E39</f>
        <v>0</v>
      </c>
      <c r="S39" s="69"/>
    </row>
    <row r="40" spans="1:19">
      <c r="A40" s="180" t="s">
        <v>114</v>
      </c>
      <c r="B40" s="546">
        <v>26</v>
      </c>
      <c r="C40" s="546">
        <v>26</v>
      </c>
      <c r="D40" s="546">
        <v>26</v>
      </c>
      <c r="E40" s="257"/>
      <c r="F40" s="171">
        <v>26</v>
      </c>
      <c r="G40" s="171">
        <v>26</v>
      </c>
      <c r="H40" s="171">
        <v>26</v>
      </c>
      <c r="I40" s="257"/>
      <c r="J40" s="171">
        <v>25</v>
      </c>
      <c r="K40" s="171">
        <v>25</v>
      </c>
      <c r="L40" s="171">
        <v>25</v>
      </c>
      <c r="M40" s="257"/>
      <c r="N40" s="171">
        <v>25</v>
      </c>
      <c r="O40" s="171">
        <v>25</v>
      </c>
      <c r="P40" s="171">
        <v>25</v>
      </c>
      <c r="Q40" s="257"/>
      <c r="R40" s="257"/>
      <c r="S40" s="69"/>
    </row>
    <row r="41" spans="1:19">
      <c r="A41" s="180" t="s">
        <v>115</v>
      </c>
      <c r="B41" s="546">
        <v>3</v>
      </c>
      <c r="C41" s="546">
        <v>2</v>
      </c>
      <c r="D41" s="546">
        <v>0</v>
      </c>
      <c r="E41" s="257"/>
      <c r="F41" s="171">
        <v>3</v>
      </c>
      <c r="G41" s="171">
        <v>3</v>
      </c>
      <c r="H41" s="171">
        <v>3</v>
      </c>
      <c r="I41" s="257"/>
      <c r="J41" s="171">
        <v>3</v>
      </c>
      <c r="K41" s="171">
        <v>3</v>
      </c>
      <c r="L41" s="171">
        <v>3</v>
      </c>
      <c r="M41" s="257"/>
      <c r="N41" s="171">
        <v>4</v>
      </c>
      <c r="O41" s="171">
        <v>4</v>
      </c>
      <c r="P41" s="171">
        <v>4</v>
      </c>
      <c r="Q41" s="257"/>
      <c r="R41" s="257"/>
      <c r="S41" s="69"/>
    </row>
    <row r="42" spans="1:19">
      <c r="A42" s="180" t="s">
        <v>172</v>
      </c>
      <c r="B42" s="546">
        <v>2</v>
      </c>
      <c r="C42" s="546">
        <v>2</v>
      </c>
      <c r="D42" s="546">
        <v>0</v>
      </c>
      <c r="E42" s="257"/>
      <c r="F42" s="171">
        <v>2</v>
      </c>
      <c r="G42" s="171">
        <v>2</v>
      </c>
      <c r="H42" s="171">
        <v>2</v>
      </c>
      <c r="I42" s="257"/>
      <c r="J42" s="171">
        <v>3</v>
      </c>
      <c r="K42" s="171">
        <v>2</v>
      </c>
      <c r="L42" s="171">
        <v>2</v>
      </c>
      <c r="M42" s="257"/>
      <c r="N42" s="171">
        <v>4</v>
      </c>
      <c r="O42" s="171">
        <v>4</v>
      </c>
      <c r="P42" s="171">
        <v>4</v>
      </c>
      <c r="Q42" s="257"/>
      <c r="R42" s="257"/>
      <c r="S42" s="69"/>
    </row>
    <row r="43" spans="1:19">
      <c r="A43" s="180" t="s">
        <v>116</v>
      </c>
      <c r="B43" s="552">
        <v>31</v>
      </c>
      <c r="C43" s="552">
        <v>30</v>
      </c>
      <c r="D43" s="552">
        <v>26</v>
      </c>
      <c r="E43" s="258"/>
      <c r="F43" s="181">
        <f t="shared" ref="F43:G43" si="13">SUM(F40:F42)</f>
        <v>31</v>
      </c>
      <c r="G43" s="181">
        <f t="shared" si="13"/>
        <v>31</v>
      </c>
      <c r="H43" s="181">
        <f t="shared" ref="H43" si="14">SUM(H40:H42)</f>
        <v>31</v>
      </c>
      <c r="I43" s="258"/>
      <c r="J43" s="181">
        <f t="shared" ref="J43:K43" si="15">SUM(J40:J42)</f>
        <v>31</v>
      </c>
      <c r="K43" s="181">
        <f t="shared" si="15"/>
        <v>30</v>
      </c>
      <c r="L43" s="181">
        <f t="shared" ref="L43" si="16">SUM(L40:L42)</f>
        <v>30</v>
      </c>
      <c r="M43" s="258"/>
      <c r="N43" s="181">
        <f t="shared" ref="N43:P43" si="17">SUM(N40:N42)</f>
        <v>33</v>
      </c>
      <c r="O43" s="181">
        <f t="shared" si="17"/>
        <v>33</v>
      </c>
      <c r="P43" s="181">
        <f t="shared" si="17"/>
        <v>33</v>
      </c>
      <c r="Q43" s="258"/>
      <c r="R43" s="258"/>
      <c r="S43" s="69"/>
    </row>
    <row r="44" spans="1:19" ht="13.5" thickBot="1">
      <c r="A44" s="182" t="s">
        <v>117</v>
      </c>
      <c r="B44" s="553">
        <v>0</v>
      </c>
      <c r="C44" s="553">
        <v>1</v>
      </c>
      <c r="D44" s="553">
        <v>1</v>
      </c>
      <c r="E44" s="256">
        <f>SUM(B44:D44)</f>
        <v>2</v>
      </c>
      <c r="F44" s="172">
        <v>0</v>
      </c>
      <c r="G44" s="172">
        <v>0</v>
      </c>
      <c r="H44" s="172">
        <v>9</v>
      </c>
      <c r="I44" s="256">
        <f>SUM(F44:H44)</f>
        <v>9</v>
      </c>
      <c r="J44" s="172">
        <v>0</v>
      </c>
      <c r="K44" s="172">
        <v>7</v>
      </c>
      <c r="L44" s="172">
        <v>3</v>
      </c>
      <c r="M44" s="256">
        <f>SUM(J44:L44)</f>
        <v>10</v>
      </c>
      <c r="N44" s="172">
        <v>0</v>
      </c>
      <c r="O44" s="172">
        <v>0</v>
      </c>
      <c r="P44" s="172">
        <v>2</v>
      </c>
      <c r="Q44" s="256">
        <f>SUM(N44:P44)</f>
        <v>2</v>
      </c>
      <c r="R44" s="256">
        <f>Q44+M44+I44+E44</f>
        <v>23</v>
      </c>
      <c r="S44" s="69"/>
    </row>
    <row r="45" spans="1:19" ht="13.5" thickTop="1">
      <c r="A45" s="183" t="s">
        <v>174</v>
      </c>
      <c r="B45" s="554">
        <v>2</v>
      </c>
      <c r="C45" s="554">
        <v>3</v>
      </c>
      <c r="D45" s="554">
        <v>0</v>
      </c>
      <c r="E45" s="256">
        <f>SUM(B45:D45)</f>
        <v>5</v>
      </c>
      <c r="F45" s="173">
        <v>9</v>
      </c>
      <c r="G45" s="173">
        <v>1</v>
      </c>
      <c r="H45" s="173">
        <v>11</v>
      </c>
      <c r="I45" s="256">
        <f>SUM(F45:H45)</f>
        <v>21</v>
      </c>
      <c r="J45" s="173">
        <v>4</v>
      </c>
      <c r="K45" s="173">
        <v>15</v>
      </c>
      <c r="L45" s="173">
        <v>5</v>
      </c>
      <c r="M45" s="256">
        <f>SUM(J45:L45)</f>
        <v>24</v>
      </c>
      <c r="N45" s="173">
        <v>3</v>
      </c>
      <c r="O45" s="173">
        <v>7</v>
      </c>
      <c r="P45" s="173">
        <v>1</v>
      </c>
      <c r="Q45" s="256">
        <f>SUM(N45:P45)</f>
        <v>11</v>
      </c>
      <c r="R45" s="256">
        <f>Q45+M45+I45+E45</f>
        <v>61</v>
      </c>
      <c r="S45" s="69"/>
    </row>
    <row r="46" spans="1:19">
      <c r="A46" s="180" t="s">
        <v>118</v>
      </c>
      <c r="B46" s="546">
        <v>1</v>
      </c>
      <c r="C46" s="546">
        <v>1</v>
      </c>
      <c r="D46" s="546">
        <v>0</v>
      </c>
      <c r="E46" s="259"/>
      <c r="F46" s="171">
        <v>8</v>
      </c>
      <c r="G46" s="171">
        <v>1</v>
      </c>
      <c r="H46" s="171">
        <v>1</v>
      </c>
      <c r="I46" s="259"/>
      <c r="J46" s="171">
        <v>2</v>
      </c>
      <c r="K46" s="171">
        <v>11</v>
      </c>
      <c r="L46" s="171">
        <v>2</v>
      </c>
      <c r="M46" s="259"/>
      <c r="N46" s="171">
        <v>3</v>
      </c>
      <c r="O46" s="171">
        <v>4</v>
      </c>
      <c r="P46" s="171">
        <v>1</v>
      </c>
      <c r="Q46" s="259"/>
      <c r="R46" s="259"/>
      <c r="S46" s="69"/>
    </row>
    <row r="47" spans="1:19">
      <c r="A47" s="180" t="s">
        <v>119</v>
      </c>
      <c r="B47" s="546">
        <v>6</v>
      </c>
      <c r="C47" s="546">
        <v>2</v>
      </c>
      <c r="D47" s="546">
        <v>1</v>
      </c>
      <c r="E47" s="260"/>
      <c r="F47" s="171">
        <v>2</v>
      </c>
      <c r="G47" s="171">
        <v>2</v>
      </c>
      <c r="H47" s="171">
        <v>3</v>
      </c>
      <c r="I47" s="260"/>
      <c r="J47" s="171">
        <v>2</v>
      </c>
      <c r="K47" s="171">
        <v>2</v>
      </c>
      <c r="L47" s="171">
        <v>7</v>
      </c>
      <c r="M47" s="260"/>
      <c r="N47" s="171">
        <v>1</v>
      </c>
      <c r="O47" s="171">
        <v>2</v>
      </c>
      <c r="P47" s="171">
        <v>3</v>
      </c>
      <c r="Q47" s="260"/>
      <c r="R47" s="260"/>
      <c r="S47" s="69"/>
    </row>
    <row r="48" spans="1:19" ht="13.5" thickBot="1">
      <c r="A48" s="184" t="s">
        <v>120</v>
      </c>
      <c r="B48" s="555">
        <v>1</v>
      </c>
      <c r="C48" s="555">
        <v>1</v>
      </c>
      <c r="D48" s="555">
        <v>0</v>
      </c>
      <c r="E48" s="261"/>
      <c r="F48" s="174">
        <v>2</v>
      </c>
      <c r="G48" s="174">
        <v>4</v>
      </c>
      <c r="H48" s="174">
        <v>5</v>
      </c>
      <c r="I48" s="261"/>
      <c r="J48" s="174">
        <v>1</v>
      </c>
      <c r="K48" s="174">
        <v>3</v>
      </c>
      <c r="L48" s="174">
        <v>7</v>
      </c>
      <c r="M48" s="261"/>
      <c r="N48" s="174">
        <v>2</v>
      </c>
      <c r="O48" s="174">
        <v>3</v>
      </c>
      <c r="P48" s="174">
        <v>3</v>
      </c>
      <c r="Q48" s="261"/>
      <c r="R48" s="261"/>
      <c r="S48" s="69"/>
    </row>
    <row r="49" spans="1:19" ht="13.5" thickTop="1">
      <c r="A49" s="179" t="s">
        <v>121</v>
      </c>
      <c r="B49" s="551">
        <v>0</v>
      </c>
      <c r="C49" s="551">
        <v>0</v>
      </c>
      <c r="D49" s="551">
        <v>0</v>
      </c>
      <c r="E49" s="256">
        <f>SUM(B49:D49)</f>
        <v>0</v>
      </c>
      <c r="F49" s="170">
        <v>0</v>
      </c>
      <c r="G49" s="170">
        <v>0</v>
      </c>
      <c r="H49" s="170">
        <v>0</v>
      </c>
      <c r="I49" s="256">
        <f>SUM(F49:H49)</f>
        <v>0</v>
      </c>
      <c r="J49" s="170">
        <v>0</v>
      </c>
      <c r="K49" s="170">
        <v>0</v>
      </c>
      <c r="L49" s="170">
        <v>0</v>
      </c>
      <c r="M49" s="256">
        <f>SUM(J49:L49)</f>
        <v>0</v>
      </c>
      <c r="N49" s="170">
        <v>0</v>
      </c>
      <c r="O49" s="170">
        <v>0</v>
      </c>
      <c r="P49" s="170">
        <v>0</v>
      </c>
      <c r="Q49" s="256">
        <f>SUM(N49:P49)</f>
        <v>0</v>
      </c>
      <c r="R49" s="256">
        <f>Q49+M49+I49+E49</f>
        <v>0</v>
      </c>
      <c r="S49" s="69"/>
    </row>
    <row r="50" spans="1:19">
      <c r="A50" s="180" t="s">
        <v>122</v>
      </c>
      <c r="B50" s="546">
        <v>0</v>
      </c>
      <c r="C50" s="546">
        <v>0</v>
      </c>
      <c r="D50" s="546">
        <v>0</v>
      </c>
      <c r="E50" s="256">
        <f t="shared" ref="E50:E56" si="18">SUM(B50:D50)</f>
        <v>0</v>
      </c>
      <c r="F50" s="171">
        <v>0</v>
      </c>
      <c r="G50" s="171">
        <v>0</v>
      </c>
      <c r="H50" s="171">
        <v>0</v>
      </c>
      <c r="I50" s="256">
        <f t="shared" ref="I50:I56" si="19">SUM(F50:H50)</f>
        <v>0</v>
      </c>
      <c r="J50" s="171">
        <v>0</v>
      </c>
      <c r="K50" s="171">
        <v>0</v>
      </c>
      <c r="L50" s="171">
        <v>0</v>
      </c>
      <c r="M50" s="256">
        <f t="shared" ref="M50:M56" si="20">SUM(J50:L50)</f>
        <v>0</v>
      </c>
      <c r="N50" s="171">
        <v>0</v>
      </c>
      <c r="O50" s="171">
        <v>0</v>
      </c>
      <c r="P50" s="171">
        <v>0</v>
      </c>
      <c r="Q50" s="256">
        <f t="shared" ref="Q50:Q56" si="21">SUM(N50:P50)</f>
        <v>0</v>
      </c>
      <c r="R50" s="256">
        <f>Q50+M50+I50+E50</f>
        <v>0</v>
      </c>
      <c r="S50" s="69"/>
    </row>
    <row r="51" spans="1:19" ht="13.5" thickBot="1">
      <c r="A51" s="182" t="s">
        <v>123</v>
      </c>
      <c r="B51" s="553">
        <v>0</v>
      </c>
      <c r="C51" s="553">
        <v>0</v>
      </c>
      <c r="D51" s="553">
        <v>0</v>
      </c>
      <c r="E51" s="256">
        <f t="shared" si="18"/>
        <v>0</v>
      </c>
      <c r="F51" s="172">
        <v>0</v>
      </c>
      <c r="G51" s="172">
        <v>0</v>
      </c>
      <c r="H51" s="172">
        <v>0</v>
      </c>
      <c r="I51" s="256">
        <f t="shared" si="19"/>
        <v>0</v>
      </c>
      <c r="J51" s="172">
        <v>0</v>
      </c>
      <c r="K51" s="172">
        <v>0</v>
      </c>
      <c r="L51" s="172">
        <v>0</v>
      </c>
      <c r="M51" s="256">
        <f t="shared" si="20"/>
        <v>0</v>
      </c>
      <c r="N51" s="172">
        <v>0</v>
      </c>
      <c r="O51" s="172">
        <v>0</v>
      </c>
      <c r="P51" s="172">
        <v>0</v>
      </c>
      <c r="Q51" s="256">
        <f t="shared" si="21"/>
        <v>0</v>
      </c>
      <c r="R51" s="256">
        <f>Q51+M51+I51+E51</f>
        <v>0</v>
      </c>
      <c r="S51" s="69"/>
    </row>
    <row r="52" spans="1:19" ht="14.25" thickTop="1" thickBot="1">
      <c r="A52" s="182" t="s">
        <v>124</v>
      </c>
      <c r="B52" s="553">
        <v>3</v>
      </c>
      <c r="C52" s="553">
        <v>3</v>
      </c>
      <c r="D52" s="553">
        <v>2</v>
      </c>
      <c r="E52" s="256">
        <f t="shared" si="18"/>
        <v>8</v>
      </c>
      <c r="F52" s="172">
        <v>2</v>
      </c>
      <c r="G52" s="172">
        <v>0</v>
      </c>
      <c r="H52" s="172">
        <v>2</v>
      </c>
      <c r="I52" s="256">
        <f t="shared" si="19"/>
        <v>4</v>
      </c>
      <c r="J52" s="172">
        <v>3</v>
      </c>
      <c r="K52" s="172">
        <v>1</v>
      </c>
      <c r="L52" s="172">
        <v>2</v>
      </c>
      <c r="M52" s="256">
        <f t="shared" si="20"/>
        <v>6</v>
      </c>
      <c r="N52" s="172">
        <v>0</v>
      </c>
      <c r="O52" s="172">
        <v>1</v>
      </c>
      <c r="P52" s="172">
        <v>1</v>
      </c>
      <c r="Q52" s="256">
        <f t="shared" si="21"/>
        <v>2</v>
      </c>
      <c r="R52" s="256">
        <f>Q52+M52+I52+E52</f>
        <v>20</v>
      </c>
      <c r="S52" s="69"/>
    </row>
    <row r="53" spans="1:19" ht="13.5" thickTop="1">
      <c r="A53" s="251" t="s">
        <v>125</v>
      </c>
      <c r="B53" s="556">
        <v>12</v>
      </c>
      <c r="C53" s="556">
        <v>11</v>
      </c>
      <c r="D53" s="556">
        <v>9</v>
      </c>
      <c r="E53" s="168"/>
      <c r="F53" s="191">
        <v>9</v>
      </c>
      <c r="G53" s="191">
        <v>9</v>
      </c>
      <c r="H53" s="254">
        <v>16</v>
      </c>
      <c r="I53" s="168"/>
      <c r="J53" s="191">
        <v>9</v>
      </c>
      <c r="K53" s="191">
        <v>8</v>
      </c>
      <c r="L53" s="191">
        <v>13</v>
      </c>
      <c r="M53" s="168"/>
      <c r="N53" s="191">
        <v>8</v>
      </c>
      <c r="O53" s="191">
        <v>14</v>
      </c>
      <c r="P53" s="191">
        <v>12</v>
      </c>
      <c r="Q53" s="168"/>
      <c r="R53" s="168"/>
      <c r="S53" s="69"/>
    </row>
    <row r="54" spans="1:19">
      <c r="A54" s="252" t="s">
        <v>126</v>
      </c>
      <c r="B54" s="557">
        <v>2</v>
      </c>
      <c r="C54" s="557">
        <v>2</v>
      </c>
      <c r="D54" s="557">
        <v>0</v>
      </c>
      <c r="E54" s="256">
        <f t="shared" si="18"/>
        <v>4</v>
      </c>
      <c r="F54" s="192">
        <v>2</v>
      </c>
      <c r="G54" s="192">
        <v>3</v>
      </c>
      <c r="H54" s="255">
        <v>7</v>
      </c>
      <c r="I54" s="256">
        <f t="shared" si="19"/>
        <v>12</v>
      </c>
      <c r="J54" s="192">
        <v>1</v>
      </c>
      <c r="K54" s="192">
        <v>6</v>
      </c>
      <c r="L54" s="192">
        <v>3</v>
      </c>
      <c r="M54" s="256">
        <f t="shared" si="20"/>
        <v>10</v>
      </c>
      <c r="N54" s="192">
        <v>1</v>
      </c>
      <c r="O54" s="192">
        <v>7</v>
      </c>
      <c r="P54" s="192">
        <v>2</v>
      </c>
      <c r="Q54" s="256">
        <f t="shared" si="21"/>
        <v>10</v>
      </c>
      <c r="R54" s="256">
        <f>Q54+M54+I54+E54</f>
        <v>36</v>
      </c>
      <c r="S54" s="69"/>
    </row>
    <row r="55" spans="1:19">
      <c r="A55" s="252" t="s">
        <v>127</v>
      </c>
      <c r="B55" s="557">
        <v>2</v>
      </c>
      <c r="C55" s="548">
        <v>1</v>
      </c>
      <c r="D55" s="550">
        <v>2</v>
      </c>
      <c r="E55" s="256">
        <f t="shared" si="18"/>
        <v>5</v>
      </c>
      <c r="F55" s="192">
        <v>3</v>
      </c>
      <c r="G55" s="192">
        <v>2</v>
      </c>
      <c r="H55" s="255">
        <v>1</v>
      </c>
      <c r="I55" s="256">
        <f t="shared" si="19"/>
        <v>6</v>
      </c>
      <c r="J55" s="192">
        <v>3</v>
      </c>
      <c r="K55" s="192">
        <v>4</v>
      </c>
      <c r="L55" s="192">
        <v>1</v>
      </c>
      <c r="M55" s="256">
        <f t="shared" si="20"/>
        <v>8</v>
      </c>
      <c r="N55" s="192">
        <v>1</v>
      </c>
      <c r="O55" s="192">
        <v>1</v>
      </c>
      <c r="P55" s="192">
        <v>5</v>
      </c>
      <c r="Q55" s="256">
        <f t="shared" si="21"/>
        <v>7</v>
      </c>
      <c r="R55" s="256">
        <f>Q55+M55+I55+E55</f>
        <v>26</v>
      </c>
      <c r="S55" s="69"/>
    </row>
    <row r="56" spans="1:19">
      <c r="A56" s="252" t="s">
        <v>128</v>
      </c>
      <c r="B56" s="557">
        <v>1</v>
      </c>
      <c r="C56" s="548">
        <v>2</v>
      </c>
      <c r="D56" s="550">
        <v>0</v>
      </c>
      <c r="E56" s="256">
        <f t="shared" si="18"/>
        <v>3</v>
      </c>
      <c r="F56" s="192">
        <v>2</v>
      </c>
      <c r="G56" s="192">
        <v>2</v>
      </c>
      <c r="H56" s="255">
        <v>0</v>
      </c>
      <c r="I56" s="256">
        <f t="shared" si="19"/>
        <v>4</v>
      </c>
      <c r="J56" s="192">
        <v>0</v>
      </c>
      <c r="K56" s="192">
        <v>0</v>
      </c>
      <c r="L56" s="192">
        <v>3</v>
      </c>
      <c r="M56" s="256">
        <f t="shared" si="20"/>
        <v>3</v>
      </c>
      <c r="N56" s="192">
        <v>0</v>
      </c>
      <c r="O56" s="192">
        <v>0</v>
      </c>
      <c r="P56" s="192">
        <v>0</v>
      </c>
      <c r="Q56" s="256">
        <f t="shared" si="21"/>
        <v>0</v>
      </c>
      <c r="R56" s="256">
        <f>Q56+M56+I56+E56</f>
        <v>10</v>
      </c>
      <c r="S56" s="169">
        <f>R56/D58</f>
        <v>1</v>
      </c>
    </row>
    <row r="57" spans="1:19" ht="13.5" thickBot="1">
      <c r="A57" s="253" t="s">
        <v>129</v>
      </c>
      <c r="B57" s="558">
        <v>0</v>
      </c>
      <c r="C57" s="547">
        <v>0</v>
      </c>
      <c r="D57" s="549">
        <v>0</v>
      </c>
      <c r="E57" s="262"/>
      <c r="F57" s="194">
        <v>0</v>
      </c>
      <c r="G57" s="194">
        <v>0</v>
      </c>
      <c r="H57" s="200">
        <v>0</v>
      </c>
      <c r="I57" s="262"/>
      <c r="J57" s="194">
        <v>0</v>
      </c>
      <c r="K57" s="194">
        <v>0</v>
      </c>
      <c r="L57" s="194">
        <v>0</v>
      </c>
      <c r="M57" s="262"/>
      <c r="N57" s="194">
        <v>0</v>
      </c>
      <c r="O57" s="194">
        <v>0</v>
      </c>
      <c r="P57" s="194">
        <v>0</v>
      </c>
      <c r="Q57" s="262"/>
      <c r="R57" s="262"/>
      <c r="S57" s="169">
        <f>R57/D58</f>
        <v>0</v>
      </c>
    </row>
    <row r="58" spans="1:19" ht="13.5" thickTop="1">
      <c r="A58"/>
      <c r="B58" s="69"/>
      <c r="C58" s="69"/>
      <c r="D58" s="185">
        <f>SUM(R56:R57)</f>
        <v>10</v>
      </c>
      <c r="E58" s="185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13"/>
    </row>
  </sheetData>
  <mergeCells count="1">
    <mergeCell ref="N1:Q1"/>
  </mergeCells>
  <phoneticPr fontId="0" type="noConversion"/>
  <pageMargins left="0.39370078740157483" right="0.39370078740157483" top="0.98425196850393704" bottom="0.98425196850393704" header="0.51181102362204722" footer="0.51181102362204722"/>
  <pageSetup paperSize="9" orientation="landscape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84"/>
  <sheetViews>
    <sheetView zoomScale="85" zoomScaleNormal="85" workbookViewId="0">
      <selection activeCell="B64" sqref="B64:D83"/>
    </sheetView>
  </sheetViews>
  <sheetFormatPr defaultRowHeight="12.75"/>
  <cols>
    <col min="1" max="1" width="45" style="17" customWidth="1"/>
    <col min="2" max="4" width="11.85546875" style="12" customWidth="1"/>
    <col min="5" max="5" width="11.42578125" style="150" customWidth="1"/>
    <col min="6" max="8" width="12.140625" style="12" customWidth="1"/>
    <col min="9" max="9" width="11.42578125" style="150" customWidth="1"/>
    <col min="10" max="12" width="12.85546875" style="12" customWidth="1"/>
    <col min="13" max="13" width="11.42578125" style="150" customWidth="1"/>
    <col min="14" max="16" width="12" style="12" customWidth="1"/>
    <col min="17" max="18" width="11.42578125" style="150" customWidth="1"/>
    <col min="19" max="16384" width="9.140625" style="13"/>
  </cols>
  <sheetData>
    <row r="1" spans="1:19" s="21" customFormat="1" ht="15" customHeight="1">
      <c r="A1" s="32" t="s">
        <v>236</v>
      </c>
      <c r="B1" s="588" t="s">
        <v>245</v>
      </c>
      <c r="C1" s="585"/>
      <c r="D1" s="585"/>
      <c r="E1" s="585"/>
      <c r="F1" s="588" t="s">
        <v>246</v>
      </c>
      <c r="G1" s="585"/>
      <c r="H1" s="585"/>
      <c r="I1" s="585"/>
      <c r="J1" s="588" t="s">
        <v>253</v>
      </c>
      <c r="K1" s="585"/>
      <c r="L1" s="585"/>
      <c r="M1" s="585"/>
      <c r="N1" s="588" t="s">
        <v>244</v>
      </c>
      <c r="O1" s="585"/>
      <c r="P1" s="585"/>
      <c r="Q1" s="585"/>
      <c r="R1" s="211"/>
    </row>
    <row r="2" spans="1:19" s="21" customFormat="1" ht="15" customHeight="1">
      <c r="A2" s="5" t="s">
        <v>0</v>
      </c>
      <c r="B2" s="54" t="s">
        <v>10</v>
      </c>
      <c r="C2" s="54" t="s">
        <v>11</v>
      </c>
      <c r="D2" s="54" t="s">
        <v>12</v>
      </c>
      <c r="E2" s="226" t="s">
        <v>165</v>
      </c>
      <c r="F2" s="54" t="s">
        <v>7</v>
      </c>
      <c r="G2" s="54" t="s">
        <v>8</v>
      </c>
      <c r="H2" s="54" t="s">
        <v>9</v>
      </c>
      <c r="I2" s="226" t="s">
        <v>164</v>
      </c>
      <c r="J2" s="54" t="s">
        <v>4</v>
      </c>
      <c r="K2" s="54" t="s">
        <v>5</v>
      </c>
      <c r="L2" s="54" t="s">
        <v>6</v>
      </c>
      <c r="M2" s="226" t="s">
        <v>163</v>
      </c>
      <c r="N2" s="54" t="s">
        <v>1</v>
      </c>
      <c r="O2" s="54" t="s">
        <v>2</v>
      </c>
      <c r="P2" s="54" t="s">
        <v>3</v>
      </c>
      <c r="Q2" s="226" t="s">
        <v>152</v>
      </c>
      <c r="R2" s="114" t="s">
        <v>166</v>
      </c>
    </row>
    <row r="3" spans="1:19" s="21" customFormat="1" ht="15" customHeight="1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</row>
    <row r="4" spans="1:19" s="21" customFormat="1" ht="15" customHeight="1">
      <c r="A4" s="6" t="s">
        <v>47</v>
      </c>
      <c r="B4" s="99">
        <f>'Target 2017'!L6</f>
        <v>15833.333333333334</v>
      </c>
      <c r="C4" s="99">
        <f>'Target 2017'!M6</f>
        <v>17500.000000000004</v>
      </c>
      <c r="D4" s="99">
        <f>'Target 2017'!N6</f>
        <v>16666.666666666668</v>
      </c>
      <c r="E4" s="228">
        <f>SUM(B4:D4)</f>
        <v>50000</v>
      </c>
      <c r="F4" s="99">
        <f>'Target 2017'!I5</f>
        <v>15583.333333333332</v>
      </c>
      <c r="G4" s="99">
        <f>'Target 2017'!J5-5000</f>
        <v>13333.333333333332</v>
      </c>
      <c r="H4" s="99">
        <f>'Target 2017'!K5+5000</f>
        <v>26083.333333333332</v>
      </c>
      <c r="I4" s="228">
        <f>SUM(F4:H4)</f>
        <v>55000</v>
      </c>
      <c r="J4" s="99">
        <f>'Target 2017'!F5</f>
        <v>14166.666666666668</v>
      </c>
      <c r="K4" s="99">
        <f>'Target 2017'!G5-2500</f>
        <v>14166.666666666668</v>
      </c>
      <c r="L4" s="99">
        <f>'Target 2017'!H5+2500-4000</f>
        <v>17666.666666666668</v>
      </c>
      <c r="M4" s="228">
        <f>SUM(J4:L4)</f>
        <v>46000</v>
      </c>
      <c r="N4" s="99">
        <f>'Target 2017'!C5</f>
        <v>0</v>
      </c>
      <c r="O4" s="99">
        <f>'Target 2017'!D5</f>
        <v>0</v>
      </c>
      <c r="P4" s="99">
        <f>'Target 2017'!E5</f>
        <v>15000</v>
      </c>
      <c r="Q4" s="228">
        <f>SUM(N4:P4)</f>
        <v>15000</v>
      </c>
      <c r="R4" s="116">
        <f>Q4+M4+I4+E4</f>
        <v>166000</v>
      </c>
    </row>
    <row r="5" spans="1:19" s="21" customFormat="1" ht="15" customHeight="1">
      <c r="A5" s="7" t="s">
        <v>46</v>
      </c>
      <c r="B5" s="94">
        <f>B4</f>
        <v>15833.333333333334</v>
      </c>
      <c r="C5" s="94">
        <f>C4+B5</f>
        <v>33333.333333333336</v>
      </c>
      <c r="D5" s="94">
        <f>D4+C5</f>
        <v>50000</v>
      </c>
      <c r="E5" s="229"/>
      <c r="F5" s="94">
        <f>F4</f>
        <v>15583.333333333332</v>
      </c>
      <c r="G5" s="94">
        <f>G4+F5</f>
        <v>28916.666666666664</v>
      </c>
      <c r="H5" s="94">
        <f>H4+G5</f>
        <v>55000</v>
      </c>
      <c r="I5" s="229"/>
      <c r="J5" s="94">
        <f>J4</f>
        <v>14166.666666666668</v>
      </c>
      <c r="K5" s="94">
        <f>K4+J5</f>
        <v>28333.333333333336</v>
      </c>
      <c r="L5" s="94">
        <f>L4+K5</f>
        <v>46000</v>
      </c>
      <c r="M5" s="229"/>
      <c r="N5" s="94">
        <f>N4</f>
        <v>0</v>
      </c>
      <c r="O5" s="94">
        <f>O4+N5</f>
        <v>0</v>
      </c>
      <c r="P5" s="94">
        <f>P4+O5</f>
        <v>15000</v>
      </c>
      <c r="Q5" s="229"/>
      <c r="R5" s="118"/>
    </row>
    <row r="6" spans="1:19" s="21" customFormat="1" ht="15" customHeight="1">
      <c r="A6" s="31" t="s">
        <v>48</v>
      </c>
      <c r="B6" s="29">
        <f>SUMIF(X!A:A,$A$1,X!I:I)</f>
        <v>19381.915100000002</v>
      </c>
      <c r="C6" s="29">
        <f>SUMIF(XI!A:A,$A$1,XI!I:I)</f>
        <v>17617.237400000002</v>
      </c>
      <c r="D6" s="29">
        <f>SUMIF(XII!A:A,$A$1,XII!I:I)</f>
        <v>15449.890799999999</v>
      </c>
      <c r="E6" s="228">
        <f>SUM(B6:D6)</f>
        <v>52449.043300000005</v>
      </c>
      <c r="F6" s="29">
        <f>SUMIF(VII!A:A,$A$1,VII!I:I)</f>
        <v>15909.077499999999</v>
      </c>
      <c r="G6" s="29">
        <f>SUMIF(VIII!A:A,$A$1,VIII!I:I)</f>
        <v>7625.3710000000001</v>
      </c>
      <c r="H6" s="29">
        <f>SUMIF(IX!A:A,$A$1,IX!I:I)</f>
        <v>10306.304</v>
      </c>
      <c r="I6" s="228">
        <f>SUM(F6:H6)</f>
        <v>33840.752500000002</v>
      </c>
      <c r="J6" s="29">
        <f>SUMIF(IV!A:A,$A$1,IV!I:I)</f>
        <v>15184.067499999999</v>
      </c>
      <c r="K6" s="29">
        <f>SUMIF(V!A:A,$A$1,V!I:I)</f>
        <v>7543.2330000000002</v>
      </c>
      <c r="L6" s="29">
        <f>SUMIF(VI!A:A,$A$1,VI!I:I)</f>
        <v>14199.240400000001</v>
      </c>
      <c r="M6" s="228">
        <f>SUM(J6:L6)</f>
        <v>36926.5409</v>
      </c>
      <c r="N6" s="91">
        <f>SUMIF(I!A:A,$A$1,I!I:I)</f>
        <v>0</v>
      </c>
      <c r="O6" s="29">
        <f>SUMIF(II!A:A,$A$1,II!I:I)</f>
        <v>6695.2704999999996</v>
      </c>
      <c r="P6" s="29">
        <f>SUMIF(III!A:A,$A$1,III!I:I)</f>
        <v>29066.2916</v>
      </c>
      <c r="Q6" s="228">
        <f>SUM(N6:P6)</f>
        <v>35761.562100000003</v>
      </c>
      <c r="R6" s="116">
        <f>Q6+M6+I6+E6</f>
        <v>158977.89880000002</v>
      </c>
    </row>
    <row r="7" spans="1:19" s="21" customFormat="1" ht="15" customHeight="1">
      <c r="A7" s="7" t="s">
        <v>49</v>
      </c>
      <c r="B7" s="94">
        <f>B6</f>
        <v>19381.915100000002</v>
      </c>
      <c r="C7" s="94">
        <f>C6+B7</f>
        <v>36999.152500000004</v>
      </c>
      <c r="D7" s="94">
        <f>D6+C7</f>
        <v>52449.043300000005</v>
      </c>
      <c r="E7" s="229"/>
      <c r="F7" s="94">
        <f>F6</f>
        <v>15909.077499999999</v>
      </c>
      <c r="G7" s="94">
        <f>G6+F7</f>
        <v>23534.448499999999</v>
      </c>
      <c r="H7" s="94">
        <f>H6+G7</f>
        <v>33840.752500000002</v>
      </c>
      <c r="I7" s="229"/>
      <c r="J7" s="94">
        <f>J6</f>
        <v>15184.067499999999</v>
      </c>
      <c r="K7" s="94">
        <f>K6+J7</f>
        <v>22727.300499999998</v>
      </c>
      <c r="L7" s="94">
        <f>L6+K7</f>
        <v>36926.5409</v>
      </c>
      <c r="M7" s="229"/>
      <c r="N7" s="94">
        <f>N6</f>
        <v>0</v>
      </c>
      <c r="O7" s="94">
        <f>O6+N7</f>
        <v>6695.2704999999996</v>
      </c>
      <c r="P7" s="94">
        <f>P6</f>
        <v>29066.2916</v>
      </c>
      <c r="Q7" s="229"/>
      <c r="R7" s="118"/>
    </row>
    <row r="8" spans="1:19" s="21" customFormat="1" ht="15" customHeight="1">
      <c r="A8" s="26" t="s">
        <v>50</v>
      </c>
      <c r="B8" s="100">
        <f t="shared" ref="B8:D9" si="0">B6/B4</f>
        <v>1.2241209536842106</v>
      </c>
      <c r="C8" s="100">
        <f t="shared" si="0"/>
        <v>1.0066992799999999</v>
      </c>
      <c r="D8" s="100">
        <f t="shared" si="0"/>
        <v>0.92699344799999983</v>
      </c>
      <c r="E8" s="230"/>
      <c r="F8" s="100">
        <f t="shared" ref="F8:H9" si="1">F6/F4</f>
        <v>1.0209033689839573</v>
      </c>
      <c r="G8" s="100">
        <f t="shared" si="1"/>
        <v>0.57190282500000011</v>
      </c>
      <c r="H8" s="100">
        <f t="shared" si="1"/>
        <v>0.3951298658146965</v>
      </c>
      <c r="I8" s="230"/>
      <c r="J8" s="100">
        <f>J6/J4</f>
        <v>1.0718165294117645</v>
      </c>
      <c r="K8" s="100">
        <f t="shared" ref="J8:L9" si="2">K6/K4</f>
        <v>0.53246350588235292</v>
      </c>
      <c r="L8" s="100">
        <f t="shared" si="2"/>
        <v>0.80373058867924529</v>
      </c>
      <c r="M8" s="230"/>
      <c r="N8" s="100" t="e">
        <f t="shared" ref="N8:P9" si="3">N6/N4</f>
        <v>#DIV/0!</v>
      </c>
      <c r="O8" s="100" t="e">
        <f t="shared" si="3"/>
        <v>#DIV/0!</v>
      </c>
      <c r="P8" s="100">
        <f t="shared" si="3"/>
        <v>1.9377527733333333</v>
      </c>
      <c r="Q8" s="230"/>
      <c r="R8" s="122"/>
    </row>
    <row r="9" spans="1:19" s="22" customFormat="1" ht="15" customHeight="1">
      <c r="A9" s="26" t="s">
        <v>51</v>
      </c>
      <c r="B9" s="100">
        <f t="shared" si="0"/>
        <v>1.2241209536842106</v>
      </c>
      <c r="C9" s="100">
        <f t="shared" si="0"/>
        <v>1.1099745750000001</v>
      </c>
      <c r="D9" s="100">
        <f t="shared" si="0"/>
        <v>1.0489808660000002</v>
      </c>
      <c r="E9" s="230"/>
      <c r="F9" s="100">
        <f>F7/F5</f>
        <v>1.0209033689839573</v>
      </c>
      <c r="G9" s="100">
        <f t="shared" si="1"/>
        <v>0.81387141786743522</v>
      </c>
      <c r="H9" s="100">
        <f t="shared" si="1"/>
        <v>0.61528640909090915</v>
      </c>
      <c r="I9" s="230"/>
      <c r="J9" s="100">
        <f t="shared" si="2"/>
        <v>1.0718165294117645</v>
      </c>
      <c r="K9" s="100">
        <f>K7/K5</f>
        <v>0.80214001764705867</v>
      </c>
      <c r="L9" s="100">
        <f t="shared" si="2"/>
        <v>0.8027508891304348</v>
      </c>
      <c r="M9" s="230"/>
      <c r="N9" s="100" t="e">
        <f t="shared" si="3"/>
        <v>#DIV/0!</v>
      </c>
      <c r="O9" s="100" t="e">
        <f t="shared" si="3"/>
        <v>#DIV/0!</v>
      </c>
      <c r="P9" s="100">
        <f t="shared" si="3"/>
        <v>1.9377527733333333</v>
      </c>
      <c r="Q9" s="230"/>
      <c r="R9" s="123"/>
    </row>
    <row r="10" spans="1:19" s="44" customFormat="1" ht="15" customHeight="1">
      <c r="A10" s="7" t="s">
        <v>59</v>
      </c>
      <c r="B10" s="101">
        <f>B7-B5</f>
        <v>3548.581766666668</v>
      </c>
      <c r="C10" s="101">
        <f>C7-C5</f>
        <v>3665.819166666668</v>
      </c>
      <c r="D10" s="101">
        <f>D7-D5</f>
        <v>2449.0433000000048</v>
      </c>
      <c r="E10" s="229"/>
      <c r="F10" s="101">
        <f>F7-F5</f>
        <v>325.7441666666673</v>
      </c>
      <c r="G10" s="101">
        <f>G7-G5</f>
        <v>-5382.2181666666656</v>
      </c>
      <c r="H10" s="101">
        <f>H7-H5</f>
        <v>-21159.247499999998</v>
      </c>
      <c r="I10" s="229"/>
      <c r="J10" s="101">
        <f>J7-J5</f>
        <v>1017.4008333333313</v>
      </c>
      <c r="K10" s="101">
        <f>K7-K5</f>
        <v>-5606.0328333333382</v>
      </c>
      <c r="L10" s="101">
        <f>L7-L5</f>
        <v>-9073.4591</v>
      </c>
      <c r="M10" s="229"/>
      <c r="N10" s="101">
        <f>N7-N5</f>
        <v>0</v>
      </c>
      <c r="O10" s="101">
        <f>O7-O5</f>
        <v>6695.2704999999996</v>
      </c>
      <c r="P10" s="101">
        <f>P7-P5</f>
        <v>14066.2916</v>
      </c>
      <c r="Q10" s="229"/>
      <c r="R10" s="118"/>
    </row>
    <row r="11" spans="1:19" s="21" customFormat="1" ht="15" customHeight="1">
      <c r="A11" s="6" t="s">
        <v>52</v>
      </c>
      <c r="B11" s="99">
        <f>'Target 2017'!L15</f>
        <v>41166.666666666664</v>
      </c>
      <c r="C11" s="99">
        <f>'Target 2017'!M15</f>
        <v>45500.000000000007</v>
      </c>
      <c r="D11" s="99">
        <f>'Target 2017'!N15</f>
        <v>43333.333333333336</v>
      </c>
      <c r="E11" s="228">
        <f>SUM(B11:D11)</f>
        <v>130000</v>
      </c>
      <c r="F11" s="99">
        <f>'Target 2017'!I15</f>
        <v>42500</v>
      </c>
      <c r="G11" s="99">
        <f>'Target 2017'!J15-10000</f>
        <v>40000</v>
      </c>
      <c r="H11" s="99">
        <f>'Target 2017'!K15+10000</f>
        <v>67500</v>
      </c>
      <c r="I11" s="228">
        <f>SUM(F11:H11)</f>
        <v>150000</v>
      </c>
      <c r="J11" s="99">
        <f>'Target 2017'!F15</f>
        <v>38816.666666666664</v>
      </c>
      <c r="K11" s="99">
        <f>'Target 2017'!G15-7000</f>
        <v>38666.666666666664</v>
      </c>
      <c r="L11" s="99">
        <f>'Target 2017'!H15+7000-14000</f>
        <v>45516.666666666664</v>
      </c>
      <c r="M11" s="228">
        <f>SUM(J11:L11)</f>
        <v>123000</v>
      </c>
      <c r="N11" s="99">
        <f>'Target 2017'!C15</f>
        <v>0</v>
      </c>
      <c r="O11" s="99">
        <f>'Target 2017'!D15</f>
        <v>0</v>
      </c>
      <c r="P11" s="99">
        <f>'Target 2017'!E15</f>
        <v>42000</v>
      </c>
      <c r="Q11" s="228">
        <f>SUM(N11:P11)</f>
        <v>42000</v>
      </c>
      <c r="R11" s="116">
        <f>Q11+M11+I11+E11</f>
        <v>445000</v>
      </c>
      <c r="S11" s="12"/>
    </row>
    <row r="12" spans="1:19" s="21" customFormat="1" ht="15" customHeight="1">
      <c r="A12" s="7" t="s">
        <v>53</v>
      </c>
      <c r="B12" s="94">
        <f>B11</f>
        <v>41166.666666666664</v>
      </c>
      <c r="C12" s="94">
        <f>C11+B12</f>
        <v>86666.666666666672</v>
      </c>
      <c r="D12" s="94">
        <f>D11+C12</f>
        <v>130000</v>
      </c>
      <c r="E12" s="229"/>
      <c r="F12" s="94">
        <f>F11</f>
        <v>42500</v>
      </c>
      <c r="G12" s="94">
        <f>G11+F12</f>
        <v>82500</v>
      </c>
      <c r="H12" s="94">
        <f>H11+G12</f>
        <v>150000</v>
      </c>
      <c r="I12" s="229"/>
      <c r="J12" s="94">
        <f>J11</f>
        <v>38816.666666666664</v>
      </c>
      <c r="K12" s="94">
        <f>K11+J12</f>
        <v>77483.333333333328</v>
      </c>
      <c r="L12" s="94">
        <f>L11+K12</f>
        <v>123000</v>
      </c>
      <c r="M12" s="229"/>
      <c r="N12" s="94">
        <f>N11</f>
        <v>0</v>
      </c>
      <c r="O12" s="94">
        <f>O11+N12</f>
        <v>0</v>
      </c>
      <c r="P12" s="94">
        <f>P11</f>
        <v>42000</v>
      </c>
      <c r="Q12" s="229"/>
      <c r="R12" s="118"/>
    </row>
    <row r="13" spans="1:19" s="21" customFormat="1" ht="15" customHeight="1">
      <c r="A13" s="31" t="s">
        <v>54</v>
      </c>
      <c r="B13" s="29">
        <f>SUMIF(X!A:A,$A$1,X!G:G)</f>
        <v>56924.800000000003</v>
      </c>
      <c r="C13" s="29">
        <f>SUMIF(XI!A:A,$A$1,XI!G:G)</f>
        <v>45743.31</v>
      </c>
      <c r="D13" s="29">
        <f>SUMIF(XII!A:A,$A$1,XII!G:G)</f>
        <v>43045.949200000003</v>
      </c>
      <c r="E13" s="228">
        <f>SUM(B13:D13)</f>
        <v>145714.05920000002</v>
      </c>
      <c r="F13" s="29">
        <f>SUMIF(VII!A:A,$A$1,VII!G:G)</f>
        <v>44021.21</v>
      </c>
      <c r="G13" s="29">
        <f>SUMIF(VIII!A:A,$A$1,VIII!G:G)</f>
        <v>23675.17</v>
      </c>
      <c r="H13" s="29">
        <f>SUMIF(IX!A:A,$A$1,IX!G:G)</f>
        <v>32990.25</v>
      </c>
      <c r="I13" s="228">
        <f>SUM(F13:H13)</f>
        <v>100686.63</v>
      </c>
      <c r="J13" s="29">
        <f>SUMIF(IV!A:A,$A$1,IV!G:G)</f>
        <v>44183.45</v>
      </c>
      <c r="K13" s="29">
        <f>SUMIF(V!A:A,$A$1,V!G:G)</f>
        <v>18209.34</v>
      </c>
      <c r="L13" s="29">
        <f>SUMIF(VI!A:A,$A$1,VI!G:G)</f>
        <v>36656.550000000003</v>
      </c>
      <c r="M13" s="228">
        <f>SUM(J13:L13)</f>
        <v>99049.34</v>
      </c>
      <c r="N13" s="91">
        <f>SUMIF(I!A:A,$A$1,I!G:G)</f>
        <v>0</v>
      </c>
      <c r="O13" s="29">
        <f>SUMIF(II!A:A,$A$1,II!G:G)</f>
        <v>19881.29</v>
      </c>
      <c r="P13" s="29">
        <f>SUMIF(III!A:A,$A$1,III!G:G)</f>
        <v>75135.66</v>
      </c>
      <c r="Q13" s="228">
        <f>SUM(N13:P13)</f>
        <v>95016.950000000012</v>
      </c>
      <c r="R13" s="116">
        <f>Q13+M13+I13+E13</f>
        <v>440466.97920000006</v>
      </c>
    </row>
    <row r="14" spans="1:19" customFormat="1">
      <c r="A14" s="7" t="s">
        <v>55</v>
      </c>
      <c r="B14" s="94">
        <f>B13</f>
        <v>56924.800000000003</v>
      </c>
      <c r="C14" s="94">
        <f>C13+B14</f>
        <v>102668.11</v>
      </c>
      <c r="D14" s="94">
        <f>D13+C14</f>
        <v>145714.05920000002</v>
      </c>
      <c r="E14" s="229"/>
      <c r="F14" s="94">
        <f>F13</f>
        <v>44021.21</v>
      </c>
      <c r="G14" s="94">
        <f>G13+F14</f>
        <v>67696.38</v>
      </c>
      <c r="H14" s="94">
        <f>H13+G14</f>
        <v>100686.63</v>
      </c>
      <c r="I14" s="229"/>
      <c r="J14" s="94">
        <f>J13</f>
        <v>44183.45</v>
      </c>
      <c r="K14" s="94">
        <f>K13+J14</f>
        <v>62392.789999999994</v>
      </c>
      <c r="L14" s="94">
        <f>L13+K14</f>
        <v>99049.34</v>
      </c>
      <c r="M14" s="229"/>
      <c r="N14" s="94">
        <f>N13</f>
        <v>0</v>
      </c>
      <c r="O14" s="94">
        <f>O13+N14</f>
        <v>19881.29</v>
      </c>
      <c r="P14" s="94">
        <f>P13</f>
        <v>75135.66</v>
      </c>
      <c r="Q14" s="229"/>
      <c r="R14" s="118"/>
    </row>
    <row r="15" spans="1:19" s="21" customFormat="1" ht="15" customHeight="1">
      <c r="A15" s="26" t="s">
        <v>56</v>
      </c>
      <c r="B15" s="27">
        <f t="shared" ref="B15:D16" si="4">B13/B11</f>
        <v>1.3827886639676115</v>
      </c>
      <c r="C15" s="27">
        <f t="shared" si="4"/>
        <v>1.0053474725274723</v>
      </c>
      <c r="D15" s="27">
        <f t="shared" si="4"/>
        <v>0.99336805846153842</v>
      </c>
      <c r="E15" s="230"/>
      <c r="F15" s="27">
        <f t="shared" ref="F15:H16" si="5">F13/F11</f>
        <v>1.0357931764705881</v>
      </c>
      <c r="G15" s="27">
        <f t="shared" si="5"/>
        <v>0.59187924999999997</v>
      </c>
      <c r="H15" s="27">
        <f t="shared" si="5"/>
        <v>0.48874444444444443</v>
      </c>
      <c r="I15" s="230"/>
      <c r="J15" s="27">
        <f t="shared" ref="J15:L16" si="6">J13/J11</f>
        <v>1.1382597681408331</v>
      </c>
      <c r="K15" s="27">
        <f t="shared" si="6"/>
        <v>0.47093120689655177</v>
      </c>
      <c r="L15" s="27">
        <f t="shared" si="6"/>
        <v>0.80534346393262557</v>
      </c>
      <c r="M15" s="230"/>
      <c r="N15" s="27" t="e">
        <f t="shared" ref="N15:P16" si="7">N13/N11</f>
        <v>#DIV/0!</v>
      </c>
      <c r="O15" s="27" t="e">
        <f t="shared" si="7"/>
        <v>#DIV/0!</v>
      </c>
      <c r="P15" s="27">
        <f t="shared" si="7"/>
        <v>1.7889442857142859</v>
      </c>
      <c r="Q15" s="230"/>
      <c r="R15" s="122"/>
    </row>
    <row r="16" spans="1:19" s="21" customFormat="1" ht="15" customHeight="1">
      <c r="A16" s="26" t="s">
        <v>57</v>
      </c>
      <c r="B16" s="27">
        <f t="shared" si="4"/>
        <v>1.3827886639676115</v>
      </c>
      <c r="C16" s="27">
        <f t="shared" si="4"/>
        <v>1.1846320384615383</v>
      </c>
      <c r="D16" s="27">
        <f t="shared" si="4"/>
        <v>1.1208773784615387</v>
      </c>
      <c r="E16" s="230"/>
      <c r="F16" s="27">
        <f t="shared" si="5"/>
        <v>1.0357931764705881</v>
      </c>
      <c r="G16" s="27">
        <f t="shared" si="5"/>
        <v>0.82056218181818186</v>
      </c>
      <c r="H16" s="27">
        <f t="shared" si="5"/>
        <v>0.67124420000000007</v>
      </c>
      <c r="I16" s="230"/>
      <c r="J16" s="27">
        <f t="shared" si="6"/>
        <v>1.1382597681408331</v>
      </c>
      <c r="K16" s="27">
        <f>K14/K12</f>
        <v>0.8052414282641428</v>
      </c>
      <c r="L16" s="27">
        <f t="shared" si="6"/>
        <v>0.80527918699186984</v>
      </c>
      <c r="M16" s="230"/>
      <c r="N16" s="27" t="e">
        <f t="shared" si="7"/>
        <v>#DIV/0!</v>
      </c>
      <c r="O16" s="27" t="e">
        <f t="shared" si="7"/>
        <v>#DIV/0!</v>
      </c>
      <c r="P16" s="27">
        <f t="shared" si="7"/>
        <v>1.7889442857142859</v>
      </c>
      <c r="Q16" s="230"/>
      <c r="R16" s="123"/>
    </row>
    <row r="17" spans="1:19" s="21" customFormat="1" ht="11.25" customHeight="1">
      <c r="A17" s="7" t="s">
        <v>58</v>
      </c>
      <c r="B17" s="25">
        <f>B14-B12</f>
        <v>15758.133333333339</v>
      </c>
      <c r="C17" s="25">
        <f>C14-C12</f>
        <v>16001.443333333329</v>
      </c>
      <c r="D17" s="25">
        <f>D14-D12</f>
        <v>15714.059200000018</v>
      </c>
      <c r="E17" s="229"/>
      <c r="F17" s="25">
        <f>F14-F12</f>
        <v>1521.2099999999991</v>
      </c>
      <c r="G17" s="25">
        <f>G14-G12</f>
        <v>-14803.619999999995</v>
      </c>
      <c r="H17" s="25">
        <f>H14-H12</f>
        <v>-49313.369999999995</v>
      </c>
      <c r="I17" s="229"/>
      <c r="J17" s="25">
        <f>J14-J12</f>
        <v>5366.7833333333328</v>
      </c>
      <c r="K17" s="25">
        <f>K14-K12</f>
        <v>-15090.543333333335</v>
      </c>
      <c r="L17" s="25">
        <f>L14-L12</f>
        <v>-23950.660000000003</v>
      </c>
      <c r="M17" s="229"/>
      <c r="N17" s="25">
        <f>N14-N12</f>
        <v>0</v>
      </c>
      <c r="O17" s="25">
        <f>O14-O12</f>
        <v>19881.29</v>
      </c>
      <c r="P17" s="25">
        <f>P14-P12</f>
        <v>33135.660000000003</v>
      </c>
      <c r="Q17" s="229"/>
      <c r="R17" s="124"/>
    </row>
    <row r="18" spans="1:19" s="21" customFormat="1" ht="15" hidden="1" customHeight="1">
      <c r="A18" s="10" t="s">
        <v>43</v>
      </c>
      <c r="B18" s="11">
        <f t="shared" ref="B18:D19" si="8">B6/B13</f>
        <v>0.34048279660183262</v>
      </c>
      <c r="C18" s="11">
        <f t="shared" si="8"/>
        <v>0.38513254506505984</v>
      </c>
      <c r="D18" s="11">
        <f t="shared" si="8"/>
        <v>0.35891625314653297</v>
      </c>
      <c r="E18" s="231"/>
      <c r="F18" s="11">
        <f t="shared" ref="F18:H19" si="9">F6/F13</f>
        <v>0.3613957340109461</v>
      </c>
      <c r="G18" s="11">
        <f t="shared" si="9"/>
        <v>0.32208305156837314</v>
      </c>
      <c r="H18" s="11">
        <f t="shared" si="9"/>
        <v>0.31240454376671895</v>
      </c>
      <c r="I18" s="231"/>
      <c r="J18" s="11">
        <f t="shared" ref="J18:L19" si="10">J6/J13</f>
        <v>0.3436596168927506</v>
      </c>
      <c r="K18" s="11">
        <f t="shared" si="10"/>
        <v>0.41425076361910979</v>
      </c>
      <c r="L18" s="11">
        <f t="shared" si="10"/>
        <v>0.38735888674738894</v>
      </c>
      <c r="M18" s="231"/>
      <c r="N18" s="11" t="e">
        <f t="shared" ref="N18:P19" si="11">N6/N13</f>
        <v>#DIV/0!</v>
      </c>
      <c r="O18" s="11">
        <f t="shared" si="11"/>
        <v>0.33676237809518395</v>
      </c>
      <c r="P18" s="11">
        <f t="shared" si="11"/>
        <v>0.38685081890543049</v>
      </c>
      <c r="Q18" s="231"/>
      <c r="R18" s="126"/>
    </row>
    <row r="19" spans="1:19" s="21" customFormat="1" ht="15" customHeight="1">
      <c r="A19" s="10" t="s">
        <v>44</v>
      </c>
      <c r="B19" s="11">
        <f t="shared" si="8"/>
        <v>0.34048279660183262</v>
      </c>
      <c r="C19" s="11">
        <f t="shared" si="8"/>
        <v>0.36037628919047993</v>
      </c>
      <c r="D19" s="11">
        <f t="shared" si="8"/>
        <v>0.35994497434191303</v>
      </c>
      <c r="E19" s="231"/>
      <c r="F19" s="11">
        <f t="shared" si="9"/>
        <v>0.3613957340109461</v>
      </c>
      <c r="G19" s="11">
        <f t="shared" si="9"/>
        <v>0.34764707507255183</v>
      </c>
      <c r="H19" s="11">
        <f t="shared" si="9"/>
        <v>0.33609976319596752</v>
      </c>
      <c r="I19" s="231"/>
      <c r="J19" s="11">
        <f t="shared" si="10"/>
        <v>0.3436596168927506</v>
      </c>
      <c r="K19" s="11">
        <f t="shared" si="10"/>
        <v>0.3642616478602736</v>
      </c>
      <c r="L19" s="11">
        <f t="shared" si="10"/>
        <v>0.37280956036658097</v>
      </c>
      <c r="M19" s="231"/>
      <c r="N19" s="11" t="e">
        <f t="shared" si="11"/>
        <v>#DIV/0!</v>
      </c>
      <c r="O19" s="11">
        <f t="shared" si="11"/>
        <v>0.33676237809518395</v>
      </c>
      <c r="P19" s="11">
        <f t="shared" si="11"/>
        <v>0.38685081890543049</v>
      </c>
      <c r="Q19" s="231"/>
      <c r="R19" s="126"/>
    </row>
    <row r="20" spans="1:19" s="71" customFormat="1" ht="15" customHeight="1">
      <c r="B20" s="104"/>
      <c r="C20" s="104"/>
      <c r="D20" s="104"/>
      <c r="E20" s="232"/>
      <c r="F20" s="104"/>
      <c r="G20" s="104"/>
      <c r="H20" s="104"/>
      <c r="I20" s="232"/>
      <c r="J20" s="104"/>
      <c r="K20" s="104"/>
      <c r="L20" s="104"/>
      <c r="M20" s="232"/>
      <c r="O20" s="104"/>
      <c r="P20" s="104"/>
      <c r="Q20" s="232"/>
      <c r="R20" s="127"/>
      <c r="S20" s="70"/>
    </row>
    <row r="21" spans="1:19" s="21" customFormat="1" ht="15" customHeight="1">
      <c r="A21" s="56"/>
      <c r="B21" s="213"/>
      <c r="C21" s="213"/>
      <c r="D21" s="213"/>
      <c r="E21" s="233"/>
      <c r="F21" s="213"/>
      <c r="G21" s="213"/>
      <c r="H21" s="213"/>
      <c r="I21" s="233"/>
      <c r="J21" s="213"/>
      <c r="K21" s="213"/>
      <c r="L21" s="103"/>
      <c r="M21" s="233"/>
      <c r="N21" s="212" t="s">
        <v>33</v>
      </c>
      <c r="O21" s="213"/>
      <c r="P21" s="213"/>
      <c r="Q21" s="213"/>
      <c r="R21" s="131"/>
    </row>
    <row r="22" spans="1:19" s="21" customFormat="1" ht="15" customHeight="1">
      <c r="A22" s="73" t="s">
        <v>89</v>
      </c>
      <c r="B22" s="78">
        <v>2800</v>
      </c>
      <c r="C22" s="78">
        <v>2800</v>
      </c>
      <c r="D22" s="78">
        <v>2800</v>
      </c>
      <c r="E22" s="234"/>
      <c r="F22" s="78">
        <v>2800</v>
      </c>
      <c r="G22" s="78">
        <v>2800</v>
      </c>
      <c r="H22" s="78">
        <v>2800</v>
      </c>
      <c r="I22" s="234"/>
      <c r="J22" s="78">
        <v>2800</v>
      </c>
      <c r="K22" s="78">
        <v>2800</v>
      </c>
      <c r="L22" s="78">
        <v>2800</v>
      </c>
      <c r="M22" s="234"/>
      <c r="N22" s="78">
        <v>2800</v>
      </c>
      <c r="O22" s="78">
        <v>2800</v>
      </c>
      <c r="P22" s="78">
        <v>2800</v>
      </c>
      <c r="Q22" s="234"/>
      <c r="R22" s="131"/>
    </row>
    <row r="23" spans="1:19" s="21" customFormat="1" ht="15" customHeight="1">
      <c r="A23" s="20" t="s">
        <v>61</v>
      </c>
      <c r="B23" s="79">
        <f>B5</f>
        <v>15833.333333333334</v>
      </c>
      <c r="C23" s="79">
        <f>C5</f>
        <v>33333.333333333336</v>
      </c>
      <c r="D23" s="79">
        <f>D5</f>
        <v>50000</v>
      </c>
      <c r="E23" s="235"/>
      <c r="F23" s="79">
        <f>F5</f>
        <v>15583.333333333332</v>
      </c>
      <c r="G23" s="79">
        <f>G5</f>
        <v>28916.666666666664</v>
      </c>
      <c r="H23" s="79">
        <f>H5</f>
        <v>55000</v>
      </c>
      <c r="I23" s="235"/>
      <c r="J23" s="79">
        <f>J5</f>
        <v>14166.666666666668</v>
      </c>
      <c r="K23" s="79">
        <f>K5</f>
        <v>28333.333333333336</v>
      </c>
      <c r="L23" s="79">
        <f>L5</f>
        <v>46000</v>
      </c>
      <c r="M23" s="235"/>
      <c r="N23" s="79">
        <f>N5</f>
        <v>0</v>
      </c>
      <c r="O23" s="79">
        <f>O5</f>
        <v>0</v>
      </c>
      <c r="P23" s="79">
        <f>P5</f>
        <v>15000</v>
      </c>
      <c r="Q23" s="235"/>
      <c r="R23" s="133"/>
    </row>
    <row r="24" spans="1:19" s="21" customFormat="1" ht="15" customHeight="1">
      <c r="A24" s="40" t="s">
        <v>62</v>
      </c>
      <c r="B24" s="55">
        <f>B7</f>
        <v>19381.915100000002</v>
      </c>
      <c r="C24" s="55">
        <f>C7</f>
        <v>36999.152500000004</v>
      </c>
      <c r="D24" s="55">
        <f>D7</f>
        <v>52449.043300000005</v>
      </c>
      <c r="E24" s="236"/>
      <c r="F24" s="55">
        <f>F7</f>
        <v>15909.077499999999</v>
      </c>
      <c r="G24" s="55">
        <f>G7</f>
        <v>23534.448499999999</v>
      </c>
      <c r="H24" s="55">
        <f>H7</f>
        <v>33840.752500000002</v>
      </c>
      <c r="I24" s="236"/>
      <c r="J24" s="55">
        <f>J7</f>
        <v>15184.067499999999</v>
      </c>
      <c r="K24" s="55">
        <f>K7</f>
        <v>22727.300499999998</v>
      </c>
      <c r="L24" s="55">
        <f>L7</f>
        <v>36926.5409</v>
      </c>
      <c r="M24" s="236"/>
      <c r="N24" s="55">
        <f>N7</f>
        <v>0</v>
      </c>
      <c r="O24" s="55">
        <f>O7</f>
        <v>6695.2704999999996</v>
      </c>
      <c r="P24" s="55">
        <f>P7</f>
        <v>29066.2916</v>
      </c>
      <c r="Q24" s="236"/>
      <c r="R24" s="133"/>
    </row>
    <row r="25" spans="1:19" s="23" customFormat="1" ht="15" customHeight="1">
      <c r="A25" s="40" t="s">
        <v>63</v>
      </c>
      <c r="B25" s="97">
        <f>B24/B23</f>
        <v>1.2241209536842106</v>
      </c>
      <c r="C25" s="97">
        <f>C24/C23</f>
        <v>1.1099745750000001</v>
      </c>
      <c r="D25" s="97">
        <f>D24/D23</f>
        <v>1.0489808660000002</v>
      </c>
      <c r="E25" s="237"/>
      <c r="F25" s="97">
        <f>F24/F23</f>
        <v>1.0209033689839573</v>
      </c>
      <c r="G25" s="97">
        <f>G24/G23</f>
        <v>0.81387141786743522</v>
      </c>
      <c r="H25" s="97">
        <f>H24/H23</f>
        <v>0.61528640909090915</v>
      </c>
      <c r="I25" s="237"/>
      <c r="J25" s="97">
        <f>J24/J23</f>
        <v>1.0718165294117645</v>
      </c>
      <c r="K25" s="97">
        <f>K24/K23</f>
        <v>0.80214001764705867</v>
      </c>
      <c r="L25" s="97">
        <f>L24/L23</f>
        <v>0.8027508891304348</v>
      </c>
      <c r="M25" s="237"/>
      <c r="N25" s="97" t="e">
        <f>N24/N23</f>
        <v>#DIV/0!</v>
      </c>
      <c r="O25" s="97" t="e">
        <f>O24/O23</f>
        <v>#DIV/0!</v>
      </c>
      <c r="P25" s="97">
        <f>P24/P23</f>
        <v>1.9377527733333333</v>
      </c>
      <c r="Q25" s="237"/>
      <c r="R25" s="133"/>
    </row>
    <row r="26" spans="1:19" s="21" customFormat="1" ht="15" customHeight="1">
      <c r="A26" s="39" t="s">
        <v>71</v>
      </c>
      <c r="B26" s="58">
        <f>B22*0.2</f>
        <v>560</v>
      </c>
      <c r="C26" s="58">
        <f>C22*0.2</f>
        <v>560</v>
      </c>
      <c r="D26" s="58">
        <f>D22*0.2</f>
        <v>560</v>
      </c>
      <c r="E26" s="238"/>
      <c r="F26" s="58">
        <f>F22*0.2</f>
        <v>560</v>
      </c>
      <c r="G26" s="58">
        <f>G22*0.2</f>
        <v>560</v>
      </c>
      <c r="H26" s="58">
        <f>H22*0.2</f>
        <v>560</v>
      </c>
      <c r="I26" s="238"/>
      <c r="J26" s="58">
        <f>J22*0.2</f>
        <v>560</v>
      </c>
      <c r="K26" s="58">
        <f>K22*0.2</f>
        <v>560</v>
      </c>
      <c r="L26" s="58">
        <f>L22*0.2</f>
        <v>560</v>
      </c>
      <c r="M26" s="238"/>
      <c r="N26" s="58">
        <f>N22*0.2</f>
        <v>560</v>
      </c>
      <c r="O26" s="58">
        <f>O22*0.2</f>
        <v>560</v>
      </c>
      <c r="P26" s="58">
        <f>P22*0.2</f>
        <v>560</v>
      </c>
      <c r="Q26" s="238"/>
      <c r="R26" s="136"/>
      <c r="S26" s="12"/>
    </row>
    <row r="27" spans="1:19" s="21" customFormat="1" ht="15" customHeight="1">
      <c r="A27" s="40" t="s">
        <v>64</v>
      </c>
      <c r="B27" s="82">
        <f>IF(B25&lt;80%,0,IF(B25&lt;90%,0.5,IF(B25&lt;95%,0.75,1)))</f>
        <v>1</v>
      </c>
      <c r="C27" s="82">
        <f>IF(C25&lt;80%,0,IF(C25&lt;90%,0.5,IF(C25&lt;95%,0.75,1)))</f>
        <v>1</v>
      </c>
      <c r="D27" s="82">
        <f>IF(D25&lt;80%,0,IF(D25&lt;90%,0.5,IF(D25&lt;95%,0.75,1)))</f>
        <v>1</v>
      </c>
      <c r="E27" s="236"/>
      <c r="F27" s="82">
        <f>IF(F25&lt;80%,0,IF(F25&lt;90%,0.5,IF(F25&lt;95%,0.75,1)))</f>
        <v>1</v>
      </c>
      <c r="G27" s="82">
        <f>IF(G25&lt;80%,0,IF(G25&lt;90%,0.5,IF(G25&lt;95%,0.75,1)))</f>
        <v>0.5</v>
      </c>
      <c r="H27" s="82">
        <f>IF(H25&lt;80%,0,IF(H25&lt;90%,0.5,IF(H25&lt;95%,0.75,1)))</f>
        <v>0</v>
      </c>
      <c r="I27" s="236"/>
      <c r="J27" s="82">
        <f>IF(J25&lt;80%,0,IF(J25&lt;90%,0.5,IF(J25&lt;95%,0.75,1)))</f>
        <v>1</v>
      </c>
      <c r="K27" s="82">
        <f>IF(K25&lt;80%,0,IF(K25&lt;90%,0.5,IF(K25&lt;95%,0.75,1)))</f>
        <v>0.5</v>
      </c>
      <c r="L27" s="82">
        <f>IF(L25&lt;80%,0,IF(L25&lt;90%,0.5,IF(L25&lt;95%,0.75,1)))</f>
        <v>0.5</v>
      </c>
      <c r="M27" s="236"/>
      <c r="N27" s="82" t="e">
        <f>IF(N25&lt;80%,0,IF(N25&lt;90%,0.5,IF(N25&lt;95%,0.75,1)))</f>
        <v>#DIV/0!</v>
      </c>
      <c r="O27" s="82" t="e">
        <f>IF(O25&lt;80%,0,IF(O25&lt;90%,0.5,IF(O25&lt;95%,0.75,1)))</f>
        <v>#DIV/0!</v>
      </c>
      <c r="P27" s="82">
        <f>IF(P25&lt;80%,0,IF(P25&lt;90%,0.5,IF(P25&lt;95%,0.75,1)))</f>
        <v>1</v>
      </c>
      <c r="Q27" s="236"/>
      <c r="R27" s="133"/>
      <c r="S27" s="12"/>
    </row>
    <row r="28" spans="1:19" s="22" customFormat="1" ht="15" customHeight="1">
      <c r="A28" s="59" t="s">
        <v>65</v>
      </c>
      <c r="B28" s="77">
        <f>B27*B26</f>
        <v>560</v>
      </c>
      <c r="C28" s="77">
        <f>C27*C26</f>
        <v>560</v>
      </c>
      <c r="D28" s="77">
        <f>D27*D26</f>
        <v>560</v>
      </c>
      <c r="E28" s="239"/>
      <c r="F28" s="77">
        <f>F27*F26</f>
        <v>560</v>
      </c>
      <c r="G28" s="77">
        <f>G27*G26</f>
        <v>280</v>
      </c>
      <c r="H28" s="77">
        <f>H27*H26</f>
        <v>0</v>
      </c>
      <c r="I28" s="239"/>
      <c r="J28" s="77">
        <f>J27*J26</f>
        <v>560</v>
      </c>
      <c r="K28" s="77">
        <f>K27*K26</f>
        <v>280</v>
      </c>
      <c r="L28" s="77">
        <f>L27*L26</f>
        <v>280</v>
      </c>
      <c r="M28" s="239"/>
      <c r="N28" s="77" t="e">
        <f>N27*N26</f>
        <v>#DIV/0!</v>
      </c>
      <c r="O28" s="77" t="e">
        <f>O27*O26</f>
        <v>#DIV/0!</v>
      </c>
      <c r="P28" s="77">
        <f>P27*P26</f>
        <v>560</v>
      </c>
      <c r="Q28" s="239"/>
      <c r="R28" s="137"/>
    </row>
    <row r="29" spans="1:19" s="21" customFormat="1" ht="15" customHeight="1">
      <c r="A29" s="20" t="s">
        <v>60</v>
      </c>
      <c r="B29" s="42">
        <f>B12</f>
        <v>41166.666666666664</v>
      </c>
      <c r="C29" s="42">
        <f>C12</f>
        <v>86666.666666666672</v>
      </c>
      <c r="D29" s="42">
        <f>D12</f>
        <v>130000</v>
      </c>
      <c r="E29" s="235"/>
      <c r="F29" s="42">
        <f>F12</f>
        <v>42500</v>
      </c>
      <c r="G29" s="42">
        <f>G12</f>
        <v>82500</v>
      </c>
      <c r="H29" s="42">
        <f>H12</f>
        <v>150000</v>
      </c>
      <c r="I29" s="235"/>
      <c r="J29" s="42">
        <f>J12</f>
        <v>38816.666666666664</v>
      </c>
      <c r="K29" s="42">
        <f>K12</f>
        <v>77483.333333333328</v>
      </c>
      <c r="L29" s="42">
        <f>L12</f>
        <v>123000</v>
      </c>
      <c r="M29" s="235"/>
      <c r="N29" s="42">
        <f>N12</f>
        <v>0</v>
      </c>
      <c r="O29" s="42">
        <f>O12</f>
        <v>0</v>
      </c>
      <c r="P29" s="42">
        <f>P12</f>
        <v>42000</v>
      </c>
      <c r="Q29" s="235"/>
      <c r="R29" s="133"/>
    </row>
    <row r="30" spans="1:19" s="21" customFormat="1" ht="15" customHeight="1">
      <c r="A30" s="40" t="s">
        <v>66</v>
      </c>
      <c r="B30" s="41">
        <f>B14</f>
        <v>56924.800000000003</v>
      </c>
      <c r="C30" s="41">
        <f>C14</f>
        <v>102668.11</v>
      </c>
      <c r="D30" s="41">
        <f>D14</f>
        <v>145714.05920000002</v>
      </c>
      <c r="E30" s="236"/>
      <c r="F30" s="41">
        <f>F14</f>
        <v>44021.21</v>
      </c>
      <c r="G30" s="41">
        <f>G14</f>
        <v>67696.38</v>
      </c>
      <c r="H30" s="41">
        <f>H14</f>
        <v>100686.63</v>
      </c>
      <c r="I30" s="236"/>
      <c r="J30" s="41">
        <f>J14</f>
        <v>44183.45</v>
      </c>
      <c r="K30" s="41">
        <f>K14</f>
        <v>62392.789999999994</v>
      </c>
      <c r="L30" s="41">
        <f>L14</f>
        <v>99049.34</v>
      </c>
      <c r="M30" s="236"/>
      <c r="N30" s="41">
        <f>N14</f>
        <v>0</v>
      </c>
      <c r="O30" s="41">
        <f>O14</f>
        <v>19881.29</v>
      </c>
      <c r="P30" s="41">
        <f>P14</f>
        <v>75135.66</v>
      </c>
      <c r="Q30" s="236"/>
      <c r="R30" s="133"/>
    </row>
    <row r="31" spans="1:19" s="23" customFormat="1" ht="15" customHeight="1">
      <c r="A31" s="40" t="s">
        <v>67</v>
      </c>
      <c r="B31" s="97">
        <f>B30/B29</f>
        <v>1.3827886639676115</v>
      </c>
      <c r="C31" s="97">
        <f>C30/C29</f>
        <v>1.1846320384615383</v>
      </c>
      <c r="D31" s="97">
        <f>D30/D29</f>
        <v>1.1208773784615387</v>
      </c>
      <c r="E31" s="237"/>
      <c r="F31" s="97">
        <f>F30/F29</f>
        <v>1.0357931764705881</v>
      </c>
      <c r="G31" s="97">
        <f>G30/G29</f>
        <v>0.82056218181818186</v>
      </c>
      <c r="H31" s="97">
        <f>H30/H29</f>
        <v>0.67124420000000007</v>
      </c>
      <c r="I31" s="237"/>
      <c r="J31" s="97">
        <f>J30/J29</f>
        <v>1.1382597681408331</v>
      </c>
      <c r="K31" s="97">
        <f>K30/K29</f>
        <v>0.8052414282641428</v>
      </c>
      <c r="L31" s="97">
        <f>L30/L29</f>
        <v>0.80527918699186984</v>
      </c>
      <c r="M31" s="237"/>
      <c r="N31" s="97" t="e">
        <f>N30/N29</f>
        <v>#DIV/0!</v>
      </c>
      <c r="O31" s="97" t="e">
        <f>O30/O29</f>
        <v>#DIV/0!</v>
      </c>
      <c r="P31" s="97">
        <f>P30/P29</f>
        <v>1.7889442857142859</v>
      </c>
      <c r="Q31" s="237"/>
      <c r="R31" s="133"/>
    </row>
    <row r="32" spans="1:19" s="23" customFormat="1" ht="15" customHeight="1">
      <c r="A32" s="88" t="s">
        <v>72</v>
      </c>
      <c r="B32" s="87">
        <f>B22*0.2</f>
        <v>560</v>
      </c>
      <c r="C32" s="87">
        <f>C22*0.2</f>
        <v>560</v>
      </c>
      <c r="D32" s="87">
        <f>D22*0.2</f>
        <v>560</v>
      </c>
      <c r="E32" s="236"/>
      <c r="F32" s="87">
        <f>F22*0.2</f>
        <v>560</v>
      </c>
      <c r="G32" s="87">
        <f>G22*0.2</f>
        <v>560</v>
      </c>
      <c r="H32" s="87">
        <f>H22*0.2</f>
        <v>560</v>
      </c>
      <c r="I32" s="236"/>
      <c r="J32" s="87">
        <f>J22*0.2</f>
        <v>560</v>
      </c>
      <c r="K32" s="87">
        <f>K22*0.2</f>
        <v>560</v>
      </c>
      <c r="L32" s="87">
        <f>L22*0.2</f>
        <v>560</v>
      </c>
      <c r="M32" s="236"/>
      <c r="N32" s="87">
        <f>N22*0.2</f>
        <v>560</v>
      </c>
      <c r="O32" s="87">
        <f>O22*0.2</f>
        <v>560</v>
      </c>
      <c r="P32" s="87">
        <f>P22*0.2</f>
        <v>560</v>
      </c>
      <c r="Q32" s="236"/>
      <c r="R32" s="133"/>
    </row>
    <row r="33" spans="1:19" s="37" customFormat="1" ht="15" customHeight="1">
      <c r="A33" s="40" t="s">
        <v>68</v>
      </c>
      <c r="B33" s="58">
        <f>IF(B31&lt;80%,0,IF(B31&lt;90%,0.5,IF(B31&lt;95%,0.75,1)))</f>
        <v>1</v>
      </c>
      <c r="C33" s="58">
        <f>IF(C31&lt;80%,0,IF(C31&lt;90%,0.5,IF(C31&lt;95%,0.75,1)))</f>
        <v>1</v>
      </c>
      <c r="D33" s="58">
        <f>IF(D31&lt;80%,0,IF(D31&lt;90%,0.5,IF(D31&lt;95%,0.75,1)))</f>
        <v>1</v>
      </c>
      <c r="E33" s="238"/>
      <c r="F33" s="58">
        <f>IF(F31&lt;80%,0,IF(F31&lt;90%,0.5,IF(F31&lt;95%,0.75,1)))</f>
        <v>1</v>
      </c>
      <c r="G33" s="58">
        <f>IF(G31&lt;80%,0,IF(G31&lt;90%,0.5,IF(G31&lt;95%,0.75,1)))</f>
        <v>0.5</v>
      </c>
      <c r="H33" s="58">
        <f>IF(H31&lt;80%,0,IF(H31&lt;90%,0.5,IF(H31&lt;95%,0.75,1)))</f>
        <v>0</v>
      </c>
      <c r="I33" s="238"/>
      <c r="J33" s="58">
        <f>IF(J31&lt;80%,0,IF(J31&lt;90%,0.5,IF(J31&lt;95%,0.75,1)))</f>
        <v>1</v>
      </c>
      <c r="K33" s="58">
        <f>IF(K31&lt;80%,0,IF(K31&lt;90%,0.5,IF(K31&lt;95%,0.75,1)))</f>
        <v>0.5</v>
      </c>
      <c r="L33" s="58">
        <f>IF(L31&lt;80%,0,IF(L31&lt;90%,0.5,IF(L31&lt;95%,0.75,1)))</f>
        <v>0.5</v>
      </c>
      <c r="M33" s="238"/>
      <c r="N33" s="58" t="e">
        <f>IF(N31&lt;80%,0,IF(N31&lt;90%,0.5,IF(N31&lt;95%,0.75,1)))</f>
        <v>#DIV/0!</v>
      </c>
      <c r="O33" s="58" t="e">
        <f>IF(O31&lt;80%,0,IF(O31&lt;90%,0.5,IF(O31&lt;95%,0.75,1)))</f>
        <v>#DIV/0!</v>
      </c>
      <c r="P33" s="58">
        <f>IF(P31&lt;80%,0,IF(P31&lt;90%,0.5,IF(P31&lt;95%,0.75,1)))</f>
        <v>1</v>
      </c>
      <c r="Q33" s="238"/>
      <c r="R33" s="133"/>
    </row>
    <row r="34" spans="1:19" s="21" customFormat="1" ht="15" customHeight="1">
      <c r="A34" s="59" t="s">
        <v>69</v>
      </c>
      <c r="B34" s="77">
        <f>B33*B32</f>
        <v>560</v>
      </c>
      <c r="C34" s="77">
        <f>C33*C32</f>
        <v>560</v>
      </c>
      <c r="D34" s="77">
        <f>D33*D32</f>
        <v>560</v>
      </c>
      <c r="E34" s="239"/>
      <c r="F34" s="77">
        <f>F33*F32</f>
        <v>560</v>
      </c>
      <c r="G34" s="77">
        <f>G33*G32</f>
        <v>280</v>
      </c>
      <c r="H34" s="77">
        <f>H33*H32</f>
        <v>0</v>
      </c>
      <c r="I34" s="239"/>
      <c r="J34" s="77">
        <f>J33*J32</f>
        <v>560</v>
      </c>
      <c r="K34" s="77">
        <f>K33*K32</f>
        <v>280</v>
      </c>
      <c r="L34" s="77">
        <f>L33*L32</f>
        <v>280</v>
      </c>
      <c r="M34" s="239"/>
      <c r="N34" s="77" t="e">
        <f>N33*N32</f>
        <v>#DIV/0!</v>
      </c>
      <c r="O34" s="77" t="e">
        <f>O33*O32</f>
        <v>#DIV/0!</v>
      </c>
      <c r="P34" s="77">
        <f>P33*P32</f>
        <v>560</v>
      </c>
      <c r="Q34" s="239"/>
      <c r="R34" s="137"/>
    </row>
    <row r="35" spans="1:19" s="23" customFormat="1" ht="15" customHeight="1">
      <c r="A35" s="20" t="s">
        <v>45</v>
      </c>
      <c r="B35" s="98">
        <v>1</v>
      </c>
      <c r="C35" s="98">
        <v>1</v>
      </c>
      <c r="D35" s="98">
        <v>1</v>
      </c>
      <c r="E35" s="235"/>
      <c r="F35" s="98">
        <v>1</v>
      </c>
      <c r="G35" s="98">
        <v>1</v>
      </c>
      <c r="H35" s="98">
        <v>1</v>
      </c>
      <c r="I35" s="235"/>
      <c r="J35" s="98">
        <v>1</v>
      </c>
      <c r="K35" s="98">
        <v>1</v>
      </c>
      <c r="L35" s="98">
        <v>1</v>
      </c>
      <c r="M35" s="235"/>
      <c r="N35" s="98">
        <v>1</v>
      </c>
      <c r="O35" s="98">
        <v>1</v>
      </c>
      <c r="P35" s="98">
        <v>1</v>
      </c>
      <c r="Q35" s="235"/>
      <c r="R35" s="138"/>
    </row>
    <row r="36" spans="1:19" s="23" customFormat="1" ht="15" customHeight="1">
      <c r="A36" s="52" t="s">
        <v>70</v>
      </c>
      <c r="B36" s="83">
        <f>B22*0.1</f>
        <v>280</v>
      </c>
      <c r="C36" s="83">
        <f>C22*0.1</f>
        <v>280</v>
      </c>
      <c r="D36" s="83">
        <f>D22*0.1</f>
        <v>280</v>
      </c>
      <c r="E36" s="240"/>
      <c r="F36" s="83">
        <f>F22*0.1</f>
        <v>280</v>
      </c>
      <c r="G36" s="83">
        <f>G22*0.1</f>
        <v>280</v>
      </c>
      <c r="H36" s="83">
        <f>H22*0.1</f>
        <v>280</v>
      </c>
      <c r="I36" s="240"/>
      <c r="J36" s="83">
        <f>J22*0.1</f>
        <v>280</v>
      </c>
      <c r="K36" s="83">
        <f>K22*0.1</f>
        <v>280</v>
      </c>
      <c r="L36" s="83">
        <f>L22*0.1</f>
        <v>280</v>
      </c>
      <c r="M36" s="240"/>
      <c r="N36" s="83">
        <f>N22*0.1</f>
        <v>280</v>
      </c>
      <c r="O36" s="83">
        <f>O22*0.1</f>
        <v>280</v>
      </c>
      <c r="P36" s="83">
        <f>P22*0.1</f>
        <v>280</v>
      </c>
      <c r="Q36" s="240"/>
      <c r="R36" s="136"/>
    </row>
    <row r="37" spans="1:19" s="37" customFormat="1" ht="15" customHeight="1">
      <c r="A37" s="40" t="s">
        <v>73</v>
      </c>
      <c r="B37" s="105" t="s">
        <v>242</v>
      </c>
      <c r="C37" s="105" t="s">
        <v>242</v>
      </c>
      <c r="D37" s="105" t="s">
        <v>242</v>
      </c>
      <c r="E37" s="236"/>
      <c r="F37" s="105" t="s">
        <v>242</v>
      </c>
      <c r="G37" s="105" t="s">
        <v>242</v>
      </c>
      <c r="H37" s="105" t="s">
        <v>242</v>
      </c>
      <c r="I37" s="236"/>
      <c r="J37" s="105" t="s">
        <v>242</v>
      </c>
      <c r="K37" s="105" t="s">
        <v>242</v>
      </c>
      <c r="L37" s="105" t="s">
        <v>242</v>
      </c>
      <c r="M37" s="236"/>
      <c r="N37" s="107"/>
      <c r="O37" s="105"/>
      <c r="P37" s="105" t="s">
        <v>242</v>
      </c>
      <c r="Q37" s="236"/>
      <c r="R37" s="133"/>
    </row>
    <row r="38" spans="1:19" s="22" customFormat="1" ht="15" customHeight="1">
      <c r="A38" s="66" t="s">
        <v>74</v>
      </c>
      <c r="B38" s="81">
        <f>B37*B36</f>
        <v>280</v>
      </c>
      <c r="C38" s="81">
        <f>C37*C36</f>
        <v>280</v>
      </c>
      <c r="D38" s="81">
        <f>D37*D36</f>
        <v>280</v>
      </c>
      <c r="E38" s="239"/>
      <c r="F38" s="81">
        <f>F37*F36</f>
        <v>280</v>
      </c>
      <c r="G38" s="81">
        <f>G37*G36</f>
        <v>280</v>
      </c>
      <c r="H38" s="81">
        <f>H37*H36</f>
        <v>280</v>
      </c>
      <c r="I38" s="239"/>
      <c r="J38" s="81">
        <f>J37*J36</f>
        <v>280</v>
      </c>
      <c r="K38" s="81">
        <f>K37*K36</f>
        <v>280</v>
      </c>
      <c r="L38" s="81">
        <f>L37*L36</f>
        <v>280</v>
      </c>
      <c r="M38" s="239"/>
      <c r="N38" s="81">
        <f>N37*N36</f>
        <v>0</v>
      </c>
      <c r="O38" s="81">
        <f>O37*O36</f>
        <v>0</v>
      </c>
      <c r="P38" s="81">
        <f>P37*P36</f>
        <v>280</v>
      </c>
      <c r="Q38" s="239"/>
      <c r="R38" s="140"/>
      <c r="S38" s="14"/>
    </row>
    <row r="39" spans="1:19" s="43" customFormat="1" ht="15" customHeight="1">
      <c r="A39" s="56" t="s">
        <v>78</v>
      </c>
      <c r="B39" s="84">
        <f>B34+B28+B38</f>
        <v>1400</v>
      </c>
      <c r="C39" s="84">
        <f>C34+C28+C38</f>
        <v>1400</v>
      </c>
      <c r="D39" s="84">
        <f>D34+D28+D38</f>
        <v>1400</v>
      </c>
      <c r="E39" s="241"/>
      <c r="F39" s="84">
        <f>F34+F28+F38</f>
        <v>1400</v>
      </c>
      <c r="G39" s="84">
        <f>G34+G28+G38</f>
        <v>840</v>
      </c>
      <c r="H39" s="84">
        <f>H34+H28+H38</f>
        <v>280</v>
      </c>
      <c r="I39" s="241"/>
      <c r="J39" s="84">
        <f>J34+J28+J38</f>
        <v>1400</v>
      </c>
      <c r="K39" s="84">
        <f>K34+K28+K38</f>
        <v>840</v>
      </c>
      <c r="L39" s="84">
        <f>L34+L28+L38</f>
        <v>840</v>
      </c>
      <c r="M39" s="241"/>
      <c r="N39" s="84" t="e">
        <f>N34+N28+N38</f>
        <v>#DIV/0!</v>
      </c>
      <c r="O39" s="84" t="e">
        <f>O34+O28+O38</f>
        <v>#DIV/0!</v>
      </c>
      <c r="P39" s="84">
        <f>P34+P28+P38</f>
        <v>1400</v>
      </c>
      <c r="Q39" s="241"/>
      <c r="R39" s="141"/>
      <c r="S39" s="17"/>
    </row>
    <row r="40" spans="1:19" s="21" customFormat="1" ht="15" customHeight="1">
      <c r="A40" s="132" t="s">
        <v>162</v>
      </c>
      <c r="B40" s="586">
        <f>D5</f>
        <v>50000</v>
      </c>
      <c r="C40" s="587"/>
      <c r="D40" s="587"/>
      <c r="E40" s="574"/>
      <c r="F40" s="586">
        <f>H5</f>
        <v>55000</v>
      </c>
      <c r="G40" s="587"/>
      <c r="H40" s="587"/>
      <c r="I40" s="574"/>
      <c r="J40" s="586">
        <f>L5</f>
        <v>46000</v>
      </c>
      <c r="K40" s="587"/>
      <c r="L40" s="587"/>
      <c r="M40" s="574"/>
      <c r="N40" s="586">
        <f>P5</f>
        <v>15000</v>
      </c>
      <c r="O40" s="587"/>
      <c r="P40" s="587"/>
      <c r="Q40" s="574"/>
      <c r="R40" s="136"/>
    </row>
    <row r="41" spans="1:19" s="37" customFormat="1" ht="15" customHeight="1">
      <c r="A41" s="134" t="s">
        <v>80</v>
      </c>
      <c r="B41" s="580">
        <f>D7</f>
        <v>52449.043300000005</v>
      </c>
      <c r="C41" s="581"/>
      <c r="D41" s="581"/>
      <c r="E41" s="574"/>
      <c r="F41" s="580">
        <f>H7</f>
        <v>33840.752500000002</v>
      </c>
      <c r="G41" s="581"/>
      <c r="H41" s="581"/>
      <c r="I41" s="574"/>
      <c r="J41" s="580">
        <f>L7</f>
        <v>36926.5409</v>
      </c>
      <c r="K41" s="581"/>
      <c r="L41" s="581"/>
      <c r="M41" s="574"/>
      <c r="N41" s="580">
        <f>P7</f>
        <v>29066.2916</v>
      </c>
      <c r="O41" s="581"/>
      <c r="P41" s="581"/>
      <c r="Q41" s="574"/>
      <c r="R41" s="136"/>
    </row>
    <row r="42" spans="1:19" s="21" customFormat="1" ht="15" customHeight="1">
      <c r="A42" s="134" t="s">
        <v>79</v>
      </c>
      <c r="B42" s="582">
        <f>B41/B40</f>
        <v>1.0489808660000002</v>
      </c>
      <c r="C42" s="583"/>
      <c r="D42" s="583"/>
      <c r="E42" s="574"/>
      <c r="F42" s="582">
        <f>F41/F40</f>
        <v>0.61528640909090915</v>
      </c>
      <c r="G42" s="583"/>
      <c r="H42" s="583"/>
      <c r="I42" s="574"/>
      <c r="J42" s="582">
        <f>J41/J40</f>
        <v>0.8027508891304348</v>
      </c>
      <c r="K42" s="583"/>
      <c r="L42" s="583"/>
      <c r="M42" s="574"/>
      <c r="N42" s="582">
        <f>N41/N40</f>
        <v>1.9377527733333333</v>
      </c>
      <c r="O42" s="583"/>
      <c r="P42" s="583"/>
      <c r="Q42" s="574"/>
      <c r="R42" s="142"/>
    </row>
    <row r="43" spans="1:19" s="22" customFormat="1" ht="15" customHeight="1">
      <c r="A43" s="134" t="s">
        <v>76</v>
      </c>
      <c r="B43" s="572">
        <f>D22</f>
        <v>2800</v>
      </c>
      <c r="C43" s="573"/>
      <c r="D43" s="573"/>
      <c r="E43" s="574"/>
      <c r="F43" s="572">
        <f>H22</f>
        <v>2800</v>
      </c>
      <c r="G43" s="573"/>
      <c r="H43" s="573"/>
      <c r="I43" s="574"/>
      <c r="J43" s="572">
        <f>L22</f>
        <v>2800</v>
      </c>
      <c r="K43" s="573"/>
      <c r="L43" s="573"/>
      <c r="M43" s="574"/>
      <c r="N43" s="572">
        <f>P22</f>
        <v>2800</v>
      </c>
      <c r="O43" s="573"/>
      <c r="P43" s="573"/>
      <c r="Q43" s="574"/>
      <c r="R43" s="136"/>
    </row>
    <row r="44" spans="1:19" s="37" customFormat="1" ht="15" customHeight="1">
      <c r="A44" s="88" t="s">
        <v>77</v>
      </c>
      <c r="B44" s="575">
        <f>IF(B42&lt;100%,0,IF(B42&lt;110%,0.5,IF(B42&lt;120%,0.7,1)))</f>
        <v>0.5</v>
      </c>
      <c r="C44" s="576"/>
      <c r="D44" s="576"/>
      <c r="E44" s="577"/>
      <c r="F44" s="575">
        <f>IF(F42&lt;100%,0,IF(F42&lt;110%,0.5,IF(F42&lt;120%,0.7,1)))</f>
        <v>0</v>
      </c>
      <c r="G44" s="576"/>
      <c r="H44" s="576"/>
      <c r="I44" s="577"/>
      <c r="J44" s="575">
        <f>IF(J42&lt;100%,0,IF(J42&lt;110%,0.5,IF(J42&lt;120%,0.7,1)))</f>
        <v>0</v>
      </c>
      <c r="K44" s="576"/>
      <c r="L44" s="576"/>
      <c r="M44" s="577"/>
      <c r="N44" s="575">
        <f>IF(N42&lt;100%,0,IF(N42&lt;110%,0.5,IF(N42&lt;120%,0.7,1)))</f>
        <v>1</v>
      </c>
      <c r="O44" s="576"/>
      <c r="P44" s="576"/>
      <c r="Q44" s="577"/>
      <c r="R44" s="143"/>
    </row>
    <row r="45" spans="1:19" s="21" customFormat="1" ht="15" customHeight="1">
      <c r="A45" s="56" t="s">
        <v>75</v>
      </c>
      <c r="B45" s="578">
        <f>B44*B43</f>
        <v>1400</v>
      </c>
      <c r="C45" s="579"/>
      <c r="D45" s="579"/>
      <c r="E45" s="577"/>
      <c r="F45" s="578">
        <f>F44*F43</f>
        <v>0</v>
      </c>
      <c r="G45" s="579"/>
      <c r="H45" s="579"/>
      <c r="I45" s="577"/>
      <c r="J45" s="578">
        <f>J44*J43</f>
        <v>0</v>
      </c>
      <c r="K45" s="579"/>
      <c r="L45" s="579"/>
      <c r="M45" s="577"/>
      <c r="N45" s="578">
        <f>N44*N43</f>
        <v>2800</v>
      </c>
      <c r="O45" s="579"/>
      <c r="P45" s="579"/>
      <c r="Q45" s="577"/>
      <c r="R45" s="144"/>
    </row>
    <row r="46" spans="1:19" s="21" customFormat="1" ht="15" customHeight="1">
      <c r="A46" s="63"/>
      <c r="B46" s="64"/>
      <c r="C46" s="64"/>
      <c r="D46" s="64"/>
      <c r="E46" s="146"/>
      <c r="F46" s="64"/>
      <c r="G46" s="64"/>
      <c r="H46" s="64"/>
      <c r="I46" s="146"/>
      <c r="J46" s="64"/>
      <c r="K46" s="64"/>
      <c r="L46" s="64"/>
      <c r="M46" s="146"/>
      <c r="N46" s="64"/>
      <c r="O46" s="64"/>
      <c r="P46" s="64"/>
      <c r="Q46" s="146"/>
      <c r="R46" s="147"/>
    </row>
    <row r="47" spans="1:19" s="21" customFormat="1" ht="15" customHeight="1">
      <c r="A47" s="208" t="s">
        <v>27</v>
      </c>
      <c r="B47" s="114" t="s">
        <v>10</v>
      </c>
      <c r="C47" s="114" t="s">
        <v>11</v>
      </c>
      <c r="D47" s="114" t="s">
        <v>12</v>
      </c>
      <c r="E47" s="223" t="s">
        <v>165</v>
      </c>
      <c r="F47" s="114" t="s">
        <v>7</v>
      </c>
      <c r="G47" s="114" t="s">
        <v>8</v>
      </c>
      <c r="H47" s="114" t="s">
        <v>9</v>
      </c>
      <c r="I47" s="223" t="s">
        <v>164</v>
      </c>
      <c r="J47" s="114" t="s">
        <v>4</v>
      </c>
      <c r="K47" s="114" t="s">
        <v>5</v>
      </c>
      <c r="L47" s="114" t="s">
        <v>6</v>
      </c>
      <c r="M47" s="223" t="s">
        <v>163</v>
      </c>
      <c r="N47" s="114" t="s">
        <v>1</v>
      </c>
      <c r="O47" s="114" t="s">
        <v>2</v>
      </c>
      <c r="P47" s="114" t="s">
        <v>3</v>
      </c>
      <c r="Q47" s="223" t="s">
        <v>152</v>
      </c>
      <c r="R47" s="114" t="s">
        <v>166</v>
      </c>
    </row>
    <row r="48" spans="1:19" s="21" customFormat="1" ht="15" customHeight="1">
      <c r="A48" s="148" t="s">
        <v>36</v>
      </c>
      <c r="B48" s="115"/>
      <c r="C48" s="115"/>
      <c r="D48" s="115"/>
      <c r="E48" s="224">
        <f>SUM(B48:D48)</f>
        <v>0</v>
      </c>
      <c r="F48" s="115"/>
      <c r="G48" s="115"/>
      <c r="H48" s="115"/>
      <c r="I48" s="224">
        <f>SUM(F48:H48)</f>
        <v>0</v>
      </c>
      <c r="J48" s="115"/>
      <c r="K48" s="115"/>
      <c r="L48" s="115"/>
      <c r="M48" s="224">
        <f>SUM(J48:L48)</f>
        <v>0</v>
      </c>
      <c r="N48" s="115"/>
      <c r="O48" s="115"/>
      <c r="P48" s="115"/>
      <c r="Q48" s="224">
        <f>SUM(N48:P48)</f>
        <v>0</v>
      </c>
      <c r="R48" s="116">
        <f t="shared" ref="R48:R61" si="12">Q48+M48+I48+E48</f>
        <v>0</v>
      </c>
    </row>
    <row r="49" spans="1:19" s="21" customFormat="1" ht="15" customHeight="1">
      <c r="A49" s="148" t="s">
        <v>37</v>
      </c>
      <c r="B49" s="115">
        <v>1</v>
      </c>
      <c r="C49" s="115">
        <v>2</v>
      </c>
      <c r="D49" s="115"/>
      <c r="E49" s="224">
        <f t="shared" ref="E49:E61" si="13">SUM(B49:D49)</f>
        <v>3</v>
      </c>
      <c r="F49" s="115"/>
      <c r="G49" s="115">
        <v>1</v>
      </c>
      <c r="H49" s="115"/>
      <c r="I49" s="224">
        <f t="shared" ref="I49:I61" si="14">SUM(F49:H49)</f>
        <v>1</v>
      </c>
      <c r="J49" s="115"/>
      <c r="K49" s="115"/>
      <c r="L49" s="115"/>
      <c r="M49" s="224">
        <f t="shared" ref="M49:M61" si="15">SUM(J49:L49)</f>
        <v>0</v>
      </c>
      <c r="N49" s="115"/>
      <c r="O49" s="115"/>
      <c r="P49" s="115"/>
      <c r="Q49" s="224">
        <f t="shared" ref="Q49:Q61" si="16">SUM(N49:P49)</f>
        <v>0</v>
      </c>
      <c r="R49" s="116">
        <f t="shared" si="12"/>
        <v>4</v>
      </c>
    </row>
    <row r="50" spans="1:19" s="21" customFormat="1" ht="15" customHeight="1">
      <c r="A50" s="148" t="s">
        <v>81</v>
      </c>
      <c r="B50" s="115"/>
      <c r="C50" s="115"/>
      <c r="D50" s="115"/>
      <c r="E50" s="224">
        <f t="shared" si="13"/>
        <v>0</v>
      </c>
      <c r="F50" s="115"/>
      <c r="G50" s="115"/>
      <c r="H50" s="115"/>
      <c r="I50" s="224">
        <f t="shared" si="14"/>
        <v>0</v>
      </c>
      <c r="J50" s="115"/>
      <c r="K50" s="115"/>
      <c r="L50" s="115"/>
      <c r="M50" s="224">
        <f t="shared" si="15"/>
        <v>0</v>
      </c>
      <c r="N50" s="115"/>
      <c r="O50" s="115"/>
      <c r="P50" s="115"/>
      <c r="Q50" s="224">
        <f t="shared" si="16"/>
        <v>0</v>
      </c>
      <c r="R50" s="116">
        <f t="shared" si="12"/>
        <v>0</v>
      </c>
    </row>
    <row r="51" spans="1:19" s="21" customFormat="1" ht="15" customHeight="1">
      <c r="A51" s="148" t="s">
        <v>38</v>
      </c>
      <c r="B51" s="115">
        <v>1</v>
      </c>
      <c r="C51" s="115"/>
      <c r="D51" s="115"/>
      <c r="E51" s="224">
        <f t="shared" si="13"/>
        <v>1</v>
      </c>
      <c r="F51" s="115">
        <v>1</v>
      </c>
      <c r="G51" s="115"/>
      <c r="H51" s="115">
        <v>1</v>
      </c>
      <c r="I51" s="224">
        <f t="shared" si="14"/>
        <v>2</v>
      </c>
      <c r="J51" s="115"/>
      <c r="K51" s="115"/>
      <c r="L51" s="115"/>
      <c r="M51" s="224">
        <f t="shared" si="15"/>
        <v>0</v>
      </c>
      <c r="N51" s="115"/>
      <c r="O51" s="115"/>
      <c r="P51" s="115"/>
      <c r="Q51" s="224">
        <f t="shared" si="16"/>
        <v>0</v>
      </c>
      <c r="R51" s="116">
        <f t="shared" si="12"/>
        <v>3</v>
      </c>
    </row>
    <row r="52" spans="1:19" s="21" customFormat="1" ht="15" customHeight="1">
      <c r="A52" s="148" t="s">
        <v>23</v>
      </c>
      <c r="B52" s="115"/>
      <c r="C52" s="115"/>
      <c r="D52" s="115">
        <v>1</v>
      </c>
      <c r="E52" s="224">
        <f t="shared" si="13"/>
        <v>1</v>
      </c>
      <c r="F52" s="115"/>
      <c r="G52" s="115"/>
      <c r="H52" s="115"/>
      <c r="I52" s="224">
        <f t="shared" si="14"/>
        <v>0</v>
      </c>
      <c r="J52" s="115"/>
      <c r="K52" s="115">
        <v>1</v>
      </c>
      <c r="L52" s="115"/>
      <c r="M52" s="224">
        <f t="shared" si="15"/>
        <v>1</v>
      </c>
      <c r="N52" s="115"/>
      <c r="O52" s="115"/>
      <c r="P52" s="115"/>
      <c r="Q52" s="224">
        <f t="shared" si="16"/>
        <v>0</v>
      </c>
      <c r="R52" s="116">
        <f t="shared" si="12"/>
        <v>2</v>
      </c>
    </row>
    <row r="53" spans="1:19" s="21" customFormat="1" ht="15" customHeight="1">
      <c r="A53" s="148" t="s">
        <v>29</v>
      </c>
      <c r="B53" s="115"/>
      <c r="C53" s="115"/>
      <c r="D53" s="115"/>
      <c r="E53" s="224">
        <f t="shared" si="13"/>
        <v>0</v>
      </c>
      <c r="F53" s="115"/>
      <c r="G53" s="115"/>
      <c r="H53" s="115"/>
      <c r="I53" s="224">
        <f t="shared" si="14"/>
        <v>0</v>
      </c>
      <c r="J53" s="115"/>
      <c r="K53" s="115"/>
      <c r="L53" s="115"/>
      <c r="M53" s="224">
        <f t="shared" si="15"/>
        <v>0</v>
      </c>
      <c r="N53" s="115"/>
      <c r="O53" s="115"/>
      <c r="P53" s="115"/>
      <c r="Q53" s="224">
        <f t="shared" si="16"/>
        <v>0</v>
      </c>
      <c r="R53" s="116">
        <f t="shared" si="12"/>
        <v>0</v>
      </c>
      <c r="S53" s="12"/>
    </row>
    <row r="54" spans="1:19" s="53" customFormat="1" ht="15" customHeight="1">
      <c r="A54" s="148" t="s">
        <v>24</v>
      </c>
      <c r="B54" s="115"/>
      <c r="C54" s="115"/>
      <c r="D54" s="115"/>
      <c r="E54" s="224">
        <f t="shared" si="13"/>
        <v>0</v>
      </c>
      <c r="F54" s="115"/>
      <c r="G54" s="115">
        <v>1</v>
      </c>
      <c r="H54" s="115"/>
      <c r="I54" s="224">
        <f t="shared" si="14"/>
        <v>1</v>
      </c>
      <c r="J54" s="115"/>
      <c r="K54" s="115"/>
      <c r="L54" s="115"/>
      <c r="M54" s="224">
        <f t="shared" si="15"/>
        <v>0</v>
      </c>
      <c r="N54" s="115"/>
      <c r="O54" s="115"/>
      <c r="P54" s="115"/>
      <c r="Q54" s="224">
        <f t="shared" si="16"/>
        <v>0</v>
      </c>
      <c r="R54" s="116">
        <f t="shared" si="12"/>
        <v>1</v>
      </c>
    </row>
    <row r="55" spans="1:19" s="53" customFormat="1" ht="15" customHeight="1">
      <c r="A55" s="148" t="s">
        <v>28</v>
      </c>
      <c r="B55" s="115"/>
      <c r="C55" s="115"/>
      <c r="D55" s="115"/>
      <c r="E55" s="224">
        <f t="shared" si="13"/>
        <v>0</v>
      </c>
      <c r="F55" s="115"/>
      <c r="G55" s="115"/>
      <c r="H55" s="115"/>
      <c r="I55" s="224">
        <f t="shared" si="14"/>
        <v>0</v>
      </c>
      <c r="J55" s="115"/>
      <c r="K55" s="115"/>
      <c r="L55" s="115"/>
      <c r="M55" s="224">
        <f t="shared" si="15"/>
        <v>0</v>
      </c>
      <c r="N55" s="115"/>
      <c r="O55" s="115"/>
      <c r="P55" s="115"/>
      <c r="Q55" s="224">
        <f t="shared" si="16"/>
        <v>0</v>
      </c>
      <c r="R55" s="116">
        <f t="shared" si="12"/>
        <v>0</v>
      </c>
    </row>
    <row r="56" spans="1:19" ht="15" customHeight="1">
      <c r="A56" s="148" t="s">
        <v>200</v>
      </c>
      <c r="B56" s="115"/>
      <c r="C56" s="115"/>
      <c r="D56" s="115"/>
      <c r="E56" s="224"/>
      <c r="F56" s="115"/>
      <c r="G56" s="115"/>
      <c r="H56" s="115"/>
      <c r="I56" s="224"/>
      <c r="J56" s="115"/>
      <c r="K56" s="115"/>
      <c r="L56" s="115"/>
      <c r="M56" s="224"/>
      <c r="N56" s="115"/>
      <c r="O56" s="115">
        <v>1</v>
      </c>
      <c r="P56" s="115"/>
      <c r="Q56" s="224"/>
      <c r="R56" s="116">
        <f t="shared" si="12"/>
        <v>0</v>
      </c>
      <c r="S56" s="21"/>
    </row>
    <row r="57" spans="1:19" ht="15" customHeight="1">
      <c r="A57" s="148" t="s">
        <v>221</v>
      </c>
      <c r="B57" s="115"/>
      <c r="C57" s="115"/>
      <c r="D57" s="115"/>
      <c r="E57" s="224"/>
      <c r="F57" s="115"/>
      <c r="G57" s="115"/>
      <c r="H57" s="115"/>
      <c r="I57" s="224"/>
      <c r="J57" s="115"/>
      <c r="K57" s="115"/>
      <c r="L57" s="115"/>
      <c r="M57" s="224"/>
      <c r="N57" s="115"/>
      <c r="O57" s="115"/>
      <c r="P57" s="115"/>
      <c r="Q57" s="224"/>
      <c r="R57" s="116">
        <f t="shared" si="12"/>
        <v>0</v>
      </c>
      <c r="S57" s="21"/>
    </row>
    <row r="58" spans="1:19" s="53" customFormat="1" ht="15" customHeight="1">
      <c r="A58" s="148" t="s">
        <v>25</v>
      </c>
      <c r="B58" s="115"/>
      <c r="C58" s="115"/>
      <c r="D58" s="115"/>
      <c r="E58" s="224">
        <f t="shared" si="13"/>
        <v>0</v>
      </c>
      <c r="F58" s="115"/>
      <c r="G58" s="115"/>
      <c r="H58" s="115"/>
      <c r="I58" s="224">
        <f t="shared" si="14"/>
        <v>0</v>
      </c>
      <c r="J58" s="115"/>
      <c r="K58" s="115"/>
      <c r="L58" s="115"/>
      <c r="M58" s="224">
        <f t="shared" si="15"/>
        <v>0</v>
      </c>
      <c r="N58" s="115"/>
      <c r="O58" s="115"/>
      <c r="P58" s="115"/>
      <c r="Q58" s="224">
        <f t="shared" si="16"/>
        <v>0</v>
      </c>
      <c r="R58" s="116">
        <f t="shared" si="12"/>
        <v>0</v>
      </c>
    </row>
    <row r="59" spans="1:19" s="53" customFormat="1" ht="15" customHeight="1">
      <c r="A59" s="148" t="s">
        <v>82</v>
      </c>
      <c r="B59" s="115"/>
      <c r="C59" s="115"/>
      <c r="D59" s="115"/>
      <c r="E59" s="224">
        <f t="shared" si="13"/>
        <v>0</v>
      </c>
      <c r="F59" s="115"/>
      <c r="G59" s="115"/>
      <c r="H59" s="115"/>
      <c r="I59" s="224">
        <f t="shared" si="14"/>
        <v>0</v>
      </c>
      <c r="J59" s="115"/>
      <c r="K59" s="115"/>
      <c r="L59" s="115"/>
      <c r="M59" s="224">
        <f t="shared" si="15"/>
        <v>0</v>
      </c>
      <c r="N59" s="115"/>
      <c r="O59" s="115"/>
      <c r="P59" s="115"/>
      <c r="Q59" s="224">
        <f t="shared" si="16"/>
        <v>0</v>
      </c>
      <c r="R59" s="116">
        <f t="shared" si="12"/>
        <v>0</v>
      </c>
    </row>
    <row r="60" spans="1:19" s="53" customFormat="1" ht="15" customHeight="1">
      <c r="A60" s="148" t="s">
        <v>35</v>
      </c>
      <c r="B60" s="115"/>
      <c r="C60" s="115"/>
      <c r="D60" s="115"/>
      <c r="E60" s="224">
        <f t="shared" si="13"/>
        <v>0</v>
      </c>
      <c r="F60" s="115"/>
      <c r="G60" s="115"/>
      <c r="H60" s="115"/>
      <c r="I60" s="224">
        <f t="shared" si="14"/>
        <v>0</v>
      </c>
      <c r="J60" s="115"/>
      <c r="K60" s="115"/>
      <c r="L60" s="115"/>
      <c r="M60" s="224">
        <f t="shared" si="15"/>
        <v>0</v>
      </c>
      <c r="N60" s="115"/>
      <c r="O60" s="115"/>
      <c r="P60" s="115"/>
      <c r="Q60" s="224">
        <f t="shared" si="16"/>
        <v>0</v>
      </c>
      <c r="R60" s="116">
        <f t="shared" si="12"/>
        <v>0</v>
      </c>
    </row>
    <row r="61" spans="1:19" s="53" customFormat="1" ht="15" customHeight="1">
      <c r="A61" s="148" t="s">
        <v>26</v>
      </c>
      <c r="B61" s="115">
        <f>SUM(B48:B60)</f>
        <v>2</v>
      </c>
      <c r="C61" s="115">
        <f>SUM(C48:C60)</f>
        <v>2</v>
      </c>
      <c r="D61" s="115">
        <f>SUM(D48:D60)</f>
        <v>1</v>
      </c>
      <c r="E61" s="224">
        <f t="shared" si="13"/>
        <v>5</v>
      </c>
      <c r="F61" s="115">
        <f>SUM(F48:F60)</f>
        <v>1</v>
      </c>
      <c r="G61" s="115">
        <f>SUM(G48:G60)</f>
        <v>2</v>
      </c>
      <c r="H61" s="115">
        <f>SUM(H48:H60)</f>
        <v>1</v>
      </c>
      <c r="I61" s="224">
        <f t="shared" si="14"/>
        <v>4</v>
      </c>
      <c r="J61" s="115">
        <f>SUM(J48:J60)</f>
        <v>0</v>
      </c>
      <c r="K61" s="115">
        <f>SUM(K48:K60)</f>
        <v>1</v>
      </c>
      <c r="L61" s="115">
        <f>SUM(L48:L60)</f>
        <v>0</v>
      </c>
      <c r="M61" s="224">
        <f t="shared" si="15"/>
        <v>1</v>
      </c>
      <c r="N61" s="115">
        <f>SUM(N48:N60)</f>
        <v>0</v>
      </c>
      <c r="O61" s="115">
        <f>SUM(O48:O60)</f>
        <v>1</v>
      </c>
      <c r="P61" s="115">
        <f>SUM(P48:P60)</f>
        <v>0</v>
      </c>
      <c r="Q61" s="224">
        <f t="shared" si="16"/>
        <v>1</v>
      </c>
      <c r="R61" s="116">
        <f t="shared" si="12"/>
        <v>11</v>
      </c>
    </row>
    <row r="62" spans="1:19" s="21" customFormat="1" ht="15" customHeight="1" thickBot="1">
      <c r="A62" s="149"/>
      <c r="B62" s="150"/>
      <c r="C62" s="150"/>
      <c r="D62" s="150"/>
      <c r="E62" s="150"/>
      <c r="F62" s="150"/>
      <c r="G62" s="150"/>
      <c r="H62" s="150"/>
      <c r="I62" s="150"/>
      <c r="J62" s="150"/>
      <c r="K62" s="150"/>
      <c r="L62" s="150"/>
      <c r="M62" s="150"/>
      <c r="N62" s="150"/>
      <c r="O62" s="150"/>
      <c r="P62" s="150"/>
      <c r="Q62" s="150"/>
      <c r="R62" s="150"/>
    </row>
    <row r="63" spans="1:19" ht="13.5" thickBot="1">
      <c r="A63" s="177" t="s">
        <v>109</v>
      </c>
      <c r="B63" s="178" t="s">
        <v>110</v>
      </c>
      <c r="C63" s="178" t="s">
        <v>11</v>
      </c>
      <c r="D63" s="178" t="s">
        <v>12</v>
      </c>
      <c r="E63" s="178" t="s">
        <v>165</v>
      </c>
      <c r="F63" s="178" t="s">
        <v>7</v>
      </c>
      <c r="G63" s="178" t="s">
        <v>8</v>
      </c>
      <c r="H63" s="178" t="s">
        <v>9</v>
      </c>
      <c r="I63" s="178" t="s">
        <v>164</v>
      </c>
      <c r="J63" s="178" t="s">
        <v>4</v>
      </c>
      <c r="K63" s="178" t="s">
        <v>5</v>
      </c>
      <c r="L63" s="178" t="s">
        <v>6</v>
      </c>
      <c r="M63" s="178" t="s">
        <v>163</v>
      </c>
      <c r="N63" s="178" t="s">
        <v>1</v>
      </c>
      <c r="O63" s="178" t="s">
        <v>2</v>
      </c>
      <c r="P63" s="178" t="s">
        <v>3</v>
      </c>
      <c r="Q63" s="167" t="s">
        <v>173</v>
      </c>
      <c r="R63" s="167" t="s">
        <v>111</v>
      </c>
    </row>
    <row r="64" spans="1:19" ht="13.5" thickTop="1">
      <c r="A64" s="179" t="s">
        <v>112</v>
      </c>
      <c r="B64" s="538">
        <v>2</v>
      </c>
      <c r="C64" s="538">
        <v>2</v>
      </c>
      <c r="D64" s="538">
        <v>0</v>
      </c>
      <c r="E64" s="256">
        <f>SUM(B64:D64)</f>
        <v>4</v>
      </c>
      <c r="F64" s="170">
        <v>1</v>
      </c>
      <c r="G64" s="170">
        <v>2</v>
      </c>
      <c r="H64" s="170">
        <v>1</v>
      </c>
      <c r="I64" s="256">
        <f>SUM(F64:H64)</f>
        <v>4</v>
      </c>
      <c r="J64" s="170">
        <v>0</v>
      </c>
      <c r="K64" s="170">
        <v>0</v>
      </c>
      <c r="L64" s="170">
        <v>1</v>
      </c>
      <c r="M64" s="256">
        <f>SUM(J64:L64)</f>
        <v>1</v>
      </c>
      <c r="N64" s="170">
        <v>0</v>
      </c>
      <c r="O64" s="170">
        <v>1</v>
      </c>
      <c r="P64" s="170">
        <v>0</v>
      </c>
      <c r="Q64" s="256">
        <f>SUM(N64:P64)</f>
        <v>1</v>
      </c>
      <c r="R64" s="256">
        <f>Q64+M64+I64+E64</f>
        <v>10</v>
      </c>
      <c r="S64" s="69"/>
    </row>
    <row r="65" spans="1:19">
      <c r="A65" s="180" t="s">
        <v>113</v>
      </c>
      <c r="B65" s="533">
        <v>0</v>
      </c>
      <c r="C65" s="533">
        <v>0</v>
      </c>
      <c r="D65" s="533">
        <v>1</v>
      </c>
      <c r="E65" s="256">
        <f>SUM(B65:D65)</f>
        <v>1</v>
      </c>
      <c r="F65" s="171">
        <v>0</v>
      </c>
      <c r="G65" s="171">
        <v>0</v>
      </c>
      <c r="H65" s="171">
        <v>0</v>
      </c>
      <c r="I65" s="256">
        <f>SUM(F65:H65)</f>
        <v>0</v>
      </c>
      <c r="J65" s="171">
        <v>1</v>
      </c>
      <c r="K65" s="171">
        <v>1</v>
      </c>
      <c r="L65" s="171">
        <v>0</v>
      </c>
      <c r="M65" s="256">
        <f>SUM(J65:L65)</f>
        <v>2</v>
      </c>
      <c r="N65" s="171">
        <v>0</v>
      </c>
      <c r="O65" s="171">
        <v>1</v>
      </c>
      <c r="P65" s="171">
        <v>1</v>
      </c>
      <c r="Q65" s="256">
        <f>SUM(N65:P65)</f>
        <v>2</v>
      </c>
      <c r="R65" s="256">
        <f>Q65+M65+I65+E65</f>
        <v>5</v>
      </c>
      <c r="S65" s="69"/>
    </row>
    <row r="66" spans="1:19">
      <c r="A66" s="180" t="s">
        <v>114</v>
      </c>
      <c r="B66" s="533">
        <v>94</v>
      </c>
      <c r="C66" s="533">
        <v>97</v>
      </c>
      <c r="D66" s="533">
        <v>157</v>
      </c>
      <c r="E66" s="257"/>
      <c r="F66" s="171">
        <v>85</v>
      </c>
      <c r="G66" s="171">
        <v>89</v>
      </c>
      <c r="H66" s="171">
        <v>91</v>
      </c>
      <c r="I66" s="257"/>
      <c r="J66" s="171">
        <v>52</v>
      </c>
      <c r="K66" s="171">
        <v>54</v>
      </c>
      <c r="L66" s="171">
        <v>84</v>
      </c>
      <c r="M66" s="257"/>
      <c r="N66" s="171">
        <v>16</v>
      </c>
      <c r="O66" s="171">
        <v>48</v>
      </c>
      <c r="P66" s="171">
        <v>49</v>
      </c>
      <c r="Q66" s="257"/>
      <c r="R66" s="257"/>
      <c r="S66" s="69"/>
    </row>
    <row r="67" spans="1:19">
      <c r="A67" s="180" t="s">
        <v>115</v>
      </c>
      <c r="B67" s="533">
        <v>39</v>
      </c>
      <c r="C67" s="533">
        <v>39</v>
      </c>
      <c r="D67" s="533">
        <v>38</v>
      </c>
      <c r="E67" s="257"/>
      <c r="F67" s="171">
        <v>34</v>
      </c>
      <c r="G67" s="171">
        <v>37</v>
      </c>
      <c r="H67" s="171">
        <v>39</v>
      </c>
      <c r="I67" s="257"/>
      <c r="J67" s="171">
        <v>27</v>
      </c>
      <c r="K67" s="171">
        <v>27</v>
      </c>
      <c r="L67" s="171">
        <v>32</v>
      </c>
      <c r="M67" s="257"/>
      <c r="N67" s="171">
        <v>4</v>
      </c>
      <c r="O67" s="171">
        <v>11</v>
      </c>
      <c r="P67" s="171">
        <v>11</v>
      </c>
      <c r="Q67" s="257"/>
      <c r="R67" s="257"/>
      <c r="S67" s="69"/>
    </row>
    <row r="68" spans="1:19">
      <c r="A68" s="180" t="s">
        <v>172</v>
      </c>
      <c r="B68" s="533">
        <v>21</v>
      </c>
      <c r="C68" s="533">
        <v>21</v>
      </c>
      <c r="D68" s="533">
        <v>20</v>
      </c>
      <c r="E68" s="257"/>
      <c r="F68" s="171">
        <v>23</v>
      </c>
      <c r="G68" s="171">
        <v>22</v>
      </c>
      <c r="H68" s="171">
        <v>22</v>
      </c>
      <c r="I68" s="257"/>
      <c r="J68" s="171">
        <v>18</v>
      </c>
      <c r="K68" s="171">
        <v>16</v>
      </c>
      <c r="L68" s="171">
        <v>23</v>
      </c>
      <c r="M68" s="257"/>
      <c r="N68" s="171">
        <v>1</v>
      </c>
      <c r="O68" s="171">
        <v>5</v>
      </c>
      <c r="P68" s="171">
        <v>6</v>
      </c>
      <c r="Q68" s="257"/>
      <c r="R68" s="257"/>
      <c r="S68" s="69"/>
    </row>
    <row r="69" spans="1:19">
      <c r="A69" s="180" t="s">
        <v>116</v>
      </c>
      <c r="B69" s="539">
        <v>154</v>
      </c>
      <c r="C69" s="539">
        <v>157</v>
      </c>
      <c r="D69" s="539">
        <v>215</v>
      </c>
      <c r="E69" s="258"/>
      <c r="F69" s="181">
        <f>SUM(F66:F68)</f>
        <v>142</v>
      </c>
      <c r="G69" s="181">
        <f>SUM(G66:G68)</f>
        <v>148</v>
      </c>
      <c r="H69" s="181">
        <f>SUM(H66:H68)</f>
        <v>152</v>
      </c>
      <c r="I69" s="258"/>
      <c r="J69" s="181">
        <f>SUM(J66:J68)</f>
        <v>97</v>
      </c>
      <c r="K69" s="181">
        <f t="shared" ref="K69" si="17">SUM(K66:K68)</f>
        <v>97</v>
      </c>
      <c r="L69" s="181">
        <f t="shared" ref="L69" si="18">SUM(L66:L68)</f>
        <v>139</v>
      </c>
      <c r="M69" s="258"/>
      <c r="N69" s="181">
        <f t="shared" ref="N69:P69" si="19">SUM(N66:N68)</f>
        <v>21</v>
      </c>
      <c r="O69" s="181">
        <f t="shared" si="19"/>
        <v>64</v>
      </c>
      <c r="P69" s="181">
        <f t="shared" si="19"/>
        <v>66</v>
      </c>
      <c r="Q69" s="258"/>
      <c r="R69" s="258"/>
      <c r="S69" s="69"/>
    </row>
    <row r="70" spans="1:19" ht="13.5" thickBot="1">
      <c r="A70" s="182" t="s">
        <v>117</v>
      </c>
      <c r="B70" s="540">
        <v>2</v>
      </c>
      <c r="C70" s="540">
        <v>2</v>
      </c>
      <c r="D70" s="540">
        <v>1</v>
      </c>
      <c r="E70" s="256">
        <f>SUM(B70:D70)</f>
        <v>5</v>
      </c>
      <c r="F70" s="172">
        <v>1</v>
      </c>
      <c r="G70" s="172">
        <v>2</v>
      </c>
      <c r="H70" s="172">
        <v>1</v>
      </c>
      <c r="I70" s="256">
        <f>SUM(F70:H70)</f>
        <v>4</v>
      </c>
      <c r="J70" s="172">
        <v>0</v>
      </c>
      <c r="K70" s="172">
        <v>1</v>
      </c>
      <c r="L70" s="172">
        <v>0</v>
      </c>
      <c r="M70" s="256">
        <f>SUM(J70:L70)</f>
        <v>1</v>
      </c>
      <c r="N70" s="172">
        <v>0</v>
      </c>
      <c r="O70" s="172">
        <v>1</v>
      </c>
      <c r="P70" s="172">
        <v>0</v>
      </c>
      <c r="Q70" s="256">
        <f>SUM(N70:P70)</f>
        <v>1</v>
      </c>
      <c r="R70" s="256">
        <f>Q70+M70+I70+E70</f>
        <v>11</v>
      </c>
      <c r="S70" s="69"/>
    </row>
    <row r="71" spans="1:19" ht="13.5" thickTop="1">
      <c r="A71" s="183" t="s">
        <v>174</v>
      </c>
      <c r="B71" s="541">
        <v>23</v>
      </c>
      <c r="C71" s="541">
        <v>23</v>
      </c>
      <c r="D71" s="541">
        <v>15</v>
      </c>
      <c r="E71" s="256">
        <f>SUM(B71:D71)</f>
        <v>61</v>
      </c>
      <c r="F71" s="173">
        <v>14</v>
      </c>
      <c r="G71" s="173">
        <v>38</v>
      </c>
      <c r="H71" s="173">
        <v>35</v>
      </c>
      <c r="I71" s="256">
        <f>SUM(F71:H71)</f>
        <v>87</v>
      </c>
      <c r="J71" s="173">
        <v>23</v>
      </c>
      <c r="K71" s="173">
        <v>22</v>
      </c>
      <c r="L71" s="173">
        <v>32</v>
      </c>
      <c r="M71" s="256">
        <f>SUM(J71:L71)</f>
        <v>77</v>
      </c>
      <c r="N71" s="173">
        <v>10</v>
      </c>
      <c r="O71" s="173">
        <v>17</v>
      </c>
      <c r="P71" s="173">
        <v>26</v>
      </c>
      <c r="Q71" s="256">
        <f>SUM(N71:P71)</f>
        <v>53</v>
      </c>
      <c r="R71" s="256">
        <f>Q71+M71+I71+E71</f>
        <v>278</v>
      </c>
      <c r="S71" s="69"/>
    </row>
    <row r="72" spans="1:19">
      <c r="A72" s="180" t="s">
        <v>118</v>
      </c>
      <c r="B72" s="533">
        <v>13</v>
      </c>
      <c r="C72" s="533">
        <v>7</v>
      </c>
      <c r="D72" s="533">
        <v>9</v>
      </c>
      <c r="E72" s="259"/>
      <c r="F72" s="171">
        <v>5</v>
      </c>
      <c r="G72" s="171">
        <v>21</v>
      </c>
      <c r="H72" s="171">
        <v>24</v>
      </c>
      <c r="I72" s="259"/>
      <c r="J72" s="171">
        <v>13</v>
      </c>
      <c r="K72" s="171">
        <v>11</v>
      </c>
      <c r="L72" s="171">
        <v>13</v>
      </c>
      <c r="M72" s="259"/>
      <c r="N72" s="171">
        <v>7</v>
      </c>
      <c r="O72" s="171">
        <v>9</v>
      </c>
      <c r="P72" s="171">
        <v>7</v>
      </c>
      <c r="Q72" s="259"/>
      <c r="R72" s="259"/>
      <c r="S72" s="69"/>
    </row>
    <row r="73" spans="1:19">
      <c r="A73" s="180" t="s">
        <v>119</v>
      </c>
      <c r="B73" s="533">
        <v>15</v>
      </c>
      <c r="C73" s="533">
        <v>12</v>
      </c>
      <c r="D73" s="533">
        <v>0</v>
      </c>
      <c r="E73" s="260"/>
      <c r="F73" s="171">
        <v>10</v>
      </c>
      <c r="G73" s="171">
        <v>5</v>
      </c>
      <c r="H73" s="171">
        <v>11</v>
      </c>
      <c r="I73" s="260"/>
      <c r="J73" s="171">
        <v>9</v>
      </c>
      <c r="K73" s="171">
        <v>4</v>
      </c>
      <c r="L73" s="171">
        <v>18</v>
      </c>
      <c r="M73" s="260"/>
      <c r="N73" s="171">
        <v>1</v>
      </c>
      <c r="O73" s="171">
        <v>3</v>
      </c>
      <c r="P73" s="171">
        <v>8</v>
      </c>
      <c r="Q73" s="260"/>
      <c r="R73" s="260"/>
      <c r="S73" s="69"/>
    </row>
    <row r="74" spans="1:19" ht="13.5" thickBot="1">
      <c r="A74" s="184" t="s">
        <v>120</v>
      </c>
      <c r="B74" s="542">
        <v>14</v>
      </c>
      <c r="C74" s="542">
        <v>23</v>
      </c>
      <c r="D74" s="542">
        <v>5</v>
      </c>
      <c r="E74" s="261"/>
      <c r="F74" s="174">
        <v>12</v>
      </c>
      <c r="G74" s="174">
        <v>15</v>
      </c>
      <c r="H74" s="174">
        <v>22</v>
      </c>
      <c r="I74" s="261"/>
      <c r="J74" s="174">
        <v>26</v>
      </c>
      <c r="K74" s="174">
        <v>9</v>
      </c>
      <c r="L74" s="174">
        <v>28</v>
      </c>
      <c r="M74" s="261"/>
      <c r="N74" s="174">
        <v>2</v>
      </c>
      <c r="O74" s="174">
        <v>5</v>
      </c>
      <c r="P74" s="174">
        <v>4</v>
      </c>
      <c r="Q74" s="261"/>
      <c r="R74" s="261"/>
      <c r="S74" s="69"/>
    </row>
    <row r="75" spans="1:19" ht="13.5" thickTop="1">
      <c r="A75" s="179" t="s">
        <v>121</v>
      </c>
      <c r="B75" s="538">
        <v>1</v>
      </c>
      <c r="C75" s="538">
        <v>2</v>
      </c>
      <c r="D75" s="538">
        <v>1</v>
      </c>
      <c r="E75" s="256">
        <f>SUM(B75:D75)</f>
        <v>4</v>
      </c>
      <c r="F75" s="170">
        <v>2</v>
      </c>
      <c r="G75" s="170">
        <v>4</v>
      </c>
      <c r="H75" s="170">
        <v>1</v>
      </c>
      <c r="I75" s="256">
        <f>SUM(F75:H75)</f>
        <v>7</v>
      </c>
      <c r="J75" s="170">
        <v>5</v>
      </c>
      <c r="K75" s="170">
        <v>1</v>
      </c>
      <c r="L75" s="170">
        <v>1</v>
      </c>
      <c r="M75" s="256">
        <f>SUM(J75:L75)</f>
        <v>7</v>
      </c>
      <c r="N75" s="170">
        <v>2</v>
      </c>
      <c r="O75" s="170">
        <v>1</v>
      </c>
      <c r="P75" s="170">
        <v>3</v>
      </c>
      <c r="Q75" s="256">
        <f>SUM(N75:P75)</f>
        <v>6</v>
      </c>
      <c r="R75" s="256">
        <f>Q75+M75+I75+E75</f>
        <v>24</v>
      </c>
      <c r="S75" s="69"/>
    </row>
    <row r="76" spans="1:19">
      <c r="A76" s="180" t="s">
        <v>122</v>
      </c>
      <c r="B76" s="533">
        <v>3</v>
      </c>
      <c r="C76" s="533">
        <v>3</v>
      </c>
      <c r="D76" s="533">
        <v>2</v>
      </c>
      <c r="E76" s="256">
        <f t="shared" ref="E76:E82" si="20">SUM(B76:D76)</f>
        <v>8</v>
      </c>
      <c r="F76" s="171">
        <v>35</v>
      </c>
      <c r="G76" s="171">
        <v>3</v>
      </c>
      <c r="H76" s="171">
        <v>6</v>
      </c>
      <c r="I76" s="256">
        <f t="shared" ref="I76:I82" si="21">SUM(F76:H76)</f>
        <v>44</v>
      </c>
      <c r="J76" s="171">
        <v>17</v>
      </c>
      <c r="K76" s="171">
        <v>20</v>
      </c>
      <c r="L76" s="171">
        <v>11</v>
      </c>
      <c r="M76" s="256">
        <f t="shared" ref="M76:M82" si="22">SUM(J76:L76)</f>
        <v>48</v>
      </c>
      <c r="N76" s="171">
        <v>1</v>
      </c>
      <c r="O76" s="171">
        <v>17</v>
      </c>
      <c r="P76" s="171">
        <v>31</v>
      </c>
      <c r="Q76" s="256">
        <f t="shared" ref="Q76:Q82" si="23">SUM(N76:P76)</f>
        <v>49</v>
      </c>
      <c r="R76" s="256">
        <f>Q76+M76+I76+E76</f>
        <v>149</v>
      </c>
      <c r="S76" s="69"/>
    </row>
    <row r="77" spans="1:19" ht="13.5" thickBot="1">
      <c r="A77" s="182" t="s">
        <v>123</v>
      </c>
      <c r="B77" s="540">
        <v>0</v>
      </c>
      <c r="C77" s="540">
        <v>0</v>
      </c>
      <c r="D77" s="540">
        <v>0</v>
      </c>
      <c r="E77" s="256">
        <f t="shared" si="20"/>
        <v>0</v>
      </c>
      <c r="F77" s="172">
        <v>0</v>
      </c>
      <c r="G77" s="172">
        <v>0</v>
      </c>
      <c r="H77" s="172">
        <v>0</v>
      </c>
      <c r="I77" s="256">
        <f t="shared" si="21"/>
        <v>0</v>
      </c>
      <c r="J77" s="172">
        <v>0</v>
      </c>
      <c r="K77" s="172">
        <v>0</v>
      </c>
      <c r="L77" s="172">
        <v>0</v>
      </c>
      <c r="M77" s="256">
        <f t="shared" si="22"/>
        <v>0</v>
      </c>
      <c r="N77" s="172">
        <v>0</v>
      </c>
      <c r="O77" s="172">
        <v>0</v>
      </c>
      <c r="P77" s="172">
        <v>0</v>
      </c>
      <c r="Q77" s="256">
        <f t="shared" si="23"/>
        <v>0</v>
      </c>
      <c r="R77" s="256">
        <f>Q77+M77+I77+E77</f>
        <v>0</v>
      </c>
      <c r="S77" s="69"/>
    </row>
    <row r="78" spans="1:19" ht="14.25" thickTop="1" thickBot="1">
      <c r="A78" s="182" t="s">
        <v>124</v>
      </c>
      <c r="B78" s="540">
        <v>8</v>
      </c>
      <c r="C78" s="540">
        <v>1</v>
      </c>
      <c r="D78" s="540">
        <v>1</v>
      </c>
      <c r="E78" s="256">
        <f t="shared" si="20"/>
        <v>10</v>
      </c>
      <c r="F78" s="172">
        <v>8</v>
      </c>
      <c r="G78" s="172">
        <v>8</v>
      </c>
      <c r="H78" s="172">
        <v>5</v>
      </c>
      <c r="I78" s="256">
        <f t="shared" si="21"/>
        <v>21</v>
      </c>
      <c r="J78" s="172">
        <v>3</v>
      </c>
      <c r="K78" s="172">
        <v>4</v>
      </c>
      <c r="L78" s="172">
        <v>4</v>
      </c>
      <c r="M78" s="256">
        <f t="shared" si="22"/>
        <v>11</v>
      </c>
      <c r="N78" s="172">
        <v>1</v>
      </c>
      <c r="O78" s="172">
        <v>1</v>
      </c>
      <c r="P78" s="172">
        <v>2</v>
      </c>
      <c r="Q78" s="256">
        <f t="shared" si="23"/>
        <v>4</v>
      </c>
      <c r="R78" s="256">
        <f>Q78+M78+I78+E78</f>
        <v>46</v>
      </c>
      <c r="S78" s="69"/>
    </row>
    <row r="79" spans="1:19" ht="13.5" thickTop="1">
      <c r="A79" s="251" t="s">
        <v>125</v>
      </c>
      <c r="B79" s="543">
        <v>27</v>
      </c>
      <c r="C79" s="543">
        <v>25</v>
      </c>
      <c r="D79" s="543">
        <v>31</v>
      </c>
      <c r="E79" s="168"/>
      <c r="F79" s="191">
        <v>36</v>
      </c>
      <c r="G79" s="191">
        <v>33</v>
      </c>
      <c r="H79" s="254">
        <v>36</v>
      </c>
      <c r="I79" s="168"/>
      <c r="J79" s="191">
        <v>27</v>
      </c>
      <c r="K79" s="191">
        <v>26</v>
      </c>
      <c r="L79" s="191">
        <v>33</v>
      </c>
      <c r="M79" s="168"/>
      <c r="N79" s="191">
        <v>8</v>
      </c>
      <c r="O79" s="191">
        <v>26</v>
      </c>
      <c r="P79" s="191">
        <v>27</v>
      </c>
      <c r="Q79" s="168"/>
      <c r="R79" s="168"/>
      <c r="S79" s="69"/>
    </row>
    <row r="80" spans="1:19">
      <c r="A80" s="252" t="s">
        <v>126</v>
      </c>
      <c r="B80" s="544">
        <v>1</v>
      </c>
      <c r="C80" s="544">
        <v>9</v>
      </c>
      <c r="D80" s="544">
        <v>5</v>
      </c>
      <c r="E80" s="256">
        <f t="shared" si="20"/>
        <v>15</v>
      </c>
      <c r="F80" s="192">
        <v>10</v>
      </c>
      <c r="G80" s="192">
        <v>20</v>
      </c>
      <c r="H80" s="255">
        <v>7</v>
      </c>
      <c r="I80" s="256">
        <f t="shared" si="21"/>
        <v>37</v>
      </c>
      <c r="J80" s="192">
        <v>18</v>
      </c>
      <c r="K80" s="192">
        <v>12</v>
      </c>
      <c r="L80" s="192">
        <v>15</v>
      </c>
      <c r="M80" s="256">
        <f t="shared" si="22"/>
        <v>45</v>
      </c>
      <c r="N80" s="192">
        <v>7</v>
      </c>
      <c r="O80" s="192">
        <v>16</v>
      </c>
      <c r="P80" s="192">
        <v>12</v>
      </c>
      <c r="Q80" s="256">
        <f t="shared" si="23"/>
        <v>35</v>
      </c>
      <c r="R80" s="256">
        <f>Q80+M80+I80+E80</f>
        <v>132</v>
      </c>
      <c r="S80" s="69"/>
    </row>
    <row r="81" spans="1:19">
      <c r="A81" s="252" t="s">
        <v>127</v>
      </c>
      <c r="B81" s="544">
        <v>5</v>
      </c>
      <c r="C81" s="535">
        <v>7</v>
      </c>
      <c r="D81" s="537">
        <v>2</v>
      </c>
      <c r="E81" s="256">
        <f t="shared" si="20"/>
        <v>14</v>
      </c>
      <c r="F81" s="192">
        <v>6</v>
      </c>
      <c r="G81" s="192">
        <v>6</v>
      </c>
      <c r="H81" s="255">
        <v>2</v>
      </c>
      <c r="I81" s="256">
        <f t="shared" si="21"/>
        <v>14</v>
      </c>
      <c r="J81" s="192">
        <v>6</v>
      </c>
      <c r="K81" s="192">
        <v>6</v>
      </c>
      <c r="L81" s="192">
        <v>8</v>
      </c>
      <c r="M81" s="256">
        <f t="shared" si="22"/>
        <v>20</v>
      </c>
      <c r="N81" s="192">
        <v>0</v>
      </c>
      <c r="O81" s="192">
        <v>5</v>
      </c>
      <c r="P81" s="192">
        <v>8</v>
      </c>
      <c r="Q81" s="256">
        <f t="shared" si="23"/>
        <v>13</v>
      </c>
      <c r="R81" s="256">
        <f>Q81+M81+I81+E81</f>
        <v>61</v>
      </c>
      <c r="S81" s="69"/>
    </row>
    <row r="82" spans="1:19">
      <c r="A82" s="252" t="s">
        <v>128</v>
      </c>
      <c r="B82" s="544">
        <v>5</v>
      </c>
      <c r="C82" s="535">
        <v>4</v>
      </c>
      <c r="D82" s="537">
        <v>0</v>
      </c>
      <c r="E82" s="256">
        <f t="shared" si="20"/>
        <v>9</v>
      </c>
      <c r="F82" s="192">
        <v>1</v>
      </c>
      <c r="G82" s="192">
        <v>16</v>
      </c>
      <c r="H82" s="255">
        <v>4</v>
      </c>
      <c r="I82" s="256">
        <f t="shared" si="21"/>
        <v>21</v>
      </c>
      <c r="J82" s="192">
        <v>14</v>
      </c>
      <c r="K82" s="192">
        <v>9</v>
      </c>
      <c r="L82" s="192">
        <v>1</v>
      </c>
      <c r="M82" s="256">
        <f t="shared" si="22"/>
        <v>24</v>
      </c>
      <c r="N82" s="192">
        <v>3</v>
      </c>
      <c r="O82" s="192">
        <v>5</v>
      </c>
      <c r="P82" s="192">
        <v>10</v>
      </c>
      <c r="Q82" s="256">
        <f t="shared" si="23"/>
        <v>18</v>
      </c>
      <c r="R82" s="256">
        <f>Q82+M82+I82+E82</f>
        <v>72</v>
      </c>
      <c r="S82" s="169">
        <f>R82/D84</f>
        <v>1</v>
      </c>
    </row>
    <row r="83" spans="1:19" ht="13.5" thickBot="1">
      <c r="A83" s="253" t="s">
        <v>129</v>
      </c>
      <c r="B83" s="545">
        <v>0</v>
      </c>
      <c r="C83" s="534">
        <v>0</v>
      </c>
      <c r="D83" s="536">
        <v>0</v>
      </c>
      <c r="E83" s="262"/>
      <c r="F83" s="194">
        <v>0</v>
      </c>
      <c r="G83" s="194">
        <v>0</v>
      </c>
      <c r="H83" s="200">
        <v>0</v>
      </c>
      <c r="I83" s="262"/>
      <c r="J83" s="194">
        <v>2</v>
      </c>
      <c r="K83" s="194">
        <v>1</v>
      </c>
      <c r="L83" s="194">
        <v>0</v>
      </c>
      <c r="M83" s="262"/>
      <c r="N83" s="194">
        <v>0</v>
      </c>
      <c r="O83" s="194">
        <v>10</v>
      </c>
      <c r="P83" s="194">
        <v>3</v>
      </c>
      <c r="Q83" s="262"/>
      <c r="R83" s="262"/>
      <c r="S83" s="169">
        <f>R83/D84</f>
        <v>0</v>
      </c>
    </row>
    <row r="84" spans="1:19" ht="13.5" thickTop="1">
      <c r="A84"/>
      <c r="B84" s="69"/>
      <c r="C84" s="69"/>
      <c r="D84" s="185">
        <f>SUM(R82:R83)</f>
        <v>72</v>
      </c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</row>
  </sheetData>
  <mergeCells count="28">
    <mergeCell ref="B40:E40"/>
    <mergeCell ref="J45:M45"/>
    <mergeCell ref="B44:E44"/>
    <mergeCell ref="F45:I45"/>
    <mergeCell ref="N42:Q42"/>
    <mergeCell ref="J42:M42"/>
    <mergeCell ref="F42:I42"/>
    <mergeCell ref="B42:E42"/>
    <mergeCell ref="B43:E43"/>
    <mergeCell ref="N40:Q40"/>
    <mergeCell ref="J40:M40"/>
    <mergeCell ref="F40:I40"/>
    <mergeCell ref="B1:E1"/>
    <mergeCell ref="F1:I1"/>
    <mergeCell ref="J1:M1"/>
    <mergeCell ref="N43:Q43"/>
    <mergeCell ref="N45:Q45"/>
    <mergeCell ref="N44:Q44"/>
    <mergeCell ref="J44:M44"/>
    <mergeCell ref="F44:I44"/>
    <mergeCell ref="J43:M43"/>
    <mergeCell ref="F43:I43"/>
    <mergeCell ref="N41:Q41"/>
    <mergeCell ref="J41:M41"/>
    <mergeCell ref="F41:I41"/>
    <mergeCell ref="B41:E41"/>
    <mergeCell ref="B45:E45"/>
    <mergeCell ref="N1:Q1"/>
  </mergeCells>
  <phoneticPr fontId="206" type="noConversion"/>
  <pageMargins left="0.75" right="0.75" top="1" bottom="1" header="0.5" footer="0.5"/>
  <pageSetup paperSize="9" orientation="portrait" horizontalDpi="300" verticalDpi="30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84"/>
  <sheetViews>
    <sheetView zoomScale="85" zoomScaleNormal="85" workbookViewId="0">
      <selection activeCell="C87" sqref="C87"/>
    </sheetView>
  </sheetViews>
  <sheetFormatPr defaultRowHeight="11.25"/>
  <cols>
    <col min="1" max="1" width="45" style="17" customWidth="1"/>
    <col min="2" max="4" width="11.7109375" style="12" customWidth="1"/>
    <col min="5" max="5" width="11.42578125" style="150" customWidth="1"/>
    <col min="6" max="8" width="11.7109375" style="12" customWidth="1"/>
    <col min="9" max="9" width="11.42578125" style="150" customWidth="1"/>
    <col min="10" max="12" width="11.7109375" style="12" customWidth="1"/>
    <col min="13" max="13" width="11.42578125" style="150" customWidth="1"/>
    <col min="14" max="16" width="11.7109375" style="12" customWidth="1"/>
    <col min="17" max="17" width="11.42578125" style="150" customWidth="1"/>
    <col min="18" max="18" width="13.42578125" style="150" customWidth="1"/>
    <col min="19" max="19" width="9.140625" style="12"/>
    <col min="20" max="16384" width="9.140625" style="18"/>
  </cols>
  <sheetData>
    <row r="1" spans="1:19" s="12" customFormat="1" ht="15" customHeight="1">
      <c r="A1" s="32" t="s">
        <v>90</v>
      </c>
      <c r="B1" s="588" t="s">
        <v>197</v>
      </c>
      <c r="C1" s="585"/>
      <c r="D1" s="585"/>
      <c r="E1" s="585"/>
      <c r="F1" s="588" t="s">
        <v>193</v>
      </c>
      <c r="G1" s="585"/>
      <c r="H1" s="585"/>
      <c r="I1" s="585"/>
      <c r="J1" s="588" t="s">
        <v>186</v>
      </c>
      <c r="K1" s="585"/>
      <c r="L1" s="585"/>
      <c r="M1" s="585"/>
      <c r="N1" s="588" t="s">
        <v>168</v>
      </c>
      <c r="O1" s="585"/>
      <c r="P1" s="585"/>
      <c r="Q1" s="585"/>
      <c r="R1" s="211"/>
    </row>
    <row r="2" spans="1:19" s="12" customFormat="1" ht="15" customHeight="1">
      <c r="A2" s="5" t="s">
        <v>0</v>
      </c>
      <c r="B2" s="54" t="s">
        <v>10</v>
      </c>
      <c r="C2" s="54" t="s">
        <v>11</v>
      </c>
      <c r="D2" s="54" t="s">
        <v>12</v>
      </c>
      <c r="E2" s="226" t="s">
        <v>165</v>
      </c>
      <c r="F2" s="54" t="s">
        <v>7</v>
      </c>
      <c r="G2" s="54" t="s">
        <v>8</v>
      </c>
      <c r="H2" s="54" t="s">
        <v>9</v>
      </c>
      <c r="I2" s="226" t="s">
        <v>164</v>
      </c>
      <c r="J2" s="54" t="s">
        <v>4</v>
      </c>
      <c r="K2" s="54" t="s">
        <v>5</v>
      </c>
      <c r="L2" s="54" t="s">
        <v>6</v>
      </c>
      <c r="M2" s="226" t="s">
        <v>163</v>
      </c>
      <c r="N2" s="54" t="s">
        <v>1</v>
      </c>
      <c r="O2" s="54" t="s">
        <v>2</v>
      </c>
      <c r="P2" s="54" t="s">
        <v>3</v>
      </c>
      <c r="Q2" s="226" t="s">
        <v>152</v>
      </c>
      <c r="R2" s="114" t="s">
        <v>166</v>
      </c>
    </row>
    <row r="3" spans="1:19" s="12" customFormat="1" ht="15" customHeight="1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</row>
    <row r="4" spans="1:19" s="12" customFormat="1" ht="15" customHeight="1">
      <c r="A4" s="6" t="s">
        <v>47</v>
      </c>
      <c r="B4" s="89">
        <f>'Target 2017'!L7</f>
        <v>41166.666666666664</v>
      </c>
      <c r="C4" s="89">
        <f>'Target 2017'!M7</f>
        <v>45500.000000000007</v>
      </c>
      <c r="D4" s="89">
        <f>'Target 2017'!N7</f>
        <v>43333.333333333336</v>
      </c>
      <c r="E4" s="228">
        <f>SUM(B4:D4)</f>
        <v>130000</v>
      </c>
      <c r="F4" s="89">
        <f>'Target 2017'!I7</f>
        <v>36266.666666666664</v>
      </c>
      <c r="G4" s="89">
        <f>'Target 2017'!J7-5000</f>
        <v>37666.666666666664</v>
      </c>
      <c r="H4" s="89">
        <f>'Target 2017'!K7+5000</f>
        <v>54066.666666666657</v>
      </c>
      <c r="I4" s="228">
        <f>SUM(F4:H4)</f>
        <v>127999.99999999999</v>
      </c>
      <c r="J4" s="89">
        <f>'Target 2017'!F7</f>
        <v>37683.333333333336</v>
      </c>
      <c r="K4" s="89">
        <f>'Target 2017'!G7</f>
        <v>44333.333333333336</v>
      </c>
      <c r="L4" s="89">
        <f>'Target 2017'!H7</f>
        <v>50983.333333333336</v>
      </c>
      <c r="M4" s="228">
        <f>SUM(J4:L4)</f>
        <v>133000</v>
      </c>
      <c r="N4" s="89">
        <f>'Target 2017'!C7</f>
        <v>40500</v>
      </c>
      <c r="O4" s="89">
        <f>'Target 2017'!D7-2000</f>
        <v>43000</v>
      </c>
      <c r="P4" s="89">
        <f>'Target 2017'!E7+2000-5000</f>
        <v>46500.000000000007</v>
      </c>
      <c r="Q4" s="228">
        <f>SUM(N4:P4)</f>
        <v>130000</v>
      </c>
      <c r="R4" s="116">
        <f>Q4+M4+I4+E4</f>
        <v>521000</v>
      </c>
    </row>
    <row r="5" spans="1:19" s="12" customFormat="1" ht="15" customHeight="1">
      <c r="A5" s="7" t="s">
        <v>46</v>
      </c>
      <c r="B5" s="94">
        <f>B4</f>
        <v>41166.666666666664</v>
      </c>
      <c r="C5" s="94">
        <f>C4+B5</f>
        <v>86666.666666666672</v>
      </c>
      <c r="D5" s="94">
        <f>D4+C5</f>
        <v>130000</v>
      </c>
      <c r="E5" s="229"/>
      <c r="F5" s="94">
        <f>F4</f>
        <v>36266.666666666664</v>
      </c>
      <c r="G5" s="94">
        <f>G4+F5</f>
        <v>73933.333333333328</v>
      </c>
      <c r="H5" s="94">
        <f>H4+G5</f>
        <v>127999.99999999999</v>
      </c>
      <c r="I5" s="229"/>
      <c r="J5" s="90">
        <f>J4</f>
        <v>37683.333333333336</v>
      </c>
      <c r="K5" s="94">
        <f>K4+J5</f>
        <v>82016.666666666672</v>
      </c>
      <c r="L5" s="94">
        <f>L4+K5</f>
        <v>133000</v>
      </c>
      <c r="M5" s="229"/>
      <c r="N5" s="90">
        <f>N4</f>
        <v>40500</v>
      </c>
      <c r="O5" s="90">
        <f>O4+N5</f>
        <v>83500</v>
      </c>
      <c r="P5" s="90">
        <f>P4+O5</f>
        <v>130000</v>
      </c>
      <c r="Q5" s="229"/>
      <c r="R5" s="118"/>
    </row>
    <row r="6" spans="1:19" s="30" customFormat="1" ht="15" customHeight="1">
      <c r="A6" s="31" t="s">
        <v>48</v>
      </c>
      <c r="B6" s="29">
        <f>SUMIF(X!A:A,$A$1,X!I:I)</f>
        <v>69440.921499999997</v>
      </c>
      <c r="C6" s="29">
        <f>SUMIF(XI!A:A,$A$1,XI!I:I)</f>
        <v>72399.137499999997</v>
      </c>
      <c r="D6" s="29">
        <f>SUMIF(XII!A:A,$A$1,XII!I:I)</f>
        <v>16984.502</v>
      </c>
      <c r="E6" s="228">
        <f>SUM(B6:D6)</f>
        <v>158824.56100000002</v>
      </c>
      <c r="F6" s="29">
        <f>SUMIF(VII!A:A,$A$1,VII!I:I)</f>
        <v>41012.4329</v>
      </c>
      <c r="G6" s="29">
        <f>SUMIF(VIII!A:A,$A$1,VIII!I:I)</f>
        <v>29789.769500000002</v>
      </c>
      <c r="H6" s="29">
        <f>SUMIF(IX!A:A,$A$1,IX!I:I)</f>
        <v>59884.601900000001</v>
      </c>
      <c r="I6" s="228">
        <f>SUM(F6:H6)</f>
        <v>130686.80430000002</v>
      </c>
      <c r="J6" s="29">
        <f>SUMIF(IV!A:A,$A$1,IV!I:I)</f>
        <v>38282.8531</v>
      </c>
      <c r="K6" s="29">
        <f>SUMIF(V!A:A,$A$1,V!I:I)</f>
        <v>67856.705499999996</v>
      </c>
      <c r="L6" s="29">
        <f>SUMIF(VI!A:A,$A$1,VI!I:I)</f>
        <v>40269.1351</v>
      </c>
      <c r="M6" s="228">
        <f>SUM(J6:L6)</f>
        <v>146408.6937</v>
      </c>
      <c r="N6" s="91">
        <f>SUMIF(I!A:A,$A$1,I!I:I)</f>
        <v>40074.196000000004</v>
      </c>
      <c r="O6" s="29">
        <f>SUMIF(II!A:A,$A$1,II!I:I)</f>
        <v>35367.347399999999</v>
      </c>
      <c r="P6" s="29">
        <f>SUMIF(III!A:A,$A$1,III!I:I)</f>
        <v>48756.292000000001</v>
      </c>
      <c r="Q6" s="228">
        <f>SUM(N6:P6)</f>
        <v>124197.8354</v>
      </c>
      <c r="R6" s="116">
        <f>Q6+M6+I6+E6</f>
        <v>560117.89439999999</v>
      </c>
      <c r="S6" s="12"/>
    </row>
    <row r="7" spans="1:19" s="12" customFormat="1" ht="15" customHeight="1">
      <c r="A7" s="7" t="s">
        <v>49</v>
      </c>
      <c r="B7" s="8">
        <f>B6</f>
        <v>69440.921499999997</v>
      </c>
      <c r="C7" s="8">
        <f>C6+B7</f>
        <v>141840.05900000001</v>
      </c>
      <c r="D7" s="8">
        <f>D6+C7</f>
        <v>158824.56100000002</v>
      </c>
      <c r="E7" s="229"/>
      <c r="F7" s="8">
        <f>F6</f>
        <v>41012.4329</v>
      </c>
      <c r="G7" s="8">
        <f>G6+F7</f>
        <v>70802.202400000009</v>
      </c>
      <c r="H7" s="8">
        <f>H6+G7</f>
        <v>130686.80430000002</v>
      </c>
      <c r="I7" s="229"/>
      <c r="J7" s="90">
        <f>J6</f>
        <v>38282.8531</v>
      </c>
      <c r="K7" s="8">
        <f>K6+J7</f>
        <v>106139.55859999999</v>
      </c>
      <c r="L7" s="8">
        <f>L6+K7</f>
        <v>146408.6937</v>
      </c>
      <c r="M7" s="229"/>
      <c r="N7" s="90">
        <f>N6</f>
        <v>40074.196000000004</v>
      </c>
      <c r="O7" s="90">
        <f>O6+N7</f>
        <v>75441.543399999995</v>
      </c>
      <c r="P7" s="90">
        <f>P6+O7</f>
        <v>124197.8354</v>
      </c>
      <c r="Q7" s="229"/>
      <c r="R7" s="118"/>
    </row>
    <row r="8" spans="1:19" s="12" customFormat="1" ht="15" customHeight="1">
      <c r="A8" s="26" t="s">
        <v>50</v>
      </c>
      <c r="B8" s="27">
        <f t="shared" ref="B8:D9" si="0">B6/B4</f>
        <v>1.6868240040485831</v>
      </c>
      <c r="C8" s="27">
        <f t="shared" si="0"/>
        <v>1.5911898351648348</v>
      </c>
      <c r="D8" s="27">
        <f t="shared" si="0"/>
        <v>0.39195004615384615</v>
      </c>
      <c r="E8" s="230"/>
      <c r="F8" s="27">
        <f t="shared" ref="F8:H9" si="1">F6/F4</f>
        <v>1.1308575248161765</v>
      </c>
      <c r="G8" s="27">
        <f t="shared" si="1"/>
        <v>0.790878836283186</v>
      </c>
      <c r="H8" s="27">
        <f t="shared" si="1"/>
        <v>1.107606693588163</v>
      </c>
      <c r="I8" s="230"/>
      <c r="J8" s="92">
        <f t="shared" ref="J8:L9" si="2">J6/J4</f>
        <v>1.0159094144183989</v>
      </c>
      <c r="K8" s="27">
        <f t="shared" si="2"/>
        <v>1.5306023796992481</v>
      </c>
      <c r="L8" s="27">
        <f t="shared" si="2"/>
        <v>0.78984900490356325</v>
      </c>
      <c r="M8" s="230"/>
      <c r="N8" s="92">
        <f t="shared" ref="N8:P9" si="3">N6/N4</f>
        <v>0.98948632098765443</v>
      </c>
      <c r="O8" s="92">
        <f t="shared" si="3"/>
        <v>0.82249645116279069</v>
      </c>
      <c r="P8" s="92">
        <f t="shared" si="3"/>
        <v>1.0485224086021503</v>
      </c>
      <c r="Q8" s="230"/>
      <c r="R8" s="122"/>
    </row>
    <row r="9" spans="1:19" s="28" customFormat="1" ht="15" customHeight="1">
      <c r="A9" s="26" t="s">
        <v>51</v>
      </c>
      <c r="B9" s="27">
        <f t="shared" si="0"/>
        <v>1.6868240040485831</v>
      </c>
      <c r="C9" s="27">
        <f t="shared" si="0"/>
        <v>1.6366160653846153</v>
      </c>
      <c r="D9" s="27">
        <f t="shared" si="0"/>
        <v>1.2217273923076923</v>
      </c>
      <c r="E9" s="230"/>
      <c r="F9" s="27">
        <f t="shared" si="1"/>
        <v>1.1308575248161765</v>
      </c>
      <c r="G9" s="27">
        <f t="shared" si="1"/>
        <v>0.95764926600541045</v>
      </c>
      <c r="H9" s="27">
        <f t="shared" si="1"/>
        <v>1.0209906585937503</v>
      </c>
      <c r="I9" s="230"/>
      <c r="J9" s="92">
        <f t="shared" si="2"/>
        <v>1.0159094144183989</v>
      </c>
      <c r="K9" s="27">
        <f t="shared" si="2"/>
        <v>1.2941218280837226</v>
      </c>
      <c r="L9" s="27">
        <f t="shared" si="2"/>
        <v>1.1008172458646617</v>
      </c>
      <c r="M9" s="230"/>
      <c r="N9" s="92">
        <f t="shared" si="3"/>
        <v>0.98948632098765443</v>
      </c>
      <c r="O9" s="92">
        <f t="shared" si="3"/>
        <v>0.90349153772455082</v>
      </c>
      <c r="P9" s="92">
        <f t="shared" si="3"/>
        <v>0.95536796461538454</v>
      </c>
      <c r="Q9" s="230"/>
      <c r="R9" s="123"/>
      <c r="S9" s="14"/>
    </row>
    <row r="10" spans="1:19" s="44" customFormat="1" ht="15" customHeight="1">
      <c r="A10" s="7" t="s">
        <v>59</v>
      </c>
      <c r="B10" s="25">
        <f>B7-B5</f>
        <v>28274.254833333332</v>
      </c>
      <c r="C10" s="25">
        <f>C7-C5</f>
        <v>55173.392333333337</v>
      </c>
      <c r="D10" s="25">
        <f>D7-D5</f>
        <v>28824.561000000016</v>
      </c>
      <c r="E10" s="229"/>
      <c r="F10" s="25">
        <f>F7-F5</f>
        <v>4745.7662333333355</v>
      </c>
      <c r="G10" s="25">
        <f>G7-G5</f>
        <v>-3131.1309333333193</v>
      </c>
      <c r="H10" s="25">
        <f>H7-H5</f>
        <v>2686.8043000000325</v>
      </c>
      <c r="I10" s="229"/>
      <c r="J10" s="90">
        <f>J7-J5</f>
        <v>599.51976666666451</v>
      </c>
      <c r="K10" s="25">
        <f>K7-K5</f>
        <v>24122.891933333318</v>
      </c>
      <c r="L10" s="25">
        <f>L7-L5</f>
        <v>13408.693700000003</v>
      </c>
      <c r="M10" s="229"/>
      <c r="N10" s="90">
        <f>N7-N5</f>
        <v>-425.80399999999645</v>
      </c>
      <c r="O10" s="90">
        <f>O7-O5</f>
        <v>-8058.456600000005</v>
      </c>
      <c r="P10" s="90">
        <f>P7-P5</f>
        <v>-5802.1646000000037</v>
      </c>
      <c r="Q10" s="229"/>
      <c r="R10" s="118"/>
    </row>
    <row r="11" spans="1:19" s="45" customFormat="1" ht="15" customHeight="1">
      <c r="A11" s="6" t="s">
        <v>52</v>
      </c>
      <c r="B11" s="93">
        <f>'Target 2017'!L17</f>
        <v>136166.66666666666</v>
      </c>
      <c r="C11" s="93">
        <f>'Target 2017'!M17</f>
        <v>150500.00000000003</v>
      </c>
      <c r="D11" s="93">
        <f>'Target 2017'!N17</f>
        <v>143333.33333333334</v>
      </c>
      <c r="E11" s="228">
        <f>SUM(B11:D11)</f>
        <v>430000</v>
      </c>
      <c r="F11" s="93">
        <f>'Target 2017'!I17</f>
        <v>113333.33333333334</v>
      </c>
      <c r="G11" s="93">
        <f>'Target 2017'!J17</f>
        <v>133333.33333333334</v>
      </c>
      <c r="H11" s="93">
        <f>'Target 2017'!K17</f>
        <v>153333.33333333331</v>
      </c>
      <c r="I11" s="228">
        <f>SUM(F11:H11)</f>
        <v>400000</v>
      </c>
      <c r="J11" s="93">
        <f>'Target 2017'!F17</f>
        <v>113333.33333333334</v>
      </c>
      <c r="K11" s="93">
        <f>'Target 2017'!G17</f>
        <v>133333.33333333334</v>
      </c>
      <c r="L11" s="93">
        <f>'Target 2017'!H17</f>
        <v>153333.33333333331</v>
      </c>
      <c r="M11" s="228">
        <f>SUM(J11:L11)</f>
        <v>400000</v>
      </c>
      <c r="N11" s="93">
        <f>'Target 2017'!C17</f>
        <v>123000</v>
      </c>
      <c r="O11" s="93">
        <f>'Target 2017'!D17-15000</f>
        <v>121666.66666666666</v>
      </c>
      <c r="P11" s="93">
        <f>'Target 2017'!E17+15000-10000</f>
        <v>155333.33333333334</v>
      </c>
      <c r="Q11" s="228">
        <f>SUM(N11:P11)</f>
        <v>400000</v>
      </c>
      <c r="R11" s="116">
        <f>Q11+M11+I11+E11</f>
        <v>1630000</v>
      </c>
      <c r="S11" s="14"/>
    </row>
    <row r="12" spans="1:19" s="21" customFormat="1" ht="15" customHeight="1">
      <c r="A12" s="7" t="s">
        <v>53</v>
      </c>
      <c r="B12" s="94">
        <f>B11</f>
        <v>136166.66666666666</v>
      </c>
      <c r="C12" s="94">
        <f>C11+B12</f>
        <v>286666.66666666669</v>
      </c>
      <c r="D12" s="94">
        <f>D11+C12</f>
        <v>430000</v>
      </c>
      <c r="E12" s="229"/>
      <c r="F12" s="94">
        <f>F11</f>
        <v>113333.33333333334</v>
      </c>
      <c r="G12" s="94">
        <f>G11+F12</f>
        <v>246666.66666666669</v>
      </c>
      <c r="H12" s="94">
        <f>H11+G12</f>
        <v>400000</v>
      </c>
      <c r="I12" s="229"/>
      <c r="J12" s="94">
        <f>J11</f>
        <v>113333.33333333334</v>
      </c>
      <c r="K12" s="94">
        <f>K11+J12</f>
        <v>246666.66666666669</v>
      </c>
      <c r="L12" s="94">
        <f>L11+K12</f>
        <v>400000</v>
      </c>
      <c r="M12" s="229"/>
      <c r="N12" s="94">
        <f>N11</f>
        <v>123000</v>
      </c>
      <c r="O12" s="94">
        <f>O11+N12</f>
        <v>244666.66666666666</v>
      </c>
      <c r="P12" s="94">
        <f>P11+O12</f>
        <v>400000</v>
      </c>
      <c r="Q12" s="229"/>
      <c r="R12" s="118"/>
    </row>
    <row r="13" spans="1:19" s="12" customFormat="1" ht="15" customHeight="1">
      <c r="A13" s="31" t="s">
        <v>54</v>
      </c>
      <c r="B13" s="29">
        <f>SUMIF(X!A:A,$A$1,X!G:G)</f>
        <v>204705.79</v>
      </c>
      <c r="C13" s="29">
        <f>SUMIF(XI!A:A,$A$1,XI!G:G)</f>
        <v>235575.59</v>
      </c>
      <c r="D13" s="29">
        <f>SUMIF(XII!A:A,$A$1,XII!G:G)</f>
        <v>45635.679700000001</v>
      </c>
      <c r="E13" s="228">
        <f>SUM(B13:D13)</f>
        <v>485917.05969999998</v>
      </c>
      <c r="F13" s="29">
        <f>SUMIF(VII!A:A,$A$1,VII!G:G)</f>
        <v>151692.35999999999</v>
      </c>
      <c r="G13" s="29">
        <f>SUMIF(VIII!A:A,$A$1,VIII!G:G)</f>
        <v>140030.16</v>
      </c>
      <c r="H13" s="29">
        <f>SUMIF(IX!A:A,$A$1,IX!G:G)</f>
        <v>224657.98</v>
      </c>
      <c r="I13" s="228">
        <f>SUM(F13:H13)</f>
        <v>516380.5</v>
      </c>
      <c r="J13" s="29">
        <f>SUMIF(IV!A:A,$A$1,IV!G:G)</f>
        <v>124699.24</v>
      </c>
      <c r="K13" s="29">
        <f>SUMIF(V!A:A,$A$1,V!G:G)</f>
        <v>257082.76</v>
      </c>
      <c r="L13" s="29">
        <f>SUMIF(VI!A:A,$A$1,VI!G:G)</f>
        <v>150759.35</v>
      </c>
      <c r="M13" s="228">
        <f>SUM(J13:L13)</f>
        <v>532541.35</v>
      </c>
      <c r="N13" s="91">
        <f>SUMIF(I!A:A,$A$1,I!G:G)</f>
        <v>133265.91</v>
      </c>
      <c r="O13" s="29">
        <f>SUMIF(II!A:A,$A$1,II!G:G)</f>
        <v>88689.13</v>
      </c>
      <c r="P13" s="29">
        <f>SUMIF(III!A:A,$A$1,III!G:G)</f>
        <v>159158.04999999999</v>
      </c>
      <c r="Q13" s="228">
        <f>SUM(N13:P13)</f>
        <v>381113.08999999997</v>
      </c>
      <c r="R13" s="116">
        <f>Q13+M13+I13+E13</f>
        <v>1915951.9997</v>
      </c>
      <c r="S13" s="14"/>
    </row>
    <row r="14" spans="1:19" customFormat="1" ht="12.75">
      <c r="A14" s="7" t="s">
        <v>55</v>
      </c>
      <c r="B14" s="8">
        <f>B13</f>
        <v>204705.79</v>
      </c>
      <c r="C14" s="8">
        <f>C13+B14</f>
        <v>440281.38</v>
      </c>
      <c r="D14" s="8">
        <f>D13+C14</f>
        <v>485917.05969999998</v>
      </c>
      <c r="E14" s="229"/>
      <c r="F14" s="8">
        <f>F13</f>
        <v>151692.35999999999</v>
      </c>
      <c r="G14" s="8">
        <f>G13+F14</f>
        <v>291722.52</v>
      </c>
      <c r="H14" s="8">
        <f>H13+G14</f>
        <v>516380.5</v>
      </c>
      <c r="I14" s="229"/>
      <c r="J14" s="90">
        <f>J13</f>
        <v>124699.24</v>
      </c>
      <c r="K14" s="8">
        <f>K13+J14</f>
        <v>381782</v>
      </c>
      <c r="L14" s="8">
        <f>L13+K14</f>
        <v>532541.35</v>
      </c>
      <c r="M14" s="229"/>
      <c r="N14" s="90">
        <f>N13</f>
        <v>133265.91</v>
      </c>
      <c r="O14" s="90">
        <f>O13+N14</f>
        <v>221955.04</v>
      </c>
      <c r="P14" s="90">
        <f>P13+O14</f>
        <v>381113.08999999997</v>
      </c>
      <c r="Q14" s="229"/>
      <c r="R14" s="118"/>
    </row>
    <row r="15" spans="1:19" s="12" customFormat="1" ht="15" customHeight="1">
      <c r="A15" s="26" t="s">
        <v>56</v>
      </c>
      <c r="B15" s="27">
        <f t="shared" ref="B15:D16" si="4">B13/B11</f>
        <v>1.5033472949816402</v>
      </c>
      <c r="C15" s="27">
        <f t="shared" si="4"/>
        <v>1.5652863122923584</v>
      </c>
      <c r="D15" s="27">
        <f t="shared" si="4"/>
        <v>0.3183884630232558</v>
      </c>
      <c r="E15" s="230"/>
      <c r="F15" s="27">
        <f t="shared" ref="F15:H16" si="5">F13/F11</f>
        <v>1.3384619999999998</v>
      </c>
      <c r="G15" s="27">
        <f t="shared" si="5"/>
        <v>1.0502262</v>
      </c>
      <c r="H15" s="27">
        <f t="shared" si="5"/>
        <v>1.4651607391304351</v>
      </c>
      <c r="I15" s="230"/>
      <c r="J15" s="92">
        <f t="shared" ref="J15:L16" si="6">J13/J11</f>
        <v>1.1002874117647059</v>
      </c>
      <c r="K15" s="27">
        <f t="shared" si="6"/>
        <v>1.9281207</v>
      </c>
      <c r="L15" s="27">
        <f t="shared" si="6"/>
        <v>0.98321315217391325</v>
      </c>
      <c r="M15" s="230"/>
      <c r="N15" s="92">
        <f t="shared" ref="N15:P16" si="7">N13/N11</f>
        <v>1.0834626829268292</v>
      </c>
      <c r="O15" s="92">
        <f t="shared" si="7"/>
        <v>0.72895175342465768</v>
      </c>
      <c r="P15" s="92">
        <f t="shared" si="7"/>
        <v>1.0246226394849784</v>
      </c>
      <c r="Q15" s="230"/>
      <c r="R15" s="122"/>
    </row>
    <row r="16" spans="1:19" s="14" customFormat="1" ht="15" customHeight="1">
      <c r="A16" s="26" t="s">
        <v>57</v>
      </c>
      <c r="B16" s="27">
        <f t="shared" si="4"/>
        <v>1.5033472949816402</v>
      </c>
      <c r="C16" s="27">
        <f t="shared" si="4"/>
        <v>1.5358652790697673</v>
      </c>
      <c r="D16" s="27">
        <f t="shared" si="4"/>
        <v>1.1300396737209302</v>
      </c>
      <c r="E16" s="230"/>
      <c r="F16" s="27">
        <f t="shared" si="5"/>
        <v>1.3384619999999998</v>
      </c>
      <c r="G16" s="27">
        <f t="shared" si="5"/>
        <v>1.1826588648648648</v>
      </c>
      <c r="H16" s="27">
        <f t="shared" si="5"/>
        <v>1.29095125</v>
      </c>
      <c r="I16" s="230"/>
      <c r="J16" s="92">
        <f t="shared" si="6"/>
        <v>1.1002874117647059</v>
      </c>
      <c r="K16" s="27">
        <f t="shared" si="6"/>
        <v>1.5477648648648648</v>
      </c>
      <c r="L16" s="27">
        <f t="shared" si="6"/>
        <v>1.331353375</v>
      </c>
      <c r="M16" s="230"/>
      <c r="N16" s="92">
        <f t="shared" si="7"/>
        <v>1.0834626829268292</v>
      </c>
      <c r="O16" s="92">
        <f t="shared" si="7"/>
        <v>0.9071731880108993</v>
      </c>
      <c r="P16" s="92">
        <f t="shared" si="7"/>
        <v>0.95278272499999994</v>
      </c>
      <c r="Q16" s="230"/>
      <c r="R16" s="123"/>
      <c r="S16" s="12"/>
    </row>
    <row r="17" spans="1:19" s="12" customFormat="1" ht="15" customHeight="1">
      <c r="A17" s="7" t="s">
        <v>58</v>
      </c>
      <c r="B17" s="25">
        <f>B14-B12</f>
        <v>68539.123333333351</v>
      </c>
      <c r="C17" s="25">
        <f>C14-C12</f>
        <v>153614.71333333332</v>
      </c>
      <c r="D17" s="25">
        <f>D14-D12</f>
        <v>55917.059699999983</v>
      </c>
      <c r="E17" s="229"/>
      <c r="F17" s="25">
        <f>F14-F12</f>
        <v>38359.026666666643</v>
      </c>
      <c r="G17" s="25">
        <f>G14-G12</f>
        <v>45055.853333333333</v>
      </c>
      <c r="H17" s="25">
        <f>H14-H12</f>
        <v>116380.5</v>
      </c>
      <c r="I17" s="229"/>
      <c r="J17" s="90">
        <f>J14-J12</f>
        <v>11365.906666666662</v>
      </c>
      <c r="K17" s="25">
        <f>K14-K12</f>
        <v>135115.33333333331</v>
      </c>
      <c r="L17" s="25">
        <f>L14-L12</f>
        <v>132541.34999999998</v>
      </c>
      <c r="M17" s="229"/>
      <c r="N17" s="90">
        <f>N14-N12</f>
        <v>10265.910000000003</v>
      </c>
      <c r="O17" s="90">
        <f>O14-O12</f>
        <v>-22711.626666666649</v>
      </c>
      <c r="P17" s="90">
        <f>P14-P12</f>
        <v>-18886.910000000033</v>
      </c>
      <c r="Q17" s="229"/>
      <c r="R17" s="124"/>
    </row>
    <row r="18" spans="1:19" s="30" customFormat="1" ht="15" customHeight="1">
      <c r="A18" s="10" t="s">
        <v>43</v>
      </c>
      <c r="B18" s="11">
        <f t="shared" ref="B18:D19" si="8">B6/B13</f>
        <v>0.33922304542533943</v>
      </c>
      <c r="C18" s="11">
        <f t="shared" si="8"/>
        <v>0.30732869012447339</v>
      </c>
      <c r="D18" s="11">
        <f t="shared" si="8"/>
        <v>0.37217594022161565</v>
      </c>
      <c r="E18" s="231"/>
      <c r="F18" s="11">
        <f t="shared" ref="F18:H19" si="9">F6/F13</f>
        <v>0.27036584373794437</v>
      </c>
      <c r="G18" s="11">
        <f t="shared" si="9"/>
        <v>0.21273823796245039</v>
      </c>
      <c r="H18" s="11">
        <f t="shared" si="9"/>
        <v>0.26655897956529295</v>
      </c>
      <c r="I18" s="231"/>
      <c r="J18" s="96">
        <f t="shared" ref="J18:L19" si="10">J6/J13</f>
        <v>0.30700149495698609</v>
      </c>
      <c r="K18" s="11">
        <f t="shared" si="10"/>
        <v>0.26394887584060478</v>
      </c>
      <c r="L18" s="11">
        <f t="shared" si="10"/>
        <v>0.26710870735380593</v>
      </c>
      <c r="M18" s="231"/>
      <c r="N18" s="96">
        <f t="shared" ref="N18:P19" si="11">N6/N13</f>
        <v>0.30070853078630538</v>
      </c>
      <c r="O18" s="96">
        <f t="shared" si="11"/>
        <v>0.39877882892751343</v>
      </c>
      <c r="P18" s="96">
        <f t="shared" si="11"/>
        <v>0.30633883740093576</v>
      </c>
      <c r="Q18" s="231"/>
      <c r="R18" s="126"/>
      <c r="S18" s="14"/>
    </row>
    <row r="19" spans="1:19" s="12" customFormat="1" ht="15" customHeight="1">
      <c r="A19" s="10" t="s">
        <v>44</v>
      </c>
      <c r="B19" s="11">
        <f t="shared" si="8"/>
        <v>0.33922304542533943</v>
      </c>
      <c r="C19" s="11">
        <f t="shared" si="8"/>
        <v>0.32215775057305401</v>
      </c>
      <c r="D19" s="11">
        <f t="shared" si="8"/>
        <v>0.32685528904471189</v>
      </c>
      <c r="E19" s="231"/>
      <c r="F19" s="11">
        <f t="shared" si="9"/>
        <v>0.27036584373794437</v>
      </c>
      <c r="G19" s="11">
        <f t="shared" si="9"/>
        <v>0.24270393111920191</v>
      </c>
      <c r="H19" s="11">
        <f t="shared" si="9"/>
        <v>0.25308237685195317</v>
      </c>
      <c r="I19" s="231"/>
      <c r="J19" s="96">
        <f t="shared" si="10"/>
        <v>0.30700149495698609</v>
      </c>
      <c r="K19" s="11">
        <f t="shared" si="10"/>
        <v>0.27801090308081572</v>
      </c>
      <c r="L19" s="11">
        <f t="shared" si="10"/>
        <v>0.27492455506037233</v>
      </c>
      <c r="M19" s="231"/>
      <c r="N19" s="96">
        <f t="shared" si="11"/>
        <v>0.30070853078630538</v>
      </c>
      <c r="O19" s="96">
        <f t="shared" si="11"/>
        <v>0.33989560858811763</v>
      </c>
      <c r="P19" s="96">
        <f t="shared" si="11"/>
        <v>0.3258818410042017</v>
      </c>
      <c r="Q19" s="231"/>
      <c r="R19" s="126"/>
    </row>
    <row r="20" spans="1:19" s="71" customFormat="1" ht="15" customHeight="1">
      <c r="A20" s="103"/>
      <c r="B20" s="104"/>
      <c r="C20" s="104"/>
      <c r="D20" s="104"/>
      <c r="E20" s="232"/>
      <c r="F20" s="104"/>
      <c r="G20" s="104"/>
      <c r="H20" s="104"/>
      <c r="I20" s="232"/>
      <c r="J20" s="104"/>
      <c r="K20" s="104"/>
      <c r="L20" s="104"/>
      <c r="M20" s="232"/>
      <c r="N20" s="104"/>
      <c r="O20" s="104"/>
      <c r="P20" s="104"/>
      <c r="Q20" s="232"/>
      <c r="R20" s="127"/>
      <c r="S20" s="70"/>
    </row>
    <row r="21" spans="1:19" s="12" customFormat="1" ht="15" customHeight="1">
      <c r="A21" s="56"/>
      <c r="B21" s="213"/>
      <c r="C21" s="213"/>
      <c r="D21" s="213"/>
      <c r="E21" s="213"/>
      <c r="F21" s="213"/>
      <c r="G21" s="213"/>
      <c r="H21" s="213"/>
      <c r="I21" s="213"/>
      <c r="J21" s="213"/>
      <c r="K21" s="213"/>
      <c r="L21" s="213"/>
      <c r="M21" s="213"/>
      <c r="N21" s="212" t="s">
        <v>33</v>
      </c>
      <c r="O21" s="213"/>
      <c r="P21" s="213"/>
      <c r="Q21" s="213"/>
      <c r="R21" s="265"/>
    </row>
    <row r="22" spans="1:19" s="12" customFormat="1" ht="15" customHeight="1">
      <c r="A22" s="73" t="s">
        <v>89</v>
      </c>
      <c r="B22" s="78">
        <v>3300</v>
      </c>
      <c r="C22" s="78">
        <v>3300</v>
      </c>
      <c r="D22" s="78">
        <v>3300</v>
      </c>
      <c r="E22" s="234"/>
      <c r="F22" s="78">
        <v>3300</v>
      </c>
      <c r="G22" s="78">
        <v>3300</v>
      </c>
      <c r="H22" s="78">
        <v>3300</v>
      </c>
      <c r="I22" s="234"/>
      <c r="J22" s="78">
        <v>3300</v>
      </c>
      <c r="K22" s="78">
        <v>3300</v>
      </c>
      <c r="L22" s="78">
        <v>3300</v>
      </c>
      <c r="M22" s="234"/>
      <c r="N22" s="78">
        <v>2800</v>
      </c>
      <c r="O22" s="78">
        <v>3300</v>
      </c>
      <c r="P22" s="78">
        <v>3300</v>
      </c>
      <c r="Q22" s="234"/>
      <c r="R22" s="131"/>
    </row>
    <row r="23" spans="1:19" s="12" customFormat="1" ht="15" customHeight="1">
      <c r="A23" s="20" t="s">
        <v>61</v>
      </c>
      <c r="B23" s="79">
        <f>B5</f>
        <v>41166.666666666664</v>
      </c>
      <c r="C23" s="79">
        <f>C5</f>
        <v>86666.666666666672</v>
      </c>
      <c r="D23" s="79">
        <f>D5</f>
        <v>130000</v>
      </c>
      <c r="E23" s="235"/>
      <c r="F23" s="79">
        <f>F5</f>
        <v>36266.666666666664</v>
      </c>
      <c r="G23" s="79">
        <f>G5</f>
        <v>73933.333333333328</v>
      </c>
      <c r="H23" s="79">
        <f>H5</f>
        <v>127999.99999999999</v>
      </c>
      <c r="I23" s="235"/>
      <c r="J23" s="79">
        <f>J5</f>
        <v>37683.333333333336</v>
      </c>
      <c r="K23" s="79">
        <f>K5</f>
        <v>82016.666666666672</v>
      </c>
      <c r="L23" s="79">
        <f>L5</f>
        <v>133000</v>
      </c>
      <c r="M23" s="235"/>
      <c r="N23" s="79">
        <f>N5</f>
        <v>40500</v>
      </c>
      <c r="O23" s="79">
        <f>O5</f>
        <v>83500</v>
      </c>
      <c r="P23" s="79">
        <f>P5</f>
        <v>130000</v>
      </c>
      <c r="Q23" s="235"/>
      <c r="R23" s="133"/>
    </row>
    <row r="24" spans="1:19" s="28" customFormat="1" ht="15" customHeight="1">
      <c r="A24" s="40" t="s">
        <v>62</v>
      </c>
      <c r="B24" s="55">
        <f>B7</f>
        <v>69440.921499999997</v>
      </c>
      <c r="C24" s="55">
        <f>C7</f>
        <v>141840.05900000001</v>
      </c>
      <c r="D24" s="55">
        <f>D7</f>
        <v>158824.56100000002</v>
      </c>
      <c r="E24" s="236"/>
      <c r="F24" s="55">
        <f>F7</f>
        <v>41012.4329</v>
      </c>
      <c r="G24" s="55">
        <f>G7</f>
        <v>70802.202400000009</v>
      </c>
      <c r="H24" s="55">
        <f>H7</f>
        <v>130686.80430000002</v>
      </c>
      <c r="I24" s="236"/>
      <c r="J24" s="55">
        <f>J7</f>
        <v>38282.8531</v>
      </c>
      <c r="K24" s="55">
        <f>K7</f>
        <v>106139.55859999999</v>
      </c>
      <c r="L24" s="55">
        <f>L7</f>
        <v>146408.6937</v>
      </c>
      <c r="M24" s="236"/>
      <c r="N24" s="55">
        <f>N7</f>
        <v>40074.196000000004</v>
      </c>
      <c r="O24" s="55">
        <f>O7</f>
        <v>75441.543399999995</v>
      </c>
      <c r="P24" s="55">
        <f>P7</f>
        <v>124197.8354</v>
      </c>
      <c r="Q24" s="236"/>
      <c r="R24" s="133"/>
      <c r="S24" s="12"/>
    </row>
    <row r="25" spans="1:19" s="28" customFormat="1" ht="15" customHeight="1">
      <c r="A25" s="40" t="s">
        <v>63</v>
      </c>
      <c r="B25" s="97">
        <f>B24/B23</f>
        <v>1.6868240040485831</v>
      </c>
      <c r="C25" s="97">
        <f>C24/C23</f>
        <v>1.6366160653846153</v>
      </c>
      <c r="D25" s="97">
        <f>D24/D23</f>
        <v>1.2217273923076923</v>
      </c>
      <c r="E25" s="237"/>
      <c r="F25" s="97">
        <f>F24/F23</f>
        <v>1.1308575248161765</v>
      </c>
      <c r="G25" s="97">
        <f>G24/G23</f>
        <v>0.95764926600541045</v>
      </c>
      <c r="H25" s="97">
        <f>H24/H23</f>
        <v>1.0209906585937503</v>
      </c>
      <c r="I25" s="237"/>
      <c r="J25" s="97">
        <f>J24/J23</f>
        <v>1.0159094144183989</v>
      </c>
      <c r="K25" s="97">
        <f>K24/K23</f>
        <v>1.2941218280837226</v>
      </c>
      <c r="L25" s="97">
        <f>L24/L23</f>
        <v>1.1008172458646617</v>
      </c>
      <c r="M25" s="237"/>
      <c r="N25" s="97">
        <f>N24/N23</f>
        <v>0.98948632098765443</v>
      </c>
      <c r="O25" s="97">
        <f>O24/O23</f>
        <v>0.90349153772455082</v>
      </c>
      <c r="P25" s="97">
        <f>P24/P23</f>
        <v>0.95536796461538454</v>
      </c>
      <c r="Q25" s="237"/>
      <c r="R25" s="133"/>
      <c r="S25" s="12"/>
    </row>
    <row r="26" spans="1:19" s="17" customFormat="1" ht="15" customHeight="1">
      <c r="A26" s="39" t="s">
        <v>71</v>
      </c>
      <c r="B26" s="58">
        <f>B22*0.2</f>
        <v>660</v>
      </c>
      <c r="C26" s="58">
        <f>C22*0.2</f>
        <v>660</v>
      </c>
      <c r="D26" s="58">
        <f>D22*0.2</f>
        <v>660</v>
      </c>
      <c r="E26" s="238"/>
      <c r="F26" s="58">
        <f>F22*0.2</f>
        <v>660</v>
      </c>
      <c r="G26" s="58">
        <f>G22*0.2</f>
        <v>660</v>
      </c>
      <c r="H26" s="58">
        <f>H22*0.2</f>
        <v>660</v>
      </c>
      <c r="I26" s="238"/>
      <c r="J26" s="58">
        <f>J22*0.2</f>
        <v>660</v>
      </c>
      <c r="K26" s="58">
        <f>K22*0.2</f>
        <v>660</v>
      </c>
      <c r="L26" s="58">
        <f>L22*0.2</f>
        <v>660</v>
      </c>
      <c r="M26" s="238"/>
      <c r="N26" s="58">
        <f>N22*0.2</f>
        <v>560</v>
      </c>
      <c r="O26" s="58">
        <f>O22*0.2</f>
        <v>660</v>
      </c>
      <c r="P26" s="58">
        <f>P22*0.2</f>
        <v>660</v>
      </c>
      <c r="Q26" s="238"/>
      <c r="R26" s="136"/>
      <c r="S26" s="12"/>
    </row>
    <row r="27" spans="1:19" s="12" customFormat="1" ht="15" customHeight="1">
      <c r="A27" s="40" t="s">
        <v>64</v>
      </c>
      <c r="B27" s="76">
        <f>IF(B25&lt;80%,0,IF(B25&lt;90%,0.5,IF(B25&lt;95%,0.75,1)))</f>
        <v>1</v>
      </c>
      <c r="C27" s="76">
        <f>IF(C25&lt;80%,0,IF(C25&lt;90%,0.5,IF(C25&lt;95%,0.75,1)))</f>
        <v>1</v>
      </c>
      <c r="D27" s="76">
        <f>IF(D25&lt;80%,0,IF(D25&lt;90%,0.5,IF(D25&lt;95%,0.75,1)))</f>
        <v>1</v>
      </c>
      <c r="E27" s="236"/>
      <c r="F27" s="76">
        <f>IF(F25&lt;80%,0,IF(F25&lt;90%,0.5,IF(F25&lt;95%,0.75,1)))</f>
        <v>1</v>
      </c>
      <c r="G27" s="76">
        <f>IF(G25&lt;80%,0,IF(G25&lt;90%,0.5,IF(G25&lt;95%,0.75,1)))</f>
        <v>1</v>
      </c>
      <c r="H27" s="76">
        <f>IF(H25&lt;80%,0,IF(H25&lt;90%,0.5,IF(H25&lt;95%,0.75,1)))</f>
        <v>1</v>
      </c>
      <c r="I27" s="236"/>
      <c r="J27" s="76">
        <f>IF(J25&lt;80%,0,IF(J25&lt;90%,0.5,IF(J25&lt;95%,0.75,1)))</f>
        <v>1</v>
      </c>
      <c r="K27" s="76">
        <f>IF(K25&lt;80%,0,IF(K25&lt;90%,0.5,IF(K25&lt;95%,0.75,1)))</f>
        <v>1</v>
      </c>
      <c r="L27" s="76">
        <f>IF(L25&lt;80%,0,IF(L25&lt;90%,0.5,IF(L25&lt;95%,0.75,1)))</f>
        <v>1</v>
      </c>
      <c r="M27" s="236"/>
      <c r="N27" s="82">
        <f>IF(N25&lt;80%,0,IF(N25&lt;90%,0.5,IF(N25&lt;95%,0.75,1)))</f>
        <v>1</v>
      </c>
      <c r="O27" s="82">
        <f>IF(O25&lt;80%,0,IF(O25&lt;90%,0.5,IF(O25&lt;95%,0.75,1)))</f>
        <v>0.75</v>
      </c>
      <c r="P27" s="82">
        <f>IF(P25&lt;80%,0,IF(P25&lt;90%,0.5,IF(P25&lt;95%,0.75,1)))</f>
        <v>1</v>
      </c>
      <c r="Q27" s="236"/>
      <c r="R27" s="133"/>
      <c r="S27" s="19"/>
    </row>
    <row r="28" spans="1:19" s="12" customFormat="1" ht="15" customHeight="1">
      <c r="A28" s="59" t="s">
        <v>65</v>
      </c>
      <c r="B28" s="80">
        <f>B27*B26</f>
        <v>660</v>
      </c>
      <c r="C28" s="80">
        <f>C27*C26</f>
        <v>660</v>
      </c>
      <c r="D28" s="80">
        <f>D27*D26</f>
        <v>660</v>
      </c>
      <c r="E28" s="239"/>
      <c r="F28" s="80">
        <f>F27*F26</f>
        <v>660</v>
      </c>
      <c r="G28" s="80">
        <f>G27*G26</f>
        <v>660</v>
      </c>
      <c r="H28" s="80">
        <f>H27*H26</f>
        <v>660</v>
      </c>
      <c r="I28" s="239"/>
      <c r="J28" s="80">
        <f>J27*J26</f>
        <v>660</v>
      </c>
      <c r="K28" s="80">
        <f>K27*K26</f>
        <v>660</v>
      </c>
      <c r="L28" s="80">
        <f>L27*L26</f>
        <v>660</v>
      </c>
      <c r="M28" s="239"/>
      <c r="N28" s="80">
        <f>N27*N26</f>
        <v>560</v>
      </c>
      <c r="O28" s="80">
        <f>O27*O26</f>
        <v>495</v>
      </c>
      <c r="P28" s="80">
        <f>P27*P26</f>
        <v>660</v>
      </c>
      <c r="Q28" s="239"/>
      <c r="R28" s="137"/>
      <c r="S28" s="14"/>
    </row>
    <row r="29" spans="1:19" s="12" customFormat="1" ht="15" customHeight="1">
      <c r="A29" s="20" t="s">
        <v>60</v>
      </c>
      <c r="B29" s="42">
        <f>B12</f>
        <v>136166.66666666666</v>
      </c>
      <c r="C29" s="42">
        <f>C12</f>
        <v>286666.66666666669</v>
      </c>
      <c r="D29" s="42">
        <f>D12</f>
        <v>430000</v>
      </c>
      <c r="E29" s="235"/>
      <c r="F29" s="42">
        <f>F12</f>
        <v>113333.33333333334</v>
      </c>
      <c r="G29" s="42">
        <f>G12</f>
        <v>246666.66666666669</v>
      </c>
      <c r="H29" s="42">
        <f>H12</f>
        <v>400000</v>
      </c>
      <c r="I29" s="235"/>
      <c r="J29" s="42">
        <f>J12</f>
        <v>113333.33333333334</v>
      </c>
      <c r="K29" s="42">
        <f>K12</f>
        <v>246666.66666666669</v>
      </c>
      <c r="L29" s="42">
        <f>L12</f>
        <v>400000</v>
      </c>
      <c r="M29" s="235"/>
      <c r="N29" s="79">
        <f>N12</f>
        <v>123000</v>
      </c>
      <c r="O29" s="79">
        <f>O12</f>
        <v>244666.66666666666</v>
      </c>
      <c r="P29" s="79">
        <f>P12</f>
        <v>400000</v>
      </c>
      <c r="Q29" s="235"/>
      <c r="R29" s="133"/>
      <c r="S29" s="28"/>
    </row>
    <row r="30" spans="1:19" s="19" customFormat="1" ht="15" customHeight="1">
      <c r="A30" s="40" t="s">
        <v>66</v>
      </c>
      <c r="B30" s="41">
        <f>B14</f>
        <v>204705.79</v>
      </c>
      <c r="C30" s="41">
        <f>C14</f>
        <v>440281.38</v>
      </c>
      <c r="D30" s="41">
        <f>D14</f>
        <v>485917.05969999998</v>
      </c>
      <c r="E30" s="236"/>
      <c r="F30" s="41">
        <f>F14</f>
        <v>151692.35999999999</v>
      </c>
      <c r="G30" s="41">
        <f>G14</f>
        <v>291722.52</v>
      </c>
      <c r="H30" s="41">
        <f>H14</f>
        <v>516380.5</v>
      </c>
      <c r="I30" s="236"/>
      <c r="J30" s="41">
        <f>J14</f>
        <v>124699.24</v>
      </c>
      <c r="K30" s="41">
        <f>K14</f>
        <v>381782</v>
      </c>
      <c r="L30" s="41">
        <f>L14</f>
        <v>532541.35</v>
      </c>
      <c r="M30" s="236"/>
      <c r="N30" s="55">
        <f>N14</f>
        <v>133265.91</v>
      </c>
      <c r="O30" s="55">
        <f>O14</f>
        <v>221955.04</v>
      </c>
      <c r="P30" s="55">
        <f>P14</f>
        <v>381113.08999999997</v>
      </c>
      <c r="Q30" s="236"/>
      <c r="R30" s="133"/>
      <c r="S30" s="28"/>
    </row>
    <row r="31" spans="1:19" s="14" customFormat="1" ht="15" customHeight="1">
      <c r="A31" s="40" t="s">
        <v>67</v>
      </c>
      <c r="B31" s="97">
        <f>B30/B29</f>
        <v>1.5033472949816402</v>
      </c>
      <c r="C31" s="97">
        <f>C30/C29</f>
        <v>1.5358652790697673</v>
      </c>
      <c r="D31" s="97">
        <f>D30/D29</f>
        <v>1.1300396737209302</v>
      </c>
      <c r="E31" s="237"/>
      <c r="F31" s="97">
        <f>F30/F29</f>
        <v>1.3384619999999998</v>
      </c>
      <c r="G31" s="97">
        <f>G30/G29</f>
        <v>1.1826588648648648</v>
      </c>
      <c r="H31" s="97">
        <f>H30/H29</f>
        <v>1.29095125</v>
      </c>
      <c r="I31" s="237"/>
      <c r="J31" s="97">
        <f>J30/J29</f>
        <v>1.1002874117647059</v>
      </c>
      <c r="K31" s="97">
        <f>K30/K29</f>
        <v>1.5477648648648648</v>
      </c>
      <c r="L31" s="97">
        <f>L30/L29</f>
        <v>1.331353375</v>
      </c>
      <c r="M31" s="237"/>
      <c r="N31" s="97">
        <f>N30/N29</f>
        <v>1.0834626829268292</v>
      </c>
      <c r="O31" s="97">
        <f>O30/O29</f>
        <v>0.9071731880108993</v>
      </c>
      <c r="P31" s="97">
        <f>P30/P29</f>
        <v>0.95278272499999994</v>
      </c>
      <c r="Q31" s="237"/>
      <c r="R31" s="133"/>
    </row>
    <row r="32" spans="1:19" s="12" customFormat="1" ht="15" customHeight="1">
      <c r="A32" s="40" t="s">
        <v>72</v>
      </c>
      <c r="B32" s="55">
        <f>B22*0.2</f>
        <v>660</v>
      </c>
      <c r="C32" s="55">
        <f>C22*0.2</f>
        <v>660</v>
      </c>
      <c r="D32" s="55">
        <f>D22*0.2</f>
        <v>660</v>
      </c>
      <c r="E32" s="236"/>
      <c r="F32" s="55">
        <f>F22*0.2</f>
        <v>660</v>
      </c>
      <c r="G32" s="55">
        <f>G22*0.2</f>
        <v>660</v>
      </c>
      <c r="H32" s="55">
        <f>H22*0.2</f>
        <v>660</v>
      </c>
      <c r="I32" s="236"/>
      <c r="J32" s="55">
        <f>J22*0.2</f>
        <v>660</v>
      </c>
      <c r="K32" s="55">
        <f>K22*0.2</f>
        <v>660</v>
      </c>
      <c r="L32" s="55">
        <f>L22*0.2</f>
        <v>660</v>
      </c>
      <c r="M32" s="236"/>
      <c r="N32" s="55">
        <f>N22*0.2</f>
        <v>560</v>
      </c>
      <c r="O32" s="55">
        <f>O22*0.2</f>
        <v>660</v>
      </c>
      <c r="P32" s="55">
        <f>P22*0.2</f>
        <v>660</v>
      </c>
      <c r="Q32" s="236"/>
      <c r="R32" s="133"/>
      <c r="S32" s="17"/>
    </row>
    <row r="33" spans="1:19" s="12" customFormat="1" ht="15" customHeight="1">
      <c r="A33" s="40" t="s">
        <v>68</v>
      </c>
      <c r="B33" s="58">
        <f>IF(B31&lt;80%,0,IF(B31&lt;90%,0.5,IF(B31&lt;95%,0.75,1)))</f>
        <v>1</v>
      </c>
      <c r="C33" s="58">
        <f>IF(C31&lt;80%,0,IF(C31&lt;90%,0.5,IF(C31&lt;95%,0.75,1)))</f>
        <v>1</v>
      </c>
      <c r="D33" s="58">
        <f>IF(D31&lt;80%,0,IF(D31&lt;90%,0.5,IF(D31&lt;95%,0.75,1)))</f>
        <v>1</v>
      </c>
      <c r="E33" s="238"/>
      <c r="F33" s="58">
        <f>IF(F31&lt;80%,0,IF(F31&lt;90%,0.5,IF(F31&lt;95%,0.75,1)))</f>
        <v>1</v>
      </c>
      <c r="G33" s="58">
        <f>IF(G31&lt;80%,0,IF(G31&lt;90%,0.5,IF(G31&lt;95%,0.75,1)))</f>
        <v>1</v>
      </c>
      <c r="H33" s="58">
        <f>IF(H31&lt;80%,0,IF(H31&lt;90%,0.5,IF(H31&lt;95%,0.75,1)))</f>
        <v>1</v>
      </c>
      <c r="I33" s="238"/>
      <c r="J33" s="58">
        <f>IF(J31&lt;80%,0,IF(J31&lt;90%,0.5,IF(J31&lt;95%,0.75,1)))</f>
        <v>1</v>
      </c>
      <c r="K33" s="58">
        <f>IF(K31&lt;80%,0,IF(K31&lt;90%,0.5,IF(K31&lt;95%,0.75,1)))</f>
        <v>1</v>
      </c>
      <c r="L33" s="58">
        <f>IF(L31&lt;80%,0,IF(L31&lt;90%,0.5,IF(L31&lt;95%,0.75,1)))</f>
        <v>1</v>
      </c>
      <c r="M33" s="238"/>
      <c r="N33" s="58">
        <f>IF(N31&lt;80%,0,IF(N31&lt;90%,0.5,IF(N31&lt;95%,0.75,1)))</f>
        <v>1</v>
      </c>
      <c r="O33" s="58">
        <f>IF(O31&lt;80%,0,IF(O31&lt;90%,0.5,IF(O31&lt;95%,0.75,1)))</f>
        <v>0.75</v>
      </c>
      <c r="P33" s="58">
        <f>IF(P31&lt;80%,0,IF(P31&lt;90%,0.5,IF(P31&lt;95%,0.75,1)))</f>
        <v>1</v>
      </c>
      <c r="Q33" s="238"/>
      <c r="R33" s="133"/>
      <c r="S33" s="34"/>
    </row>
    <row r="34" spans="1:19" s="19" customFormat="1" ht="15" customHeight="1">
      <c r="A34" s="59" t="s">
        <v>69</v>
      </c>
      <c r="B34" s="80">
        <f>B33*B32</f>
        <v>660</v>
      </c>
      <c r="C34" s="80">
        <f>C33*C32</f>
        <v>660</v>
      </c>
      <c r="D34" s="80">
        <f>D33*D32</f>
        <v>660</v>
      </c>
      <c r="E34" s="239"/>
      <c r="F34" s="80">
        <f>F33*F32</f>
        <v>660</v>
      </c>
      <c r="G34" s="80">
        <f>G33*G32</f>
        <v>660</v>
      </c>
      <c r="H34" s="80">
        <f>H33*H32</f>
        <v>660</v>
      </c>
      <c r="I34" s="239"/>
      <c r="J34" s="80">
        <f>J33*J32</f>
        <v>660</v>
      </c>
      <c r="K34" s="80">
        <f>K33*K32</f>
        <v>660</v>
      </c>
      <c r="L34" s="80">
        <f>L33*L32</f>
        <v>660</v>
      </c>
      <c r="M34" s="239"/>
      <c r="N34" s="80">
        <f>N33*N32</f>
        <v>560</v>
      </c>
      <c r="O34" s="80">
        <f>O33*O32</f>
        <v>495</v>
      </c>
      <c r="P34" s="80">
        <f>P33*P32</f>
        <v>660</v>
      </c>
      <c r="Q34" s="239"/>
      <c r="R34" s="137"/>
      <c r="S34" s="34"/>
    </row>
    <row r="35" spans="1:19" s="14" customFormat="1" ht="15" customHeight="1">
      <c r="A35" s="20" t="s">
        <v>45</v>
      </c>
      <c r="B35" s="46">
        <v>1</v>
      </c>
      <c r="C35" s="46">
        <v>1</v>
      </c>
      <c r="D35" s="46">
        <v>1</v>
      </c>
      <c r="E35" s="235"/>
      <c r="F35" s="46">
        <v>1</v>
      </c>
      <c r="G35" s="46">
        <v>1</v>
      </c>
      <c r="H35" s="46">
        <v>1</v>
      </c>
      <c r="I35" s="235"/>
      <c r="J35" s="46">
        <v>1</v>
      </c>
      <c r="K35" s="46">
        <v>1</v>
      </c>
      <c r="L35" s="46">
        <v>1</v>
      </c>
      <c r="M35" s="235"/>
      <c r="N35" s="98">
        <v>1</v>
      </c>
      <c r="O35" s="98">
        <v>1</v>
      </c>
      <c r="P35" s="98">
        <v>1</v>
      </c>
      <c r="Q35" s="235"/>
      <c r="R35" s="138"/>
      <c r="S35" s="34"/>
    </row>
    <row r="36" spans="1:19" s="47" customFormat="1" ht="15" customHeight="1">
      <c r="A36" s="52" t="s">
        <v>70</v>
      </c>
      <c r="B36" s="83">
        <f>B22*0.1</f>
        <v>330</v>
      </c>
      <c r="C36" s="83">
        <f>C22*0.1</f>
        <v>330</v>
      </c>
      <c r="D36" s="83">
        <f>D22*0.1</f>
        <v>330</v>
      </c>
      <c r="E36" s="240"/>
      <c r="F36" s="83">
        <f>F22*0.1</f>
        <v>330</v>
      </c>
      <c r="G36" s="83">
        <f>G22*0.1</f>
        <v>330</v>
      </c>
      <c r="H36" s="83">
        <f>H22*0.1</f>
        <v>330</v>
      </c>
      <c r="I36" s="240"/>
      <c r="J36" s="83">
        <f>J22*0.1</f>
        <v>330</v>
      </c>
      <c r="K36" s="83">
        <f>K22*0.1</f>
        <v>330</v>
      </c>
      <c r="L36" s="83">
        <f>L22*0.1</f>
        <v>330</v>
      </c>
      <c r="M36" s="240"/>
      <c r="N36" s="83">
        <f>N22*0.1</f>
        <v>280</v>
      </c>
      <c r="O36" s="83">
        <f>O22*0.1</f>
        <v>330</v>
      </c>
      <c r="P36" s="83">
        <f>P22*0.1</f>
        <v>330</v>
      </c>
      <c r="Q36" s="240"/>
      <c r="R36" s="136"/>
    </row>
    <row r="37" spans="1:19" s="12" customFormat="1" ht="15" customHeight="1">
      <c r="A37" s="40" t="s">
        <v>73</v>
      </c>
      <c r="B37" s="55">
        <v>1</v>
      </c>
      <c r="C37" s="55">
        <v>1</v>
      </c>
      <c r="D37" s="55">
        <v>1</v>
      </c>
      <c r="E37" s="236"/>
      <c r="F37" s="55">
        <v>1</v>
      </c>
      <c r="G37" s="55">
        <v>1</v>
      </c>
      <c r="H37" s="55">
        <v>1</v>
      </c>
      <c r="I37" s="236"/>
      <c r="J37" s="105" t="s">
        <v>242</v>
      </c>
      <c r="K37" s="55">
        <v>1</v>
      </c>
      <c r="L37" s="55">
        <v>1</v>
      </c>
      <c r="M37" s="236"/>
      <c r="N37" s="55">
        <v>1</v>
      </c>
      <c r="O37" s="55">
        <v>1</v>
      </c>
      <c r="P37" s="55">
        <v>1</v>
      </c>
      <c r="Q37" s="236"/>
      <c r="R37" s="133"/>
      <c r="S37" s="30"/>
    </row>
    <row r="38" spans="1:19" s="22" customFormat="1" ht="15" customHeight="1">
      <c r="A38" s="66" t="s">
        <v>74</v>
      </c>
      <c r="B38" s="81">
        <f>B37*B36</f>
        <v>330</v>
      </c>
      <c r="C38" s="81">
        <f>C37*C36</f>
        <v>330</v>
      </c>
      <c r="D38" s="81">
        <f>D37*D36</f>
        <v>330</v>
      </c>
      <c r="E38" s="239"/>
      <c r="F38" s="81">
        <f>F37*F36</f>
        <v>330</v>
      </c>
      <c r="G38" s="81">
        <f>G37*G36</f>
        <v>330</v>
      </c>
      <c r="H38" s="81">
        <f>H37*H36</f>
        <v>330</v>
      </c>
      <c r="I38" s="239"/>
      <c r="J38" s="81">
        <f>J37*J36</f>
        <v>330</v>
      </c>
      <c r="K38" s="81">
        <f>K37*K36</f>
        <v>330</v>
      </c>
      <c r="L38" s="81">
        <f>L37*L36</f>
        <v>330</v>
      </c>
      <c r="M38" s="239"/>
      <c r="N38" s="81">
        <f>N37*N36</f>
        <v>280</v>
      </c>
      <c r="O38" s="81">
        <f>O37*O36</f>
        <v>330</v>
      </c>
      <c r="P38" s="81">
        <f>P37*P36</f>
        <v>330</v>
      </c>
      <c r="Q38" s="239"/>
      <c r="R38" s="140"/>
      <c r="S38" s="14"/>
    </row>
    <row r="39" spans="1:19" s="43" customFormat="1" ht="15" customHeight="1">
      <c r="A39" s="56" t="s">
        <v>78</v>
      </c>
      <c r="B39" s="84">
        <f>B34+B28+B38</f>
        <v>1650</v>
      </c>
      <c r="C39" s="84">
        <f>C34+C28+C38</f>
        <v>1650</v>
      </c>
      <c r="D39" s="84">
        <f>D34+D28+D38</f>
        <v>1650</v>
      </c>
      <c r="E39" s="241"/>
      <c r="F39" s="84">
        <f>F34+F28+F38</f>
        <v>1650</v>
      </c>
      <c r="G39" s="84">
        <f>G34+G28+G38</f>
        <v>1650</v>
      </c>
      <c r="H39" s="84">
        <f>H34+H28+H38</f>
        <v>1650</v>
      </c>
      <c r="I39" s="241"/>
      <c r="J39" s="84">
        <f>J34+J28+J38</f>
        <v>1650</v>
      </c>
      <c r="K39" s="84">
        <f>K34+K28+K38</f>
        <v>1650</v>
      </c>
      <c r="L39" s="84">
        <f>L34+L28+L38</f>
        <v>1650</v>
      </c>
      <c r="M39" s="241"/>
      <c r="N39" s="84">
        <f>N34+N28+N38</f>
        <v>1400</v>
      </c>
      <c r="O39" s="84">
        <f>O34+O28+O38</f>
        <v>1320</v>
      </c>
      <c r="P39" s="84">
        <f>P34+P28+P38</f>
        <v>1650</v>
      </c>
      <c r="Q39" s="241"/>
      <c r="R39" s="141"/>
      <c r="S39" s="17"/>
    </row>
    <row r="40" spans="1:19" s="12" customFormat="1" ht="15" customHeight="1">
      <c r="A40" s="132" t="s">
        <v>162</v>
      </c>
      <c r="B40" s="586">
        <f>D5</f>
        <v>130000</v>
      </c>
      <c r="C40" s="587"/>
      <c r="D40" s="587"/>
      <c r="E40" s="574"/>
      <c r="F40" s="586">
        <f>H5</f>
        <v>127999.99999999999</v>
      </c>
      <c r="G40" s="587"/>
      <c r="H40" s="587"/>
      <c r="I40" s="574"/>
      <c r="J40" s="586">
        <f>L5</f>
        <v>133000</v>
      </c>
      <c r="K40" s="587"/>
      <c r="L40" s="587"/>
      <c r="M40" s="574"/>
      <c r="N40" s="586">
        <f>P5</f>
        <v>130000</v>
      </c>
      <c r="O40" s="587"/>
      <c r="P40" s="587"/>
      <c r="Q40" s="574"/>
      <c r="R40" s="136"/>
    </row>
    <row r="41" spans="1:19" s="12" customFormat="1" ht="15" customHeight="1">
      <c r="A41" s="134" t="s">
        <v>80</v>
      </c>
      <c r="B41" s="580">
        <f>D7</f>
        <v>158824.56100000002</v>
      </c>
      <c r="C41" s="581"/>
      <c r="D41" s="581"/>
      <c r="E41" s="574"/>
      <c r="F41" s="580">
        <f>H7</f>
        <v>130686.80430000002</v>
      </c>
      <c r="G41" s="581"/>
      <c r="H41" s="581"/>
      <c r="I41" s="574"/>
      <c r="J41" s="580">
        <f>L7</f>
        <v>146408.6937</v>
      </c>
      <c r="K41" s="581"/>
      <c r="L41" s="581"/>
      <c r="M41" s="574"/>
      <c r="N41" s="580">
        <f>P7</f>
        <v>124197.8354</v>
      </c>
      <c r="O41" s="581"/>
      <c r="P41" s="581"/>
      <c r="Q41" s="574"/>
      <c r="R41" s="136"/>
    </row>
    <row r="42" spans="1:19" s="19" customFormat="1" ht="15" customHeight="1">
      <c r="A42" s="134" t="s">
        <v>79</v>
      </c>
      <c r="B42" s="582">
        <f>B41/B40</f>
        <v>1.2217273923076923</v>
      </c>
      <c r="C42" s="583"/>
      <c r="D42" s="583"/>
      <c r="E42" s="574"/>
      <c r="F42" s="582">
        <f>F41/F40</f>
        <v>1.0209906585937503</v>
      </c>
      <c r="G42" s="583"/>
      <c r="H42" s="583"/>
      <c r="I42" s="574"/>
      <c r="J42" s="582">
        <f>J41/J40</f>
        <v>1.1008172458646617</v>
      </c>
      <c r="K42" s="583"/>
      <c r="L42" s="583"/>
      <c r="M42" s="574"/>
      <c r="N42" s="582">
        <f>N41/N40</f>
        <v>0.95536796461538454</v>
      </c>
      <c r="O42" s="583"/>
      <c r="P42" s="583"/>
      <c r="Q42" s="574"/>
      <c r="R42" s="142"/>
      <c r="S42" s="12"/>
    </row>
    <row r="43" spans="1:19" s="14" customFormat="1" ht="15" customHeight="1">
      <c r="A43" s="134" t="s">
        <v>76</v>
      </c>
      <c r="B43" s="572">
        <f>D22</f>
        <v>3300</v>
      </c>
      <c r="C43" s="573"/>
      <c r="D43" s="573"/>
      <c r="E43" s="574"/>
      <c r="F43" s="572">
        <f>H22</f>
        <v>3300</v>
      </c>
      <c r="G43" s="573"/>
      <c r="H43" s="573"/>
      <c r="I43" s="574"/>
      <c r="J43" s="572">
        <f>L22</f>
        <v>3300</v>
      </c>
      <c r="K43" s="573"/>
      <c r="L43" s="573"/>
      <c r="M43" s="574"/>
      <c r="N43" s="572">
        <f>P22</f>
        <v>3300</v>
      </c>
      <c r="O43" s="573"/>
      <c r="P43" s="573"/>
      <c r="Q43" s="574"/>
      <c r="R43" s="136"/>
      <c r="S43" s="12"/>
    </row>
    <row r="44" spans="1:19" s="12" customFormat="1" ht="15" customHeight="1">
      <c r="A44" s="88" t="s">
        <v>77</v>
      </c>
      <c r="B44" s="575">
        <f>IF(B42&lt;100%,0,IF(B42&lt;110%,0.5,IF(B42&lt;120%,0.7,1)))</f>
        <v>1</v>
      </c>
      <c r="C44" s="576"/>
      <c r="D44" s="576"/>
      <c r="E44" s="577"/>
      <c r="F44" s="575">
        <f>IF(F42&lt;100%,0,IF(F42&lt;110%,0.5,IF(F42&lt;120%,0.7,1)))</f>
        <v>0.5</v>
      </c>
      <c r="G44" s="576"/>
      <c r="H44" s="576"/>
      <c r="I44" s="577"/>
      <c r="J44" s="575">
        <f>IF(J42&lt;100%,0,IF(J42&lt;110%,0.5,IF(J42&lt;120%,0.7,1)))</f>
        <v>0.7</v>
      </c>
      <c r="K44" s="576"/>
      <c r="L44" s="576"/>
      <c r="M44" s="577"/>
      <c r="N44" s="575">
        <f>IF(N42&lt;100%,0,IF(N42&lt;110%,0.5,IF(N42&lt;120%,0.7,1)))</f>
        <v>0</v>
      </c>
      <c r="O44" s="576"/>
      <c r="P44" s="576"/>
      <c r="Q44" s="577"/>
      <c r="R44" s="143"/>
    </row>
    <row r="45" spans="1:19" s="12" customFormat="1" ht="15" customHeight="1">
      <c r="A45" s="56" t="s">
        <v>75</v>
      </c>
      <c r="B45" s="578">
        <f>B44*B43</f>
        <v>3300</v>
      </c>
      <c r="C45" s="579"/>
      <c r="D45" s="579"/>
      <c r="E45" s="577"/>
      <c r="F45" s="578">
        <f>F44*F43</f>
        <v>1650</v>
      </c>
      <c r="G45" s="579"/>
      <c r="H45" s="579"/>
      <c r="I45" s="577"/>
      <c r="J45" s="578">
        <f>J44*J43</f>
        <v>2310</v>
      </c>
      <c r="K45" s="579"/>
      <c r="L45" s="579"/>
      <c r="M45" s="577"/>
      <c r="N45" s="578">
        <f>N44*N43</f>
        <v>0</v>
      </c>
      <c r="O45" s="579"/>
      <c r="P45" s="579"/>
      <c r="Q45" s="577"/>
      <c r="R45" s="144"/>
    </row>
    <row r="46" spans="1:19" s="12" customFormat="1" ht="15" customHeight="1">
      <c r="A46" s="63"/>
      <c r="B46" s="64"/>
      <c r="C46" s="64"/>
      <c r="D46" s="64"/>
      <c r="E46" s="146"/>
      <c r="F46" s="64"/>
      <c r="G46" s="64"/>
      <c r="H46" s="64"/>
      <c r="I46" s="146"/>
      <c r="J46" s="64"/>
      <c r="K46" s="64"/>
      <c r="L46" s="64"/>
      <c r="M46" s="146"/>
      <c r="N46" s="64"/>
      <c r="O46" s="64"/>
      <c r="P46" s="64"/>
      <c r="Q46" s="146"/>
      <c r="R46" s="147"/>
    </row>
    <row r="47" spans="1:19" s="12" customFormat="1" ht="15" customHeight="1">
      <c r="A47" s="208" t="s">
        <v>27</v>
      </c>
      <c r="B47" s="114" t="s">
        <v>10</v>
      </c>
      <c r="C47" s="114" t="s">
        <v>11</v>
      </c>
      <c r="D47" s="114" t="s">
        <v>12</v>
      </c>
      <c r="E47" s="223" t="s">
        <v>165</v>
      </c>
      <c r="F47" s="114" t="s">
        <v>7</v>
      </c>
      <c r="G47" s="114" t="s">
        <v>8</v>
      </c>
      <c r="H47" s="114" t="s">
        <v>9</v>
      </c>
      <c r="I47" s="223" t="s">
        <v>164</v>
      </c>
      <c r="J47" s="114" t="s">
        <v>4</v>
      </c>
      <c r="K47" s="114" t="s">
        <v>5</v>
      </c>
      <c r="L47" s="114" t="s">
        <v>6</v>
      </c>
      <c r="M47" s="223" t="s">
        <v>163</v>
      </c>
      <c r="N47" s="114" t="s">
        <v>1</v>
      </c>
      <c r="O47" s="114" t="s">
        <v>2</v>
      </c>
      <c r="P47" s="114" t="s">
        <v>3</v>
      </c>
      <c r="Q47" s="223" t="s">
        <v>152</v>
      </c>
      <c r="R47" s="114" t="s">
        <v>166</v>
      </c>
    </row>
    <row r="48" spans="1:19" s="12" customFormat="1" ht="15" customHeight="1">
      <c r="A48" s="148" t="s">
        <v>36</v>
      </c>
      <c r="B48" s="115"/>
      <c r="C48" s="115"/>
      <c r="D48" s="115"/>
      <c r="E48" s="224">
        <f>SUM(B48:D48)</f>
        <v>0</v>
      </c>
      <c r="F48" s="115"/>
      <c r="G48" s="115"/>
      <c r="H48" s="115"/>
      <c r="I48" s="224">
        <f>SUM(F48:H48)</f>
        <v>0</v>
      </c>
      <c r="J48" s="115"/>
      <c r="K48" s="115"/>
      <c r="L48" s="115"/>
      <c r="M48" s="224">
        <f>SUM(J48:L48)</f>
        <v>0</v>
      </c>
      <c r="N48" s="115"/>
      <c r="O48" s="115"/>
      <c r="P48" s="115"/>
      <c r="Q48" s="224">
        <f>SUM(N48:P48)</f>
        <v>0</v>
      </c>
      <c r="R48" s="116">
        <f t="shared" ref="R48:R61" si="12">Q48+M48+I48+E48</f>
        <v>0</v>
      </c>
    </row>
    <row r="49" spans="1:19" s="12" customFormat="1" ht="15" customHeight="1">
      <c r="A49" s="148" t="s">
        <v>37</v>
      </c>
      <c r="B49" s="115"/>
      <c r="C49" s="115"/>
      <c r="D49" s="115"/>
      <c r="E49" s="224">
        <f t="shared" ref="E49:E61" si="13">SUM(B49:D49)</f>
        <v>0</v>
      </c>
      <c r="F49" s="115"/>
      <c r="G49" s="115"/>
      <c r="H49" s="115"/>
      <c r="I49" s="224">
        <f t="shared" ref="I49:I61" si="14">SUM(F49:H49)</f>
        <v>0</v>
      </c>
      <c r="J49" s="115"/>
      <c r="K49" s="115"/>
      <c r="L49" s="115"/>
      <c r="M49" s="224">
        <f t="shared" ref="M49:M61" si="15">SUM(J49:L49)</f>
        <v>0</v>
      </c>
      <c r="N49" s="115">
        <v>1</v>
      </c>
      <c r="O49" s="115"/>
      <c r="P49" s="115"/>
      <c r="Q49" s="224">
        <f t="shared" ref="Q49:Q61" si="16">SUM(N49:P49)</f>
        <v>1</v>
      </c>
      <c r="R49" s="116">
        <f t="shared" si="12"/>
        <v>1</v>
      </c>
    </row>
    <row r="50" spans="1:19" s="12" customFormat="1" ht="15" customHeight="1">
      <c r="A50" s="148" t="s">
        <v>81</v>
      </c>
      <c r="B50" s="115"/>
      <c r="C50" s="115"/>
      <c r="D50" s="115"/>
      <c r="E50" s="224">
        <f t="shared" si="13"/>
        <v>0</v>
      </c>
      <c r="F50" s="115"/>
      <c r="G50" s="115"/>
      <c r="H50" s="115"/>
      <c r="I50" s="224">
        <f t="shared" si="14"/>
        <v>0</v>
      </c>
      <c r="J50" s="115"/>
      <c r="K50" s="115"/>
      <c r="L50" s="115">
        <v>1</v>
      </c>
      <c r="M50" s="224">
        <f t="shared" si="15"/>
        <v>1</v>
      </c>
      <c r="N50" s="115"/>
      <c r="O50" s="115"/>
      <c r="P50" s="115"/>
      <c r="Q50" s="224">
        <f t="shared" si="16"/>
        <v>0</v>
      </c>
      <c r="R50" s="116">
        <f t="shared" si="12"/>
        <v>1</v>
      </c>
    </row>
    <row r="51" spans="1:19" s="12" customFormat="1" ht="15" customHeight="1">
      <c r="A51" s="148" t="s">
        <v>38</v>
      </c>
      <c r="B51" s="115"/>
      <c r="C51" s="115">
        <v>1</v>
      </c>
      <c r="D51" s="115"/>
      <c r="E51" s="224">
        <f t="shared" si="13"/>
        <v>1</v>
      </c>
      <c r="F51" s="115"/>
      <c r="G51" s="115"/>
      <c r="H51" s="115"/>
      <c r="I51" s="224">
        <f t="shared" si="14"/>
        <v>0</v>
      </c>
      <c r="J51" s="115">
        <v>1</v>
      </c>
      <c r="K51" s="115">
        <v>1</v>
      </c>
      <c r="L51" s="115"/>
      <c r="M51" s="224">
        <f t="shared" si="15"/>
        <v>2</v>
      </c>
      <c r="N51" s="115">
        <v>2</v>
      </c>
      <c r="O51" s="115"/>
      <c r="P51" s="115">
        <v>1</v>
      </c>
      <c r="Q51" s="224">
        <f t="shared" si="16"/>
        <v>3</v>
      </c>
      <c r="R51" s="116">
        <f t="shared" si="12"/>
        <v>6</v>
      </c>
    </row>
    <row r="52" spans="1:19" s="12" customFormat="1" ht="15" customHeight="1">
      <c r="A52" s="148" t="s">
        <v>23</v>
      </c>
      <c r="B52" s="115"/>
      <c r="C52" s="115"/>
      <c r="D52" s="115"/>
      <c r="E52" s="224">
        <f t="shared" si="13"/>
        <v>0</v>
      </c>
      <c r="F52" s="115"/>
      <c r="G52" s="115"/>
      <c r="H52" s="115"/>
      <c r="I52" s="224">
        <f t="shared" si="14"/>
        <v>0</v>
      </c>
      <c r="J52" s="115"/>
      <c r="K52" s="115"/>
      <c r="L52" s="115"/>
      <c r="M52" s="224">
        <f t="shared" si="15"/>
        <v>0</v>
      </c>
      <c r="N52" s="115"/>
      <c r="O52" s="115"/>
      <c r="P52" s="115"/>
      <c r="Q52" s="224">
        <f t="shared" si="16"/>
        <v>0</v>
      </c>
      <c r="R52" s="116">
        <f t="shared" si="12"/>
        <v>0</v>
      </c>
    </row>
    <row r="53" spans="1:19" s="12" customFormat="1" ht="15" customHeight="1">
      <c r="A53" s="148" t="s">
        <v>29</v>
      </c>
      <c r="B53" s="115"/>
      <c r="C53" s="115"/>
      <c r="D53" s="115"/>
      <c r="E53" s="224">
        <f t="shared" si="13"/>
        <v>0</v>
      </c>
      <c r="F53" s="115"/>
      <c r="G53" s="115"/>
      <c r="H53" s="115"/>
      <c r="I53" s="224">
        <f t="shared" si="14"/>
        <v>0</v>
      </c>
      <c r="J53" s="115"/>
      <c r="K53" s="115"/>
      <c r="L53" s="115"/>
      <c r="M53" s="224">
        <f t="shared" si="15"/>
        <v>0</v>
      </c>
      <c r="N53" s="115"/>
      <c r="O53" s="115"/>
      <c r="P53" s="115"/>
      <c r="Q53" s="224">
        <f t="shared" si="16"/>
        <v>0</v>
      </c>
      <c r="R53" s="116">
        <f t="shared" si="12"/>
        <v>0</v>
      </c>
    </row>
    <row r="54" spans="1:19" s="12" customFormat="1" ht="15" customHeight="1">
      <c r="A54" s="148" t="s">
        <v>24</v>
      </c>
      <c r="B54" s="115">
        <v>1</v>
      </c>
      <c r="C54" s="115"/>
      <c r="D54" s="115">
        <v>2</v>
      </c>
      <c r="E54" s="224">
        <f t="shared" si="13"/>
        <v>3</v>
      </c>
      <c r="F54" s="115"/>
      <c r="G54" s="115"/>
      <c r="H54" s="115"/>
      <c r="I54" s="224">
        <f t="shared" si="14"/>
        <v>0</v>
      </c>
      <c r="J54" s="115"/>
      <c r="K54" s="115"/>
      <c r="L54" s="115"/>
      <c r="M54" s="224">
        <f t="shared" si="15"/>
        <v>0</v>
      </c>
      <c r="N54" s="115">
        <v>1</v>
      </c>
      <c r="O54" s="115"/>
      <c r="P54" s="115"/>
      <c r="Q54" s="224">
        <f t="shared" si="16"/>
        <v>1</v>
      </c>
      <c r="R54" s="116">
        <f t="shared" si="12"/>
        <v>4</v>
      </c>
    </row>
    <row r="55" spans="1:19" s="12" customFormat="1" ht="15" customHeight="1">
      <c r="A55" s="148" t="s">
        <v>28</v>
      </c>
      <c r="B55" s="115"/>
      <c r="C55" s="115"/>
      <c r="D55" s="115"/>
      <c r="E55" s="224">
        <f t="shared" si="13"/>
        <v>0</v>
      </c>
      <c r="F55" s="115"/>
      <c r="G55" s="115"/>
      <c r="H55" s="115"/>
      <c r="I55" s="224">
        <f t="shared" si="14"/>
        <v>0</v>
      </c>
      <c r="J55" s="115"/>
      <c r="K55" s="115"/>
      <c r="L55" s="115"/>
      <c r="M55" s="224">
        <f t="shared" si="15"/>
        <v>0</v>
      </c>
      <c r="N55" s="115"/>
      <c r="O55" s="115"/>
      <c r="P55" s="115"/>
      <c r="Q55" s="224">
        <f t="shared" si="16"/>
        <v>0</v>
      </c>
      <c r="R55" s="116">
        <f t="shared" si="12"/>
        <v>0</v>
      </c>
    </row>
    <row r="56" spans="1:19" s="13" customFormat="1" ht="15" customHeight="1">
      <c r="A56" s="148" t="s">
        <v>200</v>
      </c>
      <c r="B56" s="115"/>
      <c r="C56" s="115"/>
      <c r="D56" s="115"/>
      <c r="E56" s="224"/>
      <c r="F56" s="115"/>
      <c r="G56" s="115"/>
      <c r="H56" s="115"/>
      <c r="I56" s="224"/>
      <c r="J56" s="115"/>
      <c r="K56" s="115"/>
      <c r="L56" s="115">
        <v>1</v>
      </c>
      <c r="M56" s="224"/>
      <c r="N56" s="115"/>
      <c r="O56" s="115"/>
      <c r="P56" s="115">
        <v>1</v>
      </c>
      <c r="Q56" s="224">
        <f t="shared" si="16"/>
        <v>1</v>
      </c>
      <c r="R56" s="116">
        <f t="shared" si="12"/>
        <v>1</v>
      </c>
      <c r="S56" s="21"/>
    </row>
    <row r="57" spans="1:19" s="13" customFormat="1" ht="15" customHeight="1">
      <c r="A57" s="148" t="s">
        <v>221</v>
      </c>
      <c r="B57" s="115"/>
      <c r="C57" s="115"/>
      <c r="D57" s="115"/>
      <c r="E57" s="224"/>
      <c r="F57" s="115"/>
      <c r="G57" s="115"/>
      <c r="H57" s="115"/>
      <c r="I57" s="224"/>
      <c r="J57" s="115"/>
      <c r="K57" s="115">
        <v>1</v>
      </c>
      <c r="L57" s="115">
        <v>1</v>
      </c>
      <c r="M57" s="224"/>
      <c r="N57" s="115"/>
      <c r="O57" s="115"/>
      <c r="P57" s="115"/>
      <c r="Q57" s="224"/>
      <c r="R57" s="116">
        <f t="shared" si="12"/>
        <v>0</v>
      </c>
      <c r="S57" s="21"/>
    </row>
    <row r="58" spans="1:19" s="12" customFormat="1" ht="15" customHeight="1">
      <c r="A58" s="148" t="s">
        <v>25</v>
      </c>
      <c r="B58" s="115"/>
      <c r="C58" s="115"/>
      <c r="D58" s="115"/>
      <c r="E58" s="224">
        <f t="shared" si="13"/>
        <v>0</v>
      </c>
      <c r="F58" s="115"/>
      <c r="G58" s="115"/>
      <c r="H58" s="115"/>
      <c r="I58" s="224">
        <f t="shared" si="14"/>
        <v>0</v>
      </c>
      <c r="J58" s="115"/>
      <c r="K58" s="115"/>
      <c r="L58" s="115"/>
      <c r="M58" s="224">
        <f t="shared" si="15"/>
        <v>0</v>
      </c>
      <c r="N58" s="115"/>
      <c r="O58" s="115"/>
      <c r="P58" s="115"/>
      <c r="Q58" s="224">
        <f t="shared" si="16"/>
        <v>0</v>
      </c>
      <c r="R58" s="116">
        <f t="shared" si="12"/>
        <v>0</v>
      </c>
    </row>
    <row r="59" spans="1:19" s="12" customFormat="1" ht="15" customHeight="1">
      <c r="A59" s="148" t="s">
        <v>82</v>
      </c>
      <c r="B59" s="115"/>
      <c r="C59" s="115">
        <v>3</v>
      </c>
      <c r="D59" s="115"/>
      <c r="E59" s="224">
        <f t="shared" si="13"/>
        <v>3</v>
      </c>
      <c r="F59" s="115"/>
      <c r="G59" s="115"/>
      <c r="H59" s="115"/>
      <c r="I59" s="224">
        <f t="shared" si="14"/>
        <v>0</v>
      </c>
      <c r="J59" s="115"/>
      <c r="K59" s="115"/>
      <c r="L59" s="115">
        <v>2</v>
      </c>
      <c r="M59" s="224">
        <f t="shared" si="15"/>
        <v>2</v>
      </c>
      <c r="N59" s="115"/>
      <c r="O59" s="115"/>
      <c r="P59" s="115"/>
      <c r="Q59" s="224">
        <f t="shared" si="16"/>
        <v>0</v>
      </c>
      <c r="R59" s="116">
        <f t="shared" si="12"/>
        <v>5</v>
      </c>
    </row>
    <row r="60" spans="1:19" s="12" customFormat="1" ht="15" customHeight="1">
      <c r="A60" s="148" t="s">
        <v>35</v>
      </c>
      <c r="B60" s="115"/>
      <c r="C60" s="115"/>
      <c r="D60" s="115">
        <v>-1</v>
      </c>
      <c r="E60" s="224">
        <f t="shared" si="13"/>
        <v>-1</v>
      </c>
      <c r="F60" s="115"/>
      <c r="G60" s="115">
        <v>1</v>
      </c>
      <c r="H60" s="115">
        <v>1</v>
      </c>
      <c r="I60" s="224">
        <f t="shared" si="14"/>
        <v>2</v>
      </c>
      <c r="J60" s="115">
        <v>1</v>
      </c>
      <c r="K60" s="115"/>
      <c r="L60" s="115"/>
      <c r="M60" s="224">
        <f t="shared" si="15"/>
        <v>1</v>
      </c>
      <c r="N60" s="115"/>
      <c r="O60" s="115"/>
      <c r="P60" s="115">
        <v>1</v>
      </c>
      <c r="Q60" s="224">
        <f t="shared" si="16"/>
        <v>1</v>
      </c>
      <c r="R60" s="116">
        <f t="shared" si="12"/>
        <v>3</v>
      </c>
    </row>
    <row r="61" spans="1:19" s="12" customFormat="1" ht="15" customHeight="1">
      <c r="A61" s="148" t="s">
        <v>26</v>
      </c>
      <c r="B61" s="115">
        <f>SUM(B48:B60)</f>
        <v>1</v>
      </c>
      <c r="C61" s="115">
        <f>SUM(C48:C60)</f>
        <v>4</v>
      </c>
      <c r="D61" s="115">
        <f>SUM(D48:D60)</f>
        <v>1</v>
      </c>
      <c r="E61" s="224">
        <f t="shared" si="13"/>
        <v>6</v>
      </c>
      <c r="F61" s="115">
        <f>SUM(F48:F60)</f>
        <v>0</v>
      </c>
      <c r="G61" s="115">
        <f>SUM(G48:G60)</f>
        <v>1</v>
      </c>
      <c r="H61" s="115">
        <f>SUM(H48:H60)</f>
        <v>1</v>
      </c>
      <c r="I61" s="224">
        <f t="shared" si="14"/>
        <v>2</v>
      </c>
      <c r="J61" s="115">
        <f>SUM(J48:J60)</f>
        <v>2</v>
      </c>
      <c r="K61" s="115">
        <f>SUM(K48:K60)</f>
        <v>2</v>
      </c>
      <c r="L61" s="115">
        <f>SUM(L48:L60)</f>
        <v>5</v>
      </c>
      <c r="M61" s="224">
        <f t="shared" si="15"/>
        <v>9</v>
      </c>
      <c r="N61" s="115">
        <f>SUM(N48:N60)</f>
        <v>4</v>
      </c>
      <c r="O61" s="115">
        <f>SUM(O48:O60)</f>
        <v>0</v>
      </c>
      <c r="P61" s="115">
        <f>SUM(P48:P60)</f>
        <v>3</v>
      </c>
      <c r="Q61" s="224">
        <f t="shared" si="16"/>
        <v>7</v>
      </c>
      <c r="R61" s="116">
        <f t="shared" si="12"/>
        <v>24</v>
      </c>
    </row>
    <row r="62" spans="1:19" s="12" customFormat="1" ht="15" customHeight="1" thickBot="1">
      <c r="A62" s="149"/>
      <c r="B62" s="150"/>
      <c r="C62" s="150"/>
      <c r="D62" s="150"/>
      <c r="E62" s="150"/>
      <c r="F62" s="150"/>
      <c r="G62" s="150"/>
      <c r="H62" s="150"/>
      <c r="I62" s="150"/>
      <c r="J62" s="150"/>
      <c r="K62" s="150"/>
      <c r="L62" s="150"/>
      <c r="M62" s="150"/>
      <c r="N62" s="150"/>
      <c r="O62" s="150"/>
      <c r="P62" s="150"/>
      <c r="Q62" s="150"/>
      <c r="R62" s="150"/>
    </row>
    <row r="63" spans="1:19" ht="13.5" customHeight="1" thickBot="1">
      <c r="A63" s="177" t="s">
        <v>109</v>
      </c>
      <c r="B63" s="178" t="s">
        <v>110</v>
      </c>
      <c r="C63" s="178" t="s">
        <v>11</v>
      </c>
      <c r="D63" s="178" t="s">
        <v>12</v>
      </c>
      <c r="E63" s="178" t="s">
        <v>165</v>
      </c>
      <c r="F63" s="178" t="s">
        <v>7</v>
      </c>
      <c r="G63" s="178" t="s">
        <v>8</v>
      </c>
      <c r="H63" s="178" t="s">
        <v>9</v>
      </c>
      <c r="I63" s="178" t="s">
        <v>164</v>
      </c>
      <c r="J63" s="178" t="s">
        <v>4</v>
      </c>
      <c r="K63" s="178" t="s">
        <v>5</v>
      </c>
      <c r="L63" s="178" t="s">
        <v>6</v>
      </c>
      <c r="M63" s="178" t="s">
        <v>163</v>
      </c>
      <c r="N63" s="178" t="s">
        <v>1</v>
      </c>
      <c r="O63" s="178" t="s">
        <v>2</v>
      </c>
      <c r="P63" s="178" t="s">
        <v>3</v>
      </c>
      <c r="Q63" s="167" t="s">
        <v>173</v>
      </c>
      <c r="R63" s="167" t="s">
        <v>111</v>
      </c>
    </row>
    <row r="64" spans="1:19" ht="13.5" customHeight="1" thickTop="1">
      <c r="A64" s="179" t="s">
        <v>112</v>
      </c>
      <c r="B64" s="525">
        <v>2</v>
      </c>
      <c r="C64" s="525">
        <v>0</v>
      </c>
      <c r="D64" s="525">
        <v>2</v>
      </c>
      <c r="E64" s="242"/>
      <c r="F64" s="170">
        <v>3</v>
      </c>
      <c r="G64" s="170">
        <v>0</v>
      </c>
      <c r="H64" s="170">
        <v>2</v>
      </c>
      <c r="I64" s="242"/>
      <c r="J64" s="170">
        <v>0</v>
      </c>
      <c r="K64" s="170">
        <v>2</v>
      </c>
      <c r="L64" s="170">
        <v>0</v>
      </c>
      <c r="M64" s="256">
        <f>SUM(J64:L64)</f>
        <v>2</v>
      </c>
      <c r="N64" s="170">
        <v>2</v>
      </c>
      <c r="O64" s="170">
        <v>1</v>
      </c>
      <c r="P64" s="170">
        <v>5</v>
      </c>
      <c r="Q64" s="256">
        <f>SUM(N64:P64)</f>
        <v>8</v>
      </c>
      <c r="R64" s="256">
        <f>Q64+M64+I64+E64</f>
        <v>10</v>
      </c>
      <c r="S64" s="69"/>
    </row>
    <row r="65" spans="1:19" ht="13.5" customHeight="1">
      <c r="A65" s="180" t="s">
        <v>113</v>
      </c>
      <c r="B65" s="520">
        <v>0</v>
      </c>
      <c r="C65" s="520">
        <v>0</v>
      </c>
      <c r="D65" s="520">
        <v>0</v>
      </c>
      <c r="E65" s="243"/>
      <c r="F65" s="171">
        <v>0</v>
      </c>
      <c r="G65" s="171">
        <v>0</v>
      </c>
      <c r="H65" s="171">
        <v>0</v>
      </c>
      <c r="I65" s="243"/>
      <c r="J65" s="171">
        <v>0</v>
      </c>
      <c r="K65" s="171">
        <v>1</v>
      </c>
      <c r="L65" s="171">
        <v>0</v>
      </c>
      <c r="M65" s="256">
        <f>SUM(J65:L65)</f>
        <v>1</v>
      </c>
      <c r="N65" s="171">
        <v>0</v>
      </c>
      <c r="O65" s="171">
        <v>1</v>
      </c>
      <c r="P65" s="171">
        <v>0</v>
      </c>
      <c r="Q65" s="256">
        <f>SUM(N65:P65)</f>
        <v>1</v>
      </c>
      <c r="R65" s="256">
        <f>Q65+M65+I65+E65</f>
        <v>2</v>
      </c>
      <c r="S65" s="69"/>
    </row>
    <row r="66" spans="1:19" ht="13.5" customHeight="1">
      <c r="A66" s="180" t="s">
        <v>114</v>
      </c>
      <c r="B66" s="520">
        <v>138</v>
      </c>
      <c r="C66" s="520">
        <v>138</v>
      </c>
      <c r="D66" s="520">
        <v>105</v>
      </c>
      <c r="E66" s="243"/>
      <c r="F66" s="171">
        <v>135</v>
      </c>
      <c r="G66" s="171">
        <v>135</v>
      </c>
      <c r="H66" s="171">
        <v>136</v>
      </c>
      <c r="I66" s="243"/>
      <c r="J66" s="171">
        <v>153</v>
      </c>
      <c r="K66" s="171">
        <v>158</v>
      </c>
      <c r="L66" s="171">
        <v>131</v>
      </c>
      <c r="M66" s="257"/>
      <c r="N66" s="171">
        <v>140</v>
      </c>
      <c r="O66" s="171">
        <v>142</v>
      </c>
      <c r="P66" s="171">
        <v>150</v>
      </c>
      <c r="Q66" s="257"/>
      <c r="R66" s="257"/>
      <c r="S66" s="69"/>
    </row>
    <row r="67" spans="1:19" ht="13.5" customHeight="1">
      <c r="A67" s="180" t="s">
        <v>115</v>
      </c>
      <c r="B67" s="520">
        <v>23</v>
      </c>
      <c r="C67" s="520">
        <v>24</v>
      </c>
      <c r="D67" s="520">
        <v>23</v>
      </c>
      <c r="E67" s="243"/>
      <c r="F67" s="171">
        <v>26</v>
      </c>
      <c r="G67" s="171">
        <v>27</v>
      </c>
      <c r="H67" s="171">
        <v>24</v>
      </c>
      <c r="I67" s="243"/>
      <c r="J67" s="171">
        <v>30</v>
      </c>
      <c r="K67" s="171">
        <v>28</v>
      </c>
      <c r="L67" s="171">
        <v>28</v>
      </c>
      <c r="M67" s="257"/>
      <c r="N67" s="171">
        <v>29</v>
      </c>
      <c r="O67" s="171">
        <v>30</v>
      </c>
      <c r="P67" s="171">
        <v>32</v>
      </c>
      <c r="Q67" s="257"/>
      <c r="R67" s="257"/>
      <c r="S67" s="69"/>
    </row>
    <row r="68" spans="1:19" ht="13.5" customHeight="1">
      <c r="A68" s="180" t="s">
        <v>172</v>
      </c>
      <c r="B68" s="520">
        <v>44</v>
      </c>
      <c r="C68" s="520">
        <v>43</v>
      </c>
      <c r="D68" s="520">
        <v>41</v>
      </c>
      <c r="E68" s="243"/>
      <c r="F68" s="171">
        <v>44</v>
      </c>
      <c r="G68" s="171">
        <v>45</v>
      </c>
      <c r="H68" s="171">
        <v>45</v>
      </c>
      <c r="I68" s="243"/>
      <c r="J68" s="171">
        <v>46</v>
      </c>
      <c r="K68" s="171">
        <v>46</v>
      </c>
      <c r="L68" s="171">
        <v>45</v>
      </c>
      <c r="M68" s="257"/>
      <c r="N68" s="171">
        <v>50</v>
      </c>
      <c r="O68" s="171">
        <v>49</v>
      </c>
      <c r="P68" s="171">
        <v>47</v>
      </c>
      <c r="Q68" s="257"/>
      <c r="R68" s="257"/>
      <c r="S68" s="69"/>
    </row>
    <row r="69" spans="1:19" ht="13.5" customHeight="1" thickBot="1">
      <c r="A69" s="180" t="s">
        <v>116</v>
      </c>
      <c r="B69" s="526">
        <v>205</v>
      </c>
      <c r="C69" s="526">
        <v>205</v>
      </c>
      <c r="D69" s="526">
        <v>169</v>
      </c>
      <c r="E69" s="244"/>
      <c r="F69" s="181">
        <f t="shared" ref="F69:G69" si="17">SUM(F66:F68)</f>
        <v>205</v>
      </c>
      <c r="G69" s="181">
        <f t="shared" si="17"/>
        <v>207</v>
      </c>
      <c r="H69" s="181">
        <f t="shared" ref="H69" si="18">SUM(H66:H68)</f>
        <v>205</v>
      </c>
      <c r="I69" s="244"/>
      <c r="J69" s="181">
        <f t="shared" ref="J69:K69" si="19">SUM(J66:J68)</f>
        <v>229</v>
      </c>
      <c r="K69" s="181">
        <f t="shared" si="19"/>
        <v>232</v>
      </c>
      <c r="L69" s="181">
        <f t="shared" ref="L69" si="20">SUM(L66:L68)</f>
        <v>204</v>
      </c>
      <c r="M69" s="258"/>
      <c r="N69" s="181">
        <f t="shared" ref="N69:P69" si="21">SUM(N66:N68)</f>
        <v>219</v>
      </c>
      <c r="O69" s="181">
        <f t="shared" si="21"/>
        <v>221</v>
      </c>
      <c r="P69" s="181">
        <f t="shared" si="21"/>
        <v>229</v>
      </c>
      <c r="Q69" s="258"/>
      <c r="R69" s="258"/>
      <c r="S69" s="69"/>
    </row>
    <row r="70" spans="1:19" ht="13.5" customHeight="1" thickTop="1" thickBot="1">
      <c r="A70" s="182" t="s">
        <v>117</v>
      </c>
      <c r="B70" s="527">
        <v>1</v>
      </c>
      <c r="C70" s="527">
        <v>4</v>
      </c>
      <c r="D70" s="527">
        <v>1</v>
      </c>
      <c r="E70" s="245"/>
      <c r="F70" s="172">
        <v>0</v>
      </c>
      <c r="G70" s="172">
        <v>1</v>
      </c>
      <c r="H70" s="172">
        <v>1</v>
      </c>
      <c r="I70" s="245"/>
      <c r="J70" s="172">
        <v>2</v>
      </c>
      <c r="K70" s="172">
        <v>2</v>
      </c>
      <c r="L70" s="172">
        <v>5</v>
      </c>
      <c r="M70" s="256">
        <f>SUM(J70:L70)</f>
        <v>9</v>
      </c>
      <c r="N70" s="172">
        <v>4</v>
      </c>
      <c r="O70" s="172">
        <v>0</v>
      </c>
      <c r="P70" s="172">
        <v>3</v>
      </c>
      <c r="Q70" s="256">
        <f>SUM(N70:P70)</f>
        <v>7</v>
      </c>
      <c r="R70" s="256">
        <f>Q70+M70+I70+E70</f>
        <v>16</v>
      </c>
      <c r="S70" s="69"/>
    </row>
    <row r="71" spans="1:19" ht="13.5" customHeight="1" thickTop="1">
      <c r="A71" s="183" t="s">
        <v>174</v>
      </c>
      <c r="B71" s="528">
        <v>37</v>
      </c>
      <c r="C71" s="528">
        <v>32</v>
      </c>
      <c r="D71" s="528">
        <v>19</v>
      </c>
      <c r="E71" s="243"/>
      <c r="F71" s="173">
        <v>20</v>
      </c>
      <c r="G71" s="173">
        <v>20</v>
      </c>
      <c r="H71" s="173">
        <v>32</v>
      </c>
      <c r="I71" s="243"/>
      <c r="J71" s="173">
        <v>30</v>
      </c>
      <c r="K71" s="173">
        <v>33</v>
      </c>
      <c r="L71" s="173">
        <v>34</v>
      </c>
      <c r="M71" s="256">
        <f>SUM(J71:L71)</f>
        <v>97</v>
      </c>
      <c r="N71" s="173">
        <v>38</v>
      </c>
      <c r="O71" s="173">
        <v>48</v>
      </c>
      <c r="P71" s="173">
        <v>51</v>
      </c>
      <c r="Q71" s="256">
        <f>SUM(N71:P71)</f>
        <v>137</v>
      </c>
      <c r="R71" s="256">
        <f>Q71+M71+I71+E71</f>
        <v>234</v>
      </c>
      <c r="S71" s="69"/>
    </row>
    <row r="72" spans="1:19" ht="13.5" customHeight="1">
      <c r="A72" s="180" t="s">
        <v>118</v>
      </c>
      <c r="B72" s="520">
        <v>17</v>
      </c>
      <c r="C72" s="520">
        <v>11</v>
      </c>
      <c r="D72" s="520">
        <v>2</v>
      </c>
      <c r="E72" s="243"/>
      <c r="F72" s="171">
        <v>2</v>
      </c>
      <c r="G72" s="171">
        <v>11</v>
      </c>
      <c r="H72" s="171">
        <v>10</v>
      </c>
      <c r="I72" s="243"/>
      <c r="J72" s="171">
        <v>4</v>
      </c>
      <c r="K72" s="171">
        <v>9</v>
      </c>
      <c r="L72" s="171">
        <v>18</v>
      </c>
      <c r="M72" s="259"/>
      <c r="N72" s="171">
        <v>16</v>
      </c>
      <c r="O72" s="171">
        <v>11</v>
      </c>
      <c r="P72" s="171">
        <v>19</v>
      </c>
      <c r="Q72" s="259"/>
      <c r="R72" s="259"/>
      <c r="S72" s="69"/>
    </row>
    <row r="73" spans="1:19" ht="13.5" customHeight="1" thickBot="1">
      <c r="A73" s="180" t="s">
        <v>119</v>
      </c>
      <c r="B73" s="520">
        <v>9</v>
      </c>
      <c r="C73" s="520">
        <v>14</v>
      </c>
      <c r="D73" s="520">
        <v>12</v>
      </c>
      <c r="E73" s="246"/>
      <c r="F73" s="171">
        <v>9</v>
      </c>
      <c r="G73" s="171">
        <v>4</v>
      </c>
      <c r="H73" s="171">
        <v>12</v>
      </c>
      <c r="I73" s="246"/>
      <c r="J73" s="171">
        <v>14</v>
      </c>
      <c r="K73" s="171">
        <v>11</v>
      </c>
      <c r="L73" s="171">
        <v>6</v>
      </c>
      <c r="M73" s="260"/>
      <c r="N73" s="171">
        <v>13</v>
      </c>
      <c r="O73" s="171">
        <v>16</v>
      </c>
      <c r="P73" s="171">
        <v>19</v>
      </c>
      <c r="Q73" s="260"/>
      <c r="R73" s="260"/>
      <c r="S73" s="69"/>
    </row>
    <row r="74" spans="1:19" ht="13.5" customHeight="1" thickTop="1" thickBot="1">
      <c r="A74" s="184" t="s">
        <v>120</v>
      </c>
      <c r="B74" s="529">
        <v>20</v>
      </c>
      <c r="C74" s="529">
        <v>25</v>
      </c>
      <c r="D74" s="529">
        <v>14</v>
      </c>
      <c r="E74" s="242"/>
      <c r="F74" s="174">
        <v>21</v>
      </c>
      <c r="G74" s="174">
        <v>11</v>
      </c>
      <c r="H74" s="174">
        <v>23</v>
      </c>
      <c r="I74" s="242"/>
      <c r="J74" s="174">
        <v>29</v>
      </c>
      <c r="K74" s="174">
        <v>17</v>
      </c>
      <c r="L74" s="174">
        <v>21</v>
      </c>
      <c r="M74" s="261"/>
      <c r="N74" s="174">
        <v>18</v>
      </c>
      <c r="O74" s="174">
        <v>37</v>
      </c>
      <c r="P74" s="174">
        <v>24</v>
      </c>
      <c r="Q74" s="261"/>
      <c r="R74" s="261"/>
      <c r="S74" s="69"/>
    </row>
    <row r="75" spans="1:19" ht="13.5" customHeight="1" thickTop="1">
      <c r="A75" s="179" t="s">
        <v>121</v>
      </c>
      <c r="B75" s="525">
        <v>3</v>
      </c>
      <c r="C75" s="525">
        <v>2</v>
      </c>
      <c r="D75" s="525">
        <v>1</v>
      </c>
      <c r="E75" s="243"/>
      <c r="F75" s="170">
        <v>0</v>
      </c>
      <c r="G75" s="170">
        <v>2</v>
      </c>
      <c r="H75" s="170">
        <v>1</v>
      </c>
      <c r="I75" s="243"/>
      <c r="J75" s="170">
        <v>2</v>
      </c>
      <c r="K75" s="170">
        <v>3</v>
      </c>
      <c r="L75" s="170">
        <v>0</v>
      </c>
      <c r="M75" s="256">
        <f>SUM(J75:L75)</f>
        <v>5</v>
      </c>
      <c r="N75" s="170">
        <v>5</v>
      </c>
      <c r="O75" s="170">
        <v>2</v>
      </c>
      <c r="P75" s="170">
        <v>5</v>
      </c>
      <c r="Q75" s="256">
        <f>SUM(N75:P75)</f>
        <v>12</v>
      </c>
      <c r="R75" s="256">
        <f>Q75+M75+I75+E75</f>
        <v>17</v>
      </c>
      <c r="S75" s="69"/>
    </row>
    <row r="76" spans="1:19" ht="13.5" customHeight="1" thickBot="1">
      <c r="A76" s="180" t="s">
        <v>122</v>
      </c>
      <c r="B76" s="520">
        <v>1</v>
      </c>
      <c r="C76" s="520">
        <v>1</v>
      </c>
      <c r="D76" s="520">
        <v>0</v>
      </c>
      <c r="E76" s="244"/>
      <c r="F76" s="171">
        <v>1</v>
      </c>
      <c r="G76" s="171">
        <v>0</v>
      </c>
      <c r="H76" s="171">
        <v>0</v>
      </c>
      <c r="I76" s="244"/>
      <c r="J76" s="171">
        <v>0</v>
      </c>
      <c r="K76" s="171">
        <v>0</v>
      </c>
      <c r="L76" s="171">
        <v>2</v>
      </c>
      <c r="M76" s="256">
        <f t="shared" ref="M76:M82" si="22">SUM(J76:L76)</f>
        <v>2</v>
      </c>
      <c r="N76" s="171">
        <v>3</v>
      </c>
      <c r="O76" s="171">
        <v>1</v>
      </c>
      <c r="P76" s="171">
        <v>2</v>
      </c>
      <c r="Q76" s="256">
        <f t="shared" ref="Q76:Q82" si="23">SUM(N76:P76)</f>
        <v>6</v>
      </c>
      <c r="R76" s="256">
        <f>Q76+M76+I76+E76</f>
        <v>8</v>
      </c>
      <c r="S76" s="69"/>
    </row>
    <row r="77" spans="1:19" ht="13.5" customHeight="1" thickTop="1" thickBot="1">
      <c r="A77" s="182" t="s">
        <v>123</v>
      </c>
      <c r="B77" s="527">
        <v>1</v>
      </c>
      <c r="C77" s="527">
        <v>0</v>
      </c>
      <c r="D77" s="527">
        <v>0</v>
      </c>
      <c r="E77" s="242"/>
      <c r="F77" s="172">
        <v>0</v>
      </c>
      <c r="G77" s="172">
        <v>0</v>
      </c>
      <c r="H77" s="172">
        <v>2</v>
      </c>
      <c r="I77" s="242"/>
      <c r="J77" s="172">
        <v>0</v>
      </c>
      <c r="K77" s="172">
        <v>0</v>
      </c>
      <c r="L77" s="172">
        <v>27</v>
      </c>
      <c r="M77" s="256">
        <f t="shared" si="22"/>
        <v>27</v>
      </c>
      <c r="N77" s="172">
        <v>0</v>
      </c>
      <c r="O77" s="172">
        <v>0</v>
      </c>
      <c r="P77" s="172">
        <v>0</v>
      </c>
      <c r="Q77" s="256">
        <f t="shared" si="23"/>
        <v>0</v>
      </c>
      <c r="R77" s="256">
        <f>Q77+M77+I77+E77</f>
        <v>27</v>
      </c>
      <c r="S77" s="69"/>
    </row>
    <row r="78" spans="1:19" ht="13.5" customHeight="1" thickTop="1" thickBot="1">
      <c r="A78" s="182" t="s">
        <v>124</v>
      </c>
      <c r="B78" s="527">
        <v>11</v>
      </c>
      <c r="C78" s="527">
        <v>4</v>
      </c>
      <c r="D78" s="527">
        <v>9</v>
      </c>
      <c r="E78" s="243"/>
      <c r="F78" s="172">
        <v>6</v>
      </c>
      <c r="G78" s="172">
        <v>9</v>
      </c>
      <c r="H78" s="172">
        <v>5</v>
      </c>
      <c r="I78" s="243"/>
      <c r="J78" s="172">
        <v>4</v>
      </c>
      <c r="K78" s="172">
        <v>7</v>
      </c>
      <c r="L78" s="172">
        <v>7</v>
      </c>
      <c r="M78" s="256">
        <f t="shared" si="22"/>
        <v>18</v>
      </c>
      <c r="N78" s="172">
        <v>10</v>
      </c>
      <c r="O78" s="172">
        <v>5</v>
      </c>
      <c r="P78" s="172">
        <v>7</v>
      </c>
      <c r="Q78" s="256">
        <f t="shared" si="23"/>
        <v>22</v>
      </c>
      <c r="R78" s="256">
        <f>Q78+M78+I78+E78</f>
        <v>40</v>
      </c>
      <c r="S78" s="69"/>
    </row>
    <row r="79" spans="1:19" ht="13.5" customHeight="1" thickTop="1" thickBot="1">
      <c r="A79" s="251" t="s">
        <v>125</v>
      </c>
      <c r="B79" s="530">
        <v>49</v>
      </c>
      <c r="C79" s="530">
        <v>49</v>
      </c>
      <c r="D79" s="530">
        <v>44</v>
      </c>
      <c r="E79" s="244"/>
      <c r="F79" s="191">
        <v>49</v>
      </c>
      <c r="G79" s="191">
        <v>53</v>
      </c>
      <c r="H79" s="254">
        <v>43</v>
      </c>
      <c r="I79" s="244"/>
      <c r="J79" s="191">
        <v>53</v>
      </c>
      <c r="K79" s="191">
        <v>60</v>
      </c>
      <c r="L79" s="191">
        <v>58</v>
      </c>
      <c r="M79" s="168"/>
      <c r="N79" s="191">
        <v>56</v>
      </c>
      <c r="O79" s="191">
        <v>50</v>
      </c>
      <c r="P79" s="191">
        <v>61</v>
      </c>
      <c r="Q79" s="168"/>
      <c r="R79" s="168"/>
      <c r="S79" s="69"/>
    </row>
    <row r="80" spans="1:19" ht="13.5" customHeight="1" thickTop="1">
      <c r="A80" s="252" t="s">
        <v>126</v>
      </c>
      <c r="B80" s="531">
        <v>22</v>
      </c>
      <c r="C80" s="531">
        <v>17</v>
      </c>
      <c r="D80" s="531">
        <v>10</v>
      </c>
      <c r="E80" s="247"/>
      <c r="F80" s="192">
        <v>7</v>
      </c>
      <c r="G80" s="192">
        <v>12</v>
      </c>
      <c r="H80" s="255">
        <v>23</v>
      </c>
      <c r="I80" s="247"/>
      <c r="J80" s="192">
        <v>13</v>
      </c>
      <c r="K80" s="192">
        <v>21</v>
      </c>
      <c r="L80" s="192">
        <v>11</v>
      </c>
      <c r="M80" s="256">
        <f t="shared" si="22"/>
        <v>45</v>
      </c>
      <c r="N80" s="192">
        <v>28</v>
      </c>
      <c r="O80" s="192">
        <v>18</v>
      </c>
      <c r="P80" s="192">
        <v>32</v>
      </c>
      <c r="Q80" s="256">
        <f t="shared" si="23"/>
        <v>78</v>
      </c>
      <c r="R80" s="256">
        <f>Q80+M80+I80+E80</f>
        <v>123</v>
      </c>
      <c r="S80" s="69"/>
    </row>
    <row r="81" spans="1:19" ht="13.5" customHeight="1">
      <c r="A81" s="252" t="s">
        <v>127</v>
      </c>
      <c r="B81" s="531">
        <v>8</v>
      </c>
      <c r="C81" s="522">
        <v>10</v>
      </c>
      <c r="D81" s="524">
        <v>10</v>
      </c>
      <c r="E81" s="248"/>
      <c r="F81" s="192">
        <v>6</v>
      </c>
      <c r="G81" s="192">
        <v>3</v>
      </c>
      <c r="H81" s="255">
        <v>10</v>
      </c>
      <c r="I81" s="248"/>
      <c r="J81" s="192">
        <v>12</v>
      </c>
      <c r="K81" s="192">
        <v>8</v>
      </c>
      <c r="L81" s="192">
        <v>5</v>
      </c>
      <c r="M81" s="256">
        <f t="shared" si="22"/>
        <v>25</v>
      </c>
      <c r="N81" s="192">
        <v>11</v>
      </c>
      <c r="O81" s="192">
        <v>10</v>
      </c>
      <c r="P81" s="192">
        <v>18</v>
      </c>
      <c r="Q81" s="256">
        <f t="shared" si="23"/>
        <v>39</v>
      </c>
      <c r="R81" s="256">
        <f>Q81+M81+I81+E81</f>
        <v>64</v>
      </c>
      <c r="S81" s="69"/>
    </row>
    <row r="82" spans="1:19" ht="13.5" customHeight="1">
      <c r="A82" s="252" t="s">
        <v>128</v>
      </c>
      <c r="B82" s="531">
        <v>9</v>
      </c>
      <c r="C82" s="522">
        <v>9</v>
      </c>
      <c r="D82" s="524">
        <v>6</v>
      </c>
      <c r="E82" s="248"/>
      <c r="F82" s="192">
        <v>12</v>
      </c>
      <c r="G82" s="192">
        <v>6</v>
      </c>
      <c r="H82" s="255">
        <v>18</v>
      </c>
      <c r="I82" s="248"/>
      <c r="J82" s="192">
        <v>13</v>
      </c>
      <c r="K82" s="192">
        <v>8</v>
      </c>
      <c r="L82" s="192">
        <v>9</v>
      </c>
      <c r="M82" s="256">
        <f t="shared" si="22"/>
        <v>30</v>
      </c>
      <c r="N82" s="192">
        <v>8</v>
      </c>
      <c r="O82" s="192">
        <v>14</v>
      </c>
      <c r="P82" s="192">
        <v>10</v>
      </c>
      <c r="Q82" s="256">
        <f t="shared" si="23"/>
        <v>32</v>
      </c>
      <c r="R82" s="256">
        <f>Q82+M82+I82+E82</f>
        <v>62</v>
      </c>
      <c r="S82" s="169">
        <f>R82/D84</f>
        <v>1</v>
      </c>
    </row>
    <row r="83" spans="1:19" ht="13.5" customHeight="1" thickBot="1">
      <c r="A83" s="253" t="s">
        <v>129</v>
      </c>
      <c r="B83" s="532">
        <v>1</v>
      </c>
      <c r="C83" s="521">
        <v>1</v>
      </c>
      <c r="D83" s="523">
        <v>1</v>
      </c>
      <c r="E83" s="248"/>
      <c r="F83" s="194">
        <v>0</v>
      </c>
      <c r="G83" s="194">
        <v>0</v>
      </c>
      <c r="H83" s="200">
        <v>1</v>
      </c>
      <c r="I83" s="248"/>
      <c r="J83" s="194">
        <v>0</v>
      </c>
      <c r="K83" s="194">
        <v>0</v>
      </c>
      <c r="L83" s="194">
        <v>0</v>
      </c>
      <c r="M83" s="262"/>
      <c r="N83" s="194">
        <v>1</v>
      </c>
      <c r="O83" s="194">
        <v>1</v>
      </c>
      <c r="P83" s="194">
        <v>0</v>
      </c>
      <c r="Q83" s="262"/>
      <c r="R83" s="262"/>
      <c r="S83" s="169">
        <f>R83/D84</f>
        <v>0</v>
      </c>
    </row>
    <row r="84" spans="1:19" ht="13.5" thickTop="1">
      <c r="A84"/>
      <c r="B84" s="69"/>
      <c r="C84" s="69"/>
      <c r="D84" s="185">
        <f>SUM(R82:R83)</f>
        <v>62</v>
      </c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13"/>
    </row>
  </sheetData>
  <mergeCells count="28">
    <mergeCell ref="J45:M45"/>
    <mergeCell ref="F44:I44"/>
    <mergeCell ref="N43:Q43"/>
    <mergeCell ref="B44:E44"/>
    <mergeCell ref="N44:Q44"/>
    <mergeCell ref="J44:M44"/>
    <mergeCell ref="J43:M43"/>
    <mergeCell ref="B43:E43"/>
    <mergeCell ref="F43:I43"/>
    <mergeCell ref="F45:I45"/>
    <mergeCell ref="B45:E45"/>
    <mergeCell ref="N45:Q45"/>
    <mergeCell ref="N42:Q42"/>
    <mergeCell ref="J42:M42"/>
    <mergeCell ref="F42:I42"/>
    <mergeCell ref="B42:E42"/>
    <mergeCell ref="F1:I1"/>
    <mergeCell ref="N41:Q41"/>
    <mergeCell ref="J41:M41"/>
    <mergeCell ref="F41:I41"/>
    <mergeCell ref="B41:E41"/>
    <mergeCell ref="J1:M1"/>
    <mergeCell ref="B1:E1"/>
    <mergeCell ref="N1:Q1"/>
    <mergeCell ref="N40:Q40"/>
    <mergeCell ref="J40:M40"/>
    <mergeCell ref="F40:I40"/>
    <mergeCell ref="B40:E40"/>
  </mergeCells>
  <phoneticPr fontId="0" type="noConversion"/>
  <pageMargins left="0.75" right="0.75" top="1" bottom="1" header="0.5" footer="0.5"/>
  <pageSetup paperSize="9" orientation="landscape" horizontalDpi="4294967294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84"/>
  <sheetViews>
    <sheetView zoomScale="85" zoomScaleNormal="85" workbookViewId="0">
      <selection activeCell="S19" sqref="S19"/>
    </sheetView>
  </sheetViews>
  <sheetFormatPr defaultRowHeight="12.75"/>
  <cols>
    <col min="1" max="1" width="42.28515625" style="17" customWidth="1"/>
    <col min="2" max="4" width="12.7109375" style="12" customWidth="1"/>
    <col min="5" max="5" width="11.42578125" style="150" customWidth="1"/>
    <col min="6" max="8" width="11.7109375" style="12" customWidth="1"/>
    <col min="9" max="9" width="11.42578125" style="150" customWidth="1"/>
    <col min="10" max="12" width="11.7109375" style="12" customWidth="1"/>
    <col min="13" max="13" width="11.42578125" style="150" customWidth="1"/>
    <col min="14" max="16" width="11.7109375" style="12" customWidth="1"/>
    <col min="17" max="17" width="11.42578125" style="150" customWidth="1"/>
    <col min="18" max="18" width="13.42578125" style="150" customWidth="1"/>
    <col min="19" max="19" width="9.140625" style="12"/>
    <col min="20" max="16384" width="9.140625" style="13"/>
  </cols>
  <sheetData>
    <row r="1" spans="1:19" s="21" customFormat="1" ht="15" customHeight="1">
      <c r="A1" s="32" t="s">
        <v>31</v>
      </c>
      <c r="B1" s="588" t="s">
        <v>198</v>
      </c>
      <c r="C1" s="585"/>
      <c r="D1" s="585"/>
      <c r="E1" s="577"/>
      <c r="F1" s="588" t="s">
        <v>194</v>
      </c>
      <c r="G1" s="585"/>
      <c r="H1" s="585"/>
      <c r="I1" s="577"/>
      <c r="J1" s="588" t="s">
        <v>187</v>
      </c>
      <c r="K1" s="585"/>
      <c r="L1" s="585"/>
      <c r="M1" s="577"/>
      <c r="N1" s="588" t="s">
        <v>170</v>
      </c>
      <c r="O1" s="585"/>
      <c r="P1" s="585"/>
      <c r="Q1" s="577"/>
      <c r="R1" s="211"/>
      <c r="S1" s="12"/>
    </row>
    <row r="2" spans="1:19" s="21" customFormat="1" ht="15" customHeight="1">
      <c r="A2" s="5" t="s">
        <v>0</v>
      </c>
      <c r="B2" s="54" t="s">
        <v>10</v>
      </c>
      <c r="C2" s="54" t="s">
        <v>11</v>
      </c>
      <c r="D2" s="54" t="s">
        <v>12</v>
      </c>
      <c r="E2" s="226" t="s">
        <v>165</v>
      </c>
      <c r="F2" s="54" t="s">
        <v>7</v>
      </c>
      <c r="G2" s="54" t="s">
        <v>8</v>
      </c>
      <c r="H2" s="54" t="s">
        <v>9</v>
      </c>
      <c r="I2" s="226" t="s">
        <v>164</v>
      </c>
      <c r="J2" s="54" t="s">
        <v>4</v>
      </c>
      <c r="K2" s="54" t="s">
        <v>5</v>
      </c>
      <c r="L2" s="54" t="s">
        <v>6</v>
      </c>
      <c r="M2" s="226" t="s">
        <v>163</v>
      </c>
      <c r="N2" s="54" t="s">
        <v>1</v>
      </c>
      <c r="O2" s="54" t="s">
        <v>2</v>
      </c>
      <c r="P2" s="54" t="s">
        <v>3</v>
      </c>
      <c r="Q2" s="226" t="s">
        <v>152</v>
      </c>
      <c r="R2" s="114" t="s">
        <v>166</v>
      </c>
      <c r="S2" s="12"/>
    </row>
    <row r="3" spans="1:19" s="21" customFormat="1" ht="15" customHeight="1">
      <c r="A3" s="214"/>
      <c r="B3" s="215"/>
      <c r="C3" s="215"/>
      <c r="D3" s="215"/>
      <c r="E3" s="215"/>
      <c r="F3" s="215"/>
      <c r="G3" s="215"/>
      <c r="H3" s="215"/>
      <c r="I3" s="215"/>
      <c r="J3" s="215"/>
      <c r="K3" s="215"/>
      <c r="L3" s="215"/>
      <c r="M3" s="215"/>
      <c r="N3" s="215"/>
      <c r="O3" s="215"/>
      <c r="P3" s="215"/>
      <c r="Q3" s="215"/>
      <c r="R3" s="216"/>
      <c r="S3" s="12"/>
    </row>
    <row r="4" spans="1:19" s="21" customFormat="1" ht="15" customHeight="1">
      <c r="A4" s="6" t="s">
        <v>47</v>
      </c>
      <c r="B4" s="99">
        <f>'Target 2017'!L8</f>
        <v>63333.333333333336</v>
      </c>
      <c r="C4" s="99">
        <f>'Target 2017'!M8</f>
        <v>70000.000000000015</v>
      </c>
      <c r="D4" s="99">
        <f>'Target 2017'!N8</f>
        <v>66666.666666666672</v>
      </c>
      <c r="E4" s="228">
        <f>SUM(B4:D4)</f>
        <v>200000</v>
      </c>
      <c r="F4" s="99">
        <f>'Target 2017'!I8</f>
        <v>51000</v>
      </c>
      <c r="G4" s="99">
        <f>'Target 2017'!J8</f>
        <v>60000</v>
      </c>
      <c r="H4" s="99">
        <f>'Target 2017'!K8</f>
        <v>69000</v>
      </c>
      <c r="I4" s="228">
        <f>SUM(F4:H4)</f>
        <v>180000</v>
      </c>
      <c r="J4" s="99">
        <f>'Target 2017'!F8</f>
        <v>56666.666666666672</v>
      </c>
      <c r="K4" s="99">
        <f>'Target 2017'!G8-4000</f>
        <v>62666.666666666672</v>
      </c>
      <c r="L4" s="99">
        <f>'Target 2017'!H8+4000-7000</f>
        <v>73666.666666666672</v>
      </c>
      <c r="M4" s="228">
        <f>SUM(J4:L4)</f>
        <v>193000</v>
      </c>
      <c r="N4" s="99">
        <f>'Target 2017'!C8</f>
        <v>61500</v>
      </c>
      <c r="O4" s="99">
        <f>'Target 2017'!D8</f>
        <v>68333.333333333328</v>
      </c>
      <c r="P4" s="99">
        <f>'Target 2017'!E8-5000</f>
        <v>70166.666666666672</v>
      </c>
      <c r="Q4" s="228">
        <f>SUM(N4:P4)</f>
        <v>200000</v>
      </c>
      <c r="R4" s="116">
        <f>Q4+M4+I4+E4</f>
        <v>773000</v>
      </c>
      <c r="S4" s="12"/>
    </row>
    <row r="5" spans="1:19" s="21" customFormat="1" ht="15" customHeight="1">
      <c r="A5" s="7" t="s">
        <v>46</v>
      </c>
      <c r="B5" s="94">
        <f>B4</f>
        <v>63333.333333333336</v>
      </c>
      <c r="C5" s="94">
        <f>C4+B5</f>
        <v>133333.33333333334</v>
      </c>
      <c r="D5" s="94">
        <f>D4+C5</f>
        <v>200000</v>
      </c>
      <c r="E5" s="229"/>
      <c r="F5" s="94">
        <f>F4</f>
        <v>51000</v>
      </c>
      <c r="G5" s="94">
        <f>G4+F5</f>
        <v>111000</v>
      </c>
      <c r="H5" s="94">
        <f>H4+G5</f>
        <v>180000</v>
      </c>
      <c r="I5" s="229"/>
      <c r="J5" s="94">
        <f>J4</f>
        <v>56666.666666666672</v>
      </c>
      <c r="K5" s="94">
        <f>K4+J5</f>
        <v>119333.33333333334</v>
      </c>
      <c r="L5" s="94">
        <f>L4+K5</f>
        <v>193000</v>
      </c>
      <c r="M5" s="229"/>
      <c r="N5" s="94">
        <f>N4</f>
        <v>61500</v>
      </c>
      <c r="O5" s="94">
        <f>O4+N5</f>
        <v>129833.33333333333</v>
      </c>
      <c r="P5" s="94">
        <f>P4+O5</f>
        <v>200000</v>
      </c>
      <c r="Q5" s="229"/>
      <c r="R5" s="118"/>
      <c r="S5" s="12"/>
    </row>
    <row r="6" spans="1:19" s="21" customFormat="1" ht="15" customHeight="1">
      <c r="A6" s="31" t="s">
        <v>48</v>
      </c>
      <c r="B6" s="29">
        <f>SUMIF(X!A:A,$A$1,X!I:I)</f>
        <v>83452.0245</v>
      </c>
      <c r="C6" s="29">
        <f>SUMIF(XI!A:A,$A$1,XI!I:I)</f>
        <v>58735.381000000001</v>
      </c>
      <c r="D6" s="29">
        <f>SUMIF(XII!A:A,$A$1,XII!I:I)</f>
        <v>54223.984400000001</v>
      </c>
      <c r="E6" s="228">
        <f>SUM(B6:D6)</f>
        <v>196411.38990000001</v>
      </c>
      <c r="F6" s="29">
        <f>SUMIF(VII!A:A,$A$1,VII!I:I)</f>
        <v>55710.493999999999</v>
      </c>
      <c r="G6" s="29">
        <f>SUMIF(VIII!A:A,$A$1,VIII!I:I)</f>
        <v>50242.033300000003</v>
      </c>
      <c r="H6" s="29">
        <f>SUMIF(IX!A:A,$A$1,IX!I:I)</f>
        <v>58946.687199999906</v>
      </c>
      <c r="I6" s="228">
        <f>SUM(F6:H6)</f>
        <v>164899.21449999991</v>
      </c>
      <c r="J6" s="29">
        <f>SUMIF(IV!A:A,$A$1,IV!I:I)</f>
        <v>61702.302799999998</v>
      </c>
      <c r="K6" s="29">
        <f>SUMIF(V!A:A,$A$1,V!I:I)</f>
        <v>46546.400500000003</v>
      </c>
      <c r="L6" s="29">
        <f>SUMIF(VI!A:A,$A$1,VI!I:I)</f>
        <v>46739.085599999999</v>
      </c>
      <c r="M6" s="228">
        <f>SUM(J6:L6)</f>
        <v>154987.78889999999</v>
      </c>
      <c r="N6" s="91">
        <f>SUMIF(I!A:A,$A$1,I!I:I)</f>
        <v>73844.613299999997</v>
      </c>
      <c r="O6" s="29">
        <f>SUMIF(II!A:A,$A$1,II!I:I)</f>
        <v>54888.690300000002</v>
      </c>
      <c r="P6" s="29">
        <f>SUMIF(III!A:A,$A$1,III!I:I)</f>
        <v>71709.633100000006</v>
      </c>
      <c r="Q6" s="228">
        <f>SUM(N6:P6)</f>
        <v>200442.93670000002</v>
      </c>
      <c r="R6" s="116">
        <f>Q6+M6+I6+E6</f>
        <v>716741.32999999984</v>
      </c>
      <c r="S6" s="12"/>
    </row>
    <row r="7" spans="1:19" s="21" customFormat="1" ht="15" customHeight="1">
      <c r="A7" s="7" t="s">
        <v>49</v>
      </c>
      <c r="B7" s="8">
        <f>B6</f>
        <v>83452.0245</v>
      </c>
      <c r="C7" s="8">
        <f>C6+B7</f>
        <v>142187.40549999999</v>
      </c>
      <c r="D7" s="8">
        <f>D6+C7</f>
        <v>196411.38990000001</v>
      </c>
      <c r="E7" s="229"/>
      <c r="F7" s="8">
        <f>F6</f>
        <v>55710.493999999999</v>
      </c>
      <c r="G7" s="8">
        <f>G6+F7</f>
        <v>105952.5273</v>
      </c>
      <c r="H7" s="8">
        <f>H6+G7</f>
        <v>164899.21449999991</v>
      </c>
      <c r="I7" s="229"/>
      <c r="J7" s="8">
        <f>J6</f>
        <v>61702.302799999998</v>
      </c>
      <c r="K7" s="8">
        <f>K6+J7</f>
        <v>108248.70329999999</v>
      </c>
      <c r="L7" s="8">
        <f>L6+K7</f>
        <v>154987.78889999999</v>
      </c>
      <c r="M7" s="229"/>
      <c r="N7" s="8">
        <f>N6</f>
        <v>73844.613299999997</v>
      </c>
      <c r="O7" s="8">
        <f>O6+N7</f>
        <v>128733.3036</v>
      </c>
      <c r="P7" s="8">
        <f>P6+O7</f>
        <v>200442.93670000002</v>
      </c>
      <c r="Q7" s="229"/>
      <c r="R7" s="118"/>
      <c r="S7" s="12"/>
    </row>
    <row r="8" spans="1:19" s="21" customFormat="1" ht="15" customHeight="1">
      <c r="A8" s="26" t="s">
        <v>50</v>
      </c>
      <c r="B8" s="27">
        <f t="shared" ref="B8:D9" si="0">B6/B4</f>
        <v>1.3176635447368421</v>
      </c>
      <c r="C8" s="27">
        <f t="shared" si="0"/>
        <v>0.83907687142857124</v>
      </c>
      <c r="D8" s="27">
        <f t="shared" si="0"/>
        <v>0.81335976599999993</v>
      </c>
      <c r="E8" s="230"/>
      <c r="F8" s="27">
        <f t="shared" ref="F8:H9" si="1">F6/F4</f>
        <v>1.0923626274509803</v>
      </c>
      <c r="G8" s="27">
        <f t="shared" si="1"/>
        <v>0.83736722166666666</v>
      </c>
      <c r="H8" s="27">
        <f t="shared" si="1"/>
        <v>0.85429981449275227</v>
      </c>
      <c r="I8" s="230"/>
      <c r="J8" s="27">
        <f t="shared" ref="J8:L9" si="2">J6/J4</f>
        <v>1.0888641670588235</v>
      </c>
      <c r="K8" s="27">
        <f t="shared" si="2"/>
        <v>0.74276171010638292</v>
      </c>
      <c r="L8" s="27">
        <f t="shared" si="2"/>
        <v>0.6344672253393665</v>
      </c>
      <c r="M8" s="230"/>
      <c r="N8" s="27">
        <f t="shared" ref="N8:P9" si="3">N6/N4</f>
        <v>1.200725419512195</v>
      </c>
      <c r="O8" s="27">
        <f t="shared" si="3"/>
        <v>0.8032491263414635</v>
      </c>
      <c r="P8" s="27">
        <f t="shared" si="3"/>
        <v>1.0219900204275534</v>
      </c>
      <c r="Q8" s="230"/>
      <c r="R8" s="122"/>
      <c r="S8" s="12"/>
    </row>
    <row r="9" spans="1:19" s="22" customFormat="1" ht="15" customHeight="1">
      <c r="A9" s="26" t="s">
        <v>51</v>
      </c>
      <c r="B9" s="27">
        <f t="shared" si="0"/>
        <v>1.3176635447368421</v>
      </c>
      <c r="C9" s="27">
        <f t="shared" si="0"/>
        <v>1.06640554125</v>
      </c>
      <c r="D9" s="27">
        <f t="shared" si="0"/>
        <v>0.9820569495</v>
      </c>
      <c r="E9" s="230"/>
      <c r="F9" s="27">
        <f t="shared" si="1"/>
        <v>1.0923626274509803</v>
      </c>
      <c r="G9" s="27">
        <f t="shared" si="1"/>
        <v>0.95452727297297302</v>
      </c>
      <c r="H9" s="27">
        <f t="shared" si="1"/>
        <v>0.91610674722222174</v>
      </c>
      <c r="I9" s="230"/>
      <c r="J9" s="27">
        <f t="shared" si="2"/>
        <v>1.0888641670588235</v>
      </c>
      <c r="K9" s="27">
        <f t="shared" si="2"/>
        <v>0.90711203882681557</v>
      </c>
      <c r="L9" s="27">
        <f t="shared" si="2"/>
        <v>0.80304553834196879</v>
      </c>
      <c r="M9" s="230"/>
      <c r="N9" s="27">
        <f t="shared" si="3"/>
        <v>1.200725419512195</v>
      </c>
      <c r="O9" s="27">
        <f t="shared" si="3"/>
        <v>0.99152737047496797</v>
      </c>
      <c r="P9" s="27">
        <f t="shared" si="3"/>
        <v>1.0022146835000001</v>
      </c>
      <c r="Q9" s="230"/>
      <c r="R9" s="123"/>
      <c r="S9" s="14"/>
    </row>
    <row r="10" spans="1:19" s="44" customFormat="1" ht="15" customHeight="1">
      <c r="A10" s="7" t="s">
        <v>59</v>
      </c>
      <c r="B10" s="25">
        <f>B7-B5</f>
        <v>20118.691166666664</v>
      </c>
      <c r="C10" s="25">
        <f>C7-C5</f>
        <v>8854.0721666666504</v>
      </c>
      <c r="D10" s="25">
        <f>D7-D5</f>
        <v>-3588.6100999999908</v>
      </c>
      <c r="E10" s="229"/>
      <c r="F10" s="25">
        <f>F7-F5</f>
        <v>4710.4939999999988</v>
      </c>
      <c r="G10" s="25">
        <f>G7-G5</f>
        <v>-5047.4726999999984</v>
      </c>
      <c r="H10" s="25">
        <f>H7-H5</f>
        <v>-15100.785500000085</v>
      </c>
      <c r="I10" s="229"/>
      <c r="J10" s="25">
        <f>J7-J5</f>
        <v>5035.6361333333261</v>
      </c>
      <c r="K10" s="25">
        <f>K7-K5</f>
        <v>-11084.630033333349</v>
      </c>
      <c r="L10" s="25">
        <f>L7-L5</f>
        <v>-38012.211100000015</v>
      </c>
      <c r="M10" s="229"/>
      <c r="N10" s="25">
        <f>N7-N5</f>
        <v>12344.613299999997</v>
      </c>
      <c r="O10" s="25">
        <f>O7-O5</f>
        <v>-1100.0297333333292</v>
      </c>
      <c r="P10" s="25">
        <f>P7-P5</f>
        <v>442.93670000002021</v>
      </c>
      <c r="Q10" s="229"/>
      <c r="R10" s="118"/>
    </row>
    <row r="11" spans="1:19" s="22" customFormat="1" ht="15" customHeight="1">
      <c r="A11" s="6" t="s">
        <v>52</v>
      </c>
      <c r="B11" s="99">
        <f>'Target 2017'!L18</f>
        <v>221666.66666666666</v>
      </c>
      <c r="C11" s="99">
        <f>'Target 2017'!M18</f>
        <v>245000.00000000003</v>
      </c>
      <c r="D11" s="99">
        <f>'Target 2017'!N18</f>
        <v>233333.33333333334</v>
      </c>
      <c r="E11" s="228">
        <f>SUM(B11:D11)</f>
        <v>700000</v>
      </c>
      <c r="F11" s="99">
        <f>'Target 2017'!I18</f>
        <v>187000</v>
      </c>
      <c r="G11" s="99">
        <f>'Target 2017'!J18-5000</f>
        <v>215000</v>
      </c>
      <c r="H11" s="99">
        <f>'Target 2017'!K18+5000</f>
        <v>257999.99999999997</v>
      </c>
      <c r="I11" s="228">
        <f>SUM(F11:H11)</f>
        <v>660000</v>
      </c>
      <c r="J11" s="99">
        <f>'Target 2017'!F18</f>
        <v>185866.66666666666</v>
      </c>
      <c r="K11" s="99">
        <f>'Target 2017'!G18</f>
        <v>218666.66666666666</v>
      </c>
      <c r="L11" s="99">
        <f>'Target 2017'!H18</f>
        <v>251466.66666666663</v>
      </c>
      <c r="M11" s="228">
        <f>SUM(J11:L11)</f>
        <v>656000</v>
      </c>
      <c r="N11" s="99">
        <f>'Target 2017'!C18</f>
        <v>201000</v>
      </c>
      <c r="O11" s="99">
        <f>'Target 2017'!D18</f>
        <v>223333.33333333334</v>
      </c>
      <c r="P11" s="99">
        <f>'Target 2017'!E18</f>
        <v>245666.66666666672</v>
      </c>
      <c r="Q11" s="228">
        <f>SUM(N11:P11)</f>
        <v>670000.00000000012</v>
      </c>
      <c r="R11" s="116">
        <f>Q11+M11+I11+E11</f>
        <v>2686000</v>
      </c>
      <c r="S11" s="14"/>
    </row>
    <row r="12" spans="1:19" s="21" customFormat="1" ht="15" customHeight="1">
      <c r="A12" s="7" t="s">
        <v>53</v>
      </c>
      <c r="B12" s="94">
        <f>B11</f>
        <v>221666.66666666666</v>
      </c>
      <c r="C12" s="94">
        <f>C11+B12</f>
        <v>466666.66666666669</v>
      </c>
      <c r="D12" s="94">
        <f>D11+C12</f>
        <v>700000</v>
      </c>
      <c r="E12" s="229"/>
      <c r="F12" s="94">
        <f>F11</f>
        <v>187000</v>
      </c>
      <c r="G12" s="94">
        <f>G11+F12</f>
        <v>402000</v>
      </c>
      <c r="H12" s="94">
        <f>H11+G12</f>
        <v>660000</v>
      </c>
      <c r="I12" s="229"/>
      <c r="J12" s="94">
        <f>J11</f>
        <v>185866.66666666666</v>
      </c>
      <c r="K12" s="94">
        <f>K11+J12</f>
        <v>404533.33333333331</v>
      </c>
      <c r="L12" s="94">
        <f>L11+K12</f>
        <v>656000</v>
      </c>
      <c r="M12" s="229"/>
      <c r="N12" s="94">
        <f>N11</f>
        <v>201000</v>
      </c>
      <c r="O12" s="94">
        <f>O11+N12</f>
        <v>424333.33333333337</v>
      </c>
      <c r="P12" s="94">
        <f>P11+O12</f>
        <v>670000.00000000012</v>
      </c>
      <c r="Q12" s="229"/>
      <c r="R12" s="118"/>
    </row>
    <row r="13" spans="1:19" s="22" customFormat="1" ht="15" customHeight="1">
      <c r="A13" s="31" t="s">
        <v>54</v>
      </c>
      <c r="B13" s="29">
        <f>SUMIF(X!A:A,$A$1,X!G:G)</f>
        <v>254079.93</v>
      </c>
      <c r="C13" s="29">
        <f>SUMIF(XI!A:A,$A$1,XI!G:G)</f>
        <v>208919.28</v>
      </c>
      <c r="D13" s="29">
        <f>SUMIF(XII!A:A,$A$1,XII!G:G)</f>
        <v>237261.3125</v>
      </c>
      <c r="E13" s="228">
        <f>SUM(B13:D13)</f>
        <v>700260.52249999996</v>
      </c>
      <c r="F13" s="29">
        <f>SUMIF(VII!A:A,$A$1,VII!G:G)</f>
        <v>222184.33</v>
      </c>
      <c r="G13" s="29">
        <f>SUMIF(VIII!A:A,$A$1,VIII!G:G)</f>
        <v>161063.04999999999</v>
      </c>
      <c r="H13" s="29">
        <f>SUMIF(IX!A:A,$A$1,IX!G:G)</f>
        <v>193439.03</v>
      </c>
      <c r="I13" s="228">
        <f>SUM(F13:H13)</f>
        <v>576686.41</v>
      </c>
      <c r="J13" s="29">
        <f>SUMIF(IV!A:A,$A$1,IV!G:G)</f>
        <v>218004.05</v>
      </c>
      <c r="K13" s="29">
        <f>SUMIF(V!A:A,$A$1,V!G:G)</f>
        <v>179012.98</v>
      </c>
      <c r="L13" s="29">
        <f>SUMIF(VI!A:A,$A$1,VI!G:G)</f>
        <v>168018.47</v>
      </c>
      <c r="M13" s="228">
        <f>SUM(J13:L13)</f>
        <v>565035.5</v>
      </c>
      <c r="N13" s="91">
        <f>SUMIF(I!A:A,$A$1,I!G:G)</f>
        <v>238698.05</v>
      </c>
      <c r="O13" s="29">
        <f>SUMIF(II!A:A,$A$1,II!G:G)</f>
        <v>199550.58</v>
      </c>
      <c r="P13" s="29">
        <f>SUMIF(III!A:A,$A$1,III!G:G)</f>
        <v>251532.77</v>
      </c>
      <c r="Q13" s="228">
        <f>SUM(N13:P13)</f>
        <v>689781.4</v>
      </c>
      <c r="R13" s="116">
        <f>Q13+M13+I13+E13</f>
        <v>2531763.8325</v>
      </c>
      <c r="S13" s="14"/>
    </row>
    <row r="14" spans="1:19" customFormat="1">
      <c r="A14" s="7" t="s">
        <v>55</v>
      </c>
      <c r="B14" s="8">
        <f>B13</f>
        <v>254079.93</v>
      </c>
      <c r="C14" s="8">
        <f>C13+B14</f>
        <v>462999.20999999996</v>
      </c>
      <c r="D14" s="8">
        <f>D13+C14</f>
        <v>700260.52249999996</v>
      </c>
      <c r="E14" s="229"/>
      <c r="F14" s="8">
        <f>F13</f>
        <v>222184.33</v>
      </c>
      <c r="G14" s="8">
        <f>G13+F14</f>
        <v>383247.38</v>
      </c>
      <c r="H14" s="8">
        <f>H13+G14</f>
        <v>576686.41</v>
      </c>
      <c r="I14" s="229"/>
      <c r="J14" s="8">
        <f>J13</f>
        <v>218004.05</v>
      </c>
      <c r="K14" s="8">
        <f>K13+J14</f>
        <v>397017.03</v>
      </c>
      <c r="L14" s="8">
        <f>L13+K14</f>
        <v>565035.5</v>
      </c>
      <c r="M14" s="229"/>
      <c r="N14" s="8">
        <f>N13</f>
        <v>238698.05</v>
      </c>
      <c r="O14" s="8">
        <f>O13+N14</f>
        <v>438248.63</v>
      </c>
      <c r="P14" s="8">
        <f>P13+O14</f>
        <v>689781.4</v>
      </c>
      <c r="Q14" s="229"/>
      <c r="R14" s="118"/>
    </row>
    <row r="15" spans="1:19" s="21" customFormat="1" ht="15" customHeight="1">
      <c r="A15" s="26" t="s">
        <v>56</v>
      </c>
      <c r="B15" s="27">
        <f t="shared" ref="B15:D16" si="4">B13/B11</f>
        <v>1.1462252481203008</v>
      </c>
      <c r="C15" s="27">
        <f t="shared" si="4"/>
        <v>0.85273175510204069</v>
      </c>
      <c r="D15" s="27">
        <f t="shared" si="4"/>
        <v>1.0168341964285714</v>
      </c>
      <c r="E15" s="230"/>
      <c r="F15" s="27">
        <f t="shared" ref="F15:H16" si="5">F13/F11</f>
        <v>1.1881514973262031</v>
      </c>
      <c r="G15" s="27">
        <f t="shared" si="5"/>
        <v>0.74913046511627901</v>
      </c>
      <c r="H15" s="27">
        <f t="shared" si="5"/>
        <v>0.74976368217054268</v>
      </c>
      <c r="I15" s="230"/>
      <c r="J15" s="27">
        <f t="shared" ref="J15:L16" si="6">J13/J11</f>
        <v>1.1729055774748924</v>
      </c>
      <c r="K15" s="27">
        <f t="shared" si="6"/>
        <v>0.81865692073170737</v>
      </c>
      <c r="L15" s="27">
        <f t="shared" si="6"/>
        <v>0.66815404294803826</v>
      </c>
      <c r="M15" s="230"/>
      <c r="N15" s="27">
        <f t="shared" ref="N15:P16" si="7">N13/N11</f>
        <v>1.187552487562189</v>
      </c>
      <c r="O15" s="27">
        <f t="shared" si="7"/>
        <v>0.89351005970149244</v>
      </c>
      <c r="P15" s="27">
        <f t="shared" si="7"/>
        <v>1.0238783039348709</v>
      </c>
      <c r="Q15" s="230"/>
      <c r="R15" s="122"/>
      <c r="S15" s="12"/>
    </row>
    <row r="16" spans="1:19" s="21" customFormat="1" ht="15" customHeight="1">
      <c r="A16" s="26" t="s">
        <v>57</v>
      </c>
      <c r="B16" s="27">
        <f t="shared" si="4"/>
        <v>1.1462252481203008</v>
      </c>
      <c r="C16" s="27">
        <f t="shared" si="4"/>
        <v>0.99214116428571419</v>
      </c>
      <c r="D16" s="27">
        <f t="shared" si="4"/>
        <v>1.0003721749999999</v>
      </c>
      <c r="E16" s="230"/>
      <c r="F16" s="27">
        <f t="shared" si="5"/>
        <v>1.1881514973262031</v>
      </c>
      <c r="G16" s="27">
        <f t="shared" si="5"/>
        <v>0.9533516915422886</v>
      </c>
      <c r="H16" s="27">
        <f t="shared" si="5"/>
        <v>0.87376728787878788</v>
      </c>
      <c r="I16" s="230"/>
      <c r="J16" s="27">
        <f t="shared" si="6"/>
        <v>1.1729055774748924</v>
      </c>
      <c r="K16" s="27">
        <f t="shared" si="6"/>
        <v>0.98141981707317083</v>
      </c>
      <c r="L16" s="27">
        <f t="shared" si="6"/>
        <v>0.86133460365853654</v>
      </c>
      <c r="M16" s="230"/>
      <c r="N16" s="27">
        <f t="shared" si="7"/>
        <v>1.187552487562189</v>
      </c>
      <c r="O16" s="27">
        <f t="shared" si="7"/>
        <v>1.0327933150039277</v>
      </c>
      <c r="P16" s="27">
        <f t="shared" si="7"/>
        <v>1.0295244776119401</v>
      </c>
      <c r="Q16" s="230"/>
      <c r="R16" s="123"/>
      <c r="S16" s="12"/>
    </row>
    <row r="17" spans="1:19" s="21" customFormat="1" ht="15" customHeight="1">
      <c r="A17" s="7" t="s">
        <v>58</v>
      </c>
      <c r="B17" s="25">
        <f>B14-B12</f>
        <v>32413.263333333336</v>
      </c>
      <c r="C17" s="25">
        <f>C14-C12</f>
        <v>-3667.4566666667233</v>
      </c>
      <c r="D17" s="25">
        <f>D14-D12</f>
        <v>260.52249999996275</v>
      </c>
      <c r="E17" s="229"/>
      <c r="F17" s="25">
        <f>F14-F12</f>
        <v>35184.329999999987</v>
      </c>
      <c r="G17" s="25">
        <f>G14-G12</f>
        <v>-18752.619999999995</v>
      </c>
      <c r="H17" s="25">
        <f>H14-H12</f>
        <v>-83313.589999999967</v>
      </c>
      <c r="I17" s="229"/>
      <c r="J17" s="25">
        <f>J14-J12</f>
        <v>32137.383333333331</v>
      </c>
      <c r="K17" s="25">
        <f>K14-K12</f>
        <v>-7516.303333333286</v>
      </c>
      <c r="L17" s="25">
        <f>L14-L12</f>
        <v>-90964.5</v>
      </c>
      <c r="M17" s="229"/>
      <c r="N17" s="25">
        <f>N14-N12</f>
        <v>37698.049999999988</v>
      </c>
      <c r="O17" s="25">
        <f>O14-O12</f>
        <v>13915.296666666633</v>
      </c>
      <c r="P17" s="25">
        <f>P14-P12</f>
        <v>19781.399999999907</v>
      </c>
      <c r="Q17" s="229"/>
      <c r="R17" s="124"/>
      <c r="S17" s="12"/>
    </row>
    <row r="18" spans="1:19" s="21" customFormat="1" ht="15" customHeight="1">
      <c r="A18" s="10" t="s">
        <v>43</v>
      </c>
      <c r="B18" s="11">
        <f t="shared" ref="B18:D19" si="8">B6/B13</f>
        <v>0.32844791991244648</v>
      </c>
      <c r="C18" s="11">
        <f t="shared" si="8"/>
        <v>0.28113911267547925</v>
      </c>
      <c r="D18" s="11">
        <f t="shared" si="8"/>
        <v>0.22854119716631005</v>
      </c>
      <c r="E18" s="231"/>
      <c r="F18" s="11">
        <f t="shared" ref="F18:H19" si="9">F6/F13</f>
        <v>0.25073997792733627</v>
      </c>
      <c r="G18" s="11">
        <f t="shared" si="9"/>
        <v>0.31194015821754278</v>
      </c>
      <c r="H18" s="11">
        <f t="shared" si="9"/>
        <v>0.30473005990569696</v>
      </c>
      <c r="I18" s="231"/>
      <c r="J18" s="11">
        <f t="shared" ref="J18:L19" si="10">J6/J13</f>
        <v>0.2830328280598457</v>
      </c>
      <c r="K18" s="11">
        <f t="shared" si="10"/>
        <v>0.26001690212631506</v>
      </c>
      <c r="L18" s="11">
        <f t="shared" si="10"/>
        <v>0.27817825980679384</v>
      </c>
      <c r="M18" s="231"/>
      <c r="N18" s="11">
        <f t="shared" ref="N18:P19" si="11">N6/N13</f>
        <v>0.30936412467550534</v>
      </c>
      <c r="O18" s="11">
        <f t="shared" si="11"/>
        <v>0.27506154229168367</v>
      </c>
      <c r="P18" s="11">
        <f t="shared" si="11"/>
        <v>0.28509061900761484</v>
      </c>
      <c r="Q18" s="231"/>
      <c r="R18" s="126"/>
      <c r="S18" s="12"/>
    </row>
    <row r="19" spans="1:19" s="22" customFormat="1" ht="15" customHeight="1">
      <c r="A19" s="10" t="s">
        <v>44</v>
      </c>
      <c r="B19" s="11">
        <f t="shared" si="8"/>
        <v>0.32844791991244648</v>
      </c>
      <c r="C19" s="11">
        <f t="shared" si="8"/>
        <v>0.30710075185657443</v>
      </c>
      <c r="D19" s="11">
        <f>D7/D14</f>
        <v>0.28048331098087859</v>
      </c>
      <c r="E19" s="231"/>
      <c r="F19" s="11">
        <f t="shared" si="9"/>
        <v>0.25073997792733627</v>
      </c>
      <c r="G19" s="11">
        <f t="shared" si="9"/>
        <v>0.27645988682297057</v>
      </c>
      <c r="H19" s="11">
        <f t="shared" si="9"/>
        <v>0.28594260527138121</v>
      </c>
      <c r="I19" s="231"/>
      <c r="J19" s="11">
        <f t="shared" si="10"/>
        <v>0.2830328280598457</v>
      </c>
      <c r="K19" s="11">
        <f t="shared" si="10"/>
        <v>0.27265506293269076</v>
      </c>
      <c r="L19" s="11">
        <f t="shared" si="10"/>
        <v>0.27429743600180873</v>
      </c>
      <c r="M19" s="231"/>
      <c r="N19" s="11">
        <f t="shared" si="11"/>
        <v>0.30936412467550534</v>
      </c>
      <c r="O19" s="11">
        <f t="shared" si="11"/>
        <v>0.29374490822709476</v>
      </c>
      <c r="P19" s="11">
        <f t="shared" si="11"/>
        <v>0.29058907169720727</v>
      </c>
      <c r="Q19" s="231"/>
      <c r="R19" s="126"/>
      <c r="S19" s="14"/>
    </row>
    <row r="20" spans="1:19" s="71" customFormat="1" ht="15" customHeight="1">
      <c r="A20" s="103"/>
      <c r="B20" s="104"/>
      <c r="C20" s="104"/>
      <c r="D20" s="104"/>
      <c r="E20" s="232"/>
      <c r="F20" s="104"/>
      <c r="G20" s="104"/>
      <c r="H20" s="104"/>
      <c r="I20" s="232"/>
      <c r="J20" s="104"/>
      <c r="K20" s="104"/>
      <c r="L20" s="104"/>
      <c r="M20" s="232"/>
      <c r="N20" s="104"/>
      <c r="O20" s="104"/>
      <c r="P20" s="104"/>
      <c r="Q20" s="232"/>
      <c r="R20" s="127"/>
      <c r="S20" s="70"/>
    </row>
    <row r="21" spans="1:19" s="21" customFormat="1" ht="15" customHeight="1">
      <c r="A21" s="56"/>
      <c r="B21" s="213"/>
      <c r="C21" s="213"/>
      <c r="D21" s="213"/>
      <c r="E21" s="213"/>
      <c r="F21" s="213"/>
      <c r="G21" s="213"/>
      <c r="H21" s="213"/>
      <c r="I21" s="213"/>
      <c r="J21" s="213"/>
      <c r="K21" s="213"/>
      <c r="L21" s="213"/>
      <c r="M21" s="213"/>
      <c r="N21" s="212" t="s">
        <v>33</v>
      </c>
      <c r="O21" s="213"/>
      <c r="P21" s="213"/>
      <c r="Q21" s="213"/>
      <c r="R21" s="265"/>
      <c r="S21" s="12"/>
    </row>
    <row r="22" spans="1:19" s="21" customFormat="1" ht="15" customHeight="1">
      <c r="A22" s="73" t="s">
        <v>89</v>
      </c>
      <c r="B22" s="85">
        <v>4660</v>
      </c>
      <c r="C22" s="85">
        <v>4660</v>
      </c>
      <c r="D22" s="85">
        <v>4660</v>
      </c>
      <c r="E22" s="234"/>
      <c r="F22" s="85">
        <v>4660</v>
      </c>
      <c r="G22" s="85">
        <v>4660</v>
      </c>
      <c r="H22" s="85">
        <v>4660</v>
      </c>
      <c r="I22" s="234"/>
      <c r="J22" s="85">
        <v>4660</v>
      </c>
      <c r="K22" s="85">
        <v>4660</v>
      </c>
      <c r="L22" s="85">
        <v>4660</v>
      </c>
      <c r="M22" s="234"/>
      <c r="N22" s="85">
        <v>4160</v>
      </c>
      <c r="O22" s="85">
        <v>4660</v>
      </c>
      <c r="P22" s="85">
        <v>4660</v>
      </c>
      <c r="Q22" s="234"/>
      <c r="R22" s="131"/>
      <c r="S22" s="12"/>
    </row>
    <row r="23" spans="1:19" s="21" customFormat="1" ht="15" customHeight="1">
      <c r="A23" s="20" t="s">
        <v>61</v>
      </c>
      <c r="B23" s="79">
        <f>B5</f>
        <v>63333.333333333336</v>
      </c>
      <c r="C23" s="79">
        <f>C5</f>
        <v>133333.33333333334</v>
      </c>
      <c r="D23" s="79">
        <f>D5</f>
        <v>200000</v>
      </c>
      <c r="E23" s="235"/>
      <c r="F23" s="79">
        <f>F5</f>
        <v>51000</v>
      </c>
      <c r="G23" s="79">
        <f>G5</f>
        <v>111000</v>
      </c>
      <c r="H23" s="79">
        <f>H5</f>
        <v>180000</v>
      </c>
      <c r="I23" s="235"/>
      <c r="J23" s="79">
        <f>J5</f>
        <v>56666.666666666672</v>
      </c>
      <c r="K23" s="79">
        <f>K5</f>
        <v>119333.33333333334</v>
      </c>
      <c r="L23" s="79">
        <f>L5</f>
        <v>193000</v>
      </c>
      <c r="M23" s="235"/>
      <c r="N23" s="79">
        <f>N5</f>
        <v>61500</v>
      </c>
      <c r="O23" s="79">
        <f>O5</f>
        <v>129833.33333333333</v>
      </c>
      <c r="P23" s="79">
        <f>P5</f>
        <v>200000</v>
      </c>
      <c r="Q23" s="235"/>
      <c r="R23" s="133"/>
      <c r="S23" s="12"/>
    </row>
    <row r="24" spans="1:19" s="35" customFormat="1" ht="15" customHeight="1">
      <c r="A24" s="40" t="s">
        <v>62</v>
      </c>
      <c r="B24" s="55">
        <f>B7</f>
        <v>83452.0245</v>
      </c>
      <c r="C24" s="55">
        <f>C7</f>
        <v>142187.40549999999</v>
      </c>
      <c r="D24" s="55">
        <f>D7</f>
        <v>196411.38990000001</v>
      </c>
      <c r="E24" s="236"/>
      <c r="F24" s="55">
        <f>F7</f>
        <v>55710.493999999999</v>
      </c>
      <c r="G24" s="55">
        <f>G7</f>
        <v>105952.5273</v>
      </c>
      <c r="H24" s="55">
        <f>H7</f>
        <v>164899.21449999991</v>
      </c>
      <c r="I24" s="236"/>
      <c r="J24" s="55">
        <f>J7</f>
        <v>61702.302799999998</v>
      </c>
      <c r="K24" s="55">
        <f>K7</f>
        <v>108248.70329999999</v>
      </c>
      <c r="L24" s="55">
        <f>L7</f>
        <v>154987.78889999999</v>
      </c>
      <c r="M24" s="236"/>
      <c r="N24" s="55">
        <f>N7</f>
        <v>73844.613299999997</v>
      </c>
      <c r="O24" s="55">
        <f>O7</f>
        <v>128733.3036</v>
      </c>
      <c r="P24" s="55">
        <f>P7</f>
        <v>200442.93670000002</v>
      </c>
      <c r="Q24" s="236"/>
      <c r="R24" s="133"/>
      <c r="S24" s="34"/>
    </row>
    <row r="25" spans="1:19" s="21" customFormat="1" ht="15" customHeight="1">
      <c r="A25" s="40" t="s">
        <v>63</v>
      </c>
      <c r="B25" s="97">
        <f>B24/B23</f>
        <v>1.3176635447368421</v>
      </c>
      <c r="C25" s="97">
        <f>C24/C23</f>
        <v>1.06640554125</v>
      </c>
      <c r="D25" s="97">
        <f>D24/D23</f>
        <v>0.9820569495</v>
      </c>
      <c r="E25" s="237"/>
      <c r="F25" s="97">
        <f>F24/F23</f>
        <v>1.0923626274509803</v>
      </c>
      <c r="G25" s="97">
        <f>G24/G23</f>
        <v>0.95452727297297302</v>
      </c>
      <c r="H25" s="97">
        <f>H24/H23</f>
        <v>0.91610674722222174</v>
      </c>
      <c r="I25" s="237"/>
      <c r="J25" s="97">
        <f>J24/J23</f>
        <v>1.0888641670588235</v>
      </c>
      <c r="K25" s="97">
        <f>K24/K23</f>
        <v>0.90711203882681557</v>
      </c>
      <c r="L25" s="97">
        <f>L24/L23</f>
        <v>0.80304553834196879</v>
      </c>
      <c r="M25" s="237"/>
      <c r="N25" s="97">
        <f>N24/N23</f>
        <v>1.200725419512195</v>
      </c>
      <c r="O25" s="97">
        <f>O24/O23</f>
        <v>0.99152737047496797</v>
      </c>
      <c r="P25" s="97">
        <f>P24/P23</f>
        <v>1.0022146835000001</v>
      </c>
      <c r="Q25" s="237"/>
      <c r="R25" s="133"/>
      <c r="S25" s="12"/>
    </row>
    <row r="26" spans="1:19" s="21" customFormat="1" ht="15" customHeight="1">
      <c r="A26" s="39" t="s">
        <v>71</v>
      </c>
      <c r="B26" s="58">
        <f>B22*0.2</f>
        <v>932</v>
      </c>
      <c r="C26" s="58">
        <f>C22*0.2</f>
        <v>932</v>
      </c>
      <c r="D26" s="58">
        <f>D22*0.2</f>
        <v>932</v>
      </c>
      <c r="E26" s="238"/>
      <c r="F26" s="58">
        <f>F22*0.2</f>
        <v>932</v>
      </c>
      <c r="G26" s="58">
        <f>G22*0.2</f>
        <v>932</v>
      </c>
      <c r="H26" s="58">
        <f>H22*0.2</f>
        <v>932</v>
      </c>
      <c r="I26" s="238"/>
      <c r="J26" s="58">
        <f>J22*0.2</f>
        <v>932</v>
      </c>
      <c r="K26" s="58">
        <f>K22*0.2</f>
        <v>932</v>
      </c>
      <c r="L26" s="58">
        <f>L22*0.2</f>
        <v>932</v>
      </c>
      <c r="M26" s="238"/>
      <c r="N26" s="58">
        <f>N22*0.2</f>
        <v>832</v>
      </c>
      <c r="O26" s="58">
        <f>O22*0.2</f>
        <v>932</v>
      </c>
      <c r="P26" s="58">
        <f>P22*0.2</f>
        <v>932</v>
      </c>
      <c r="Q26" s="238"/>
      <c r="R26" s="136"/>
      <c r="S26" s="12"/>
    </row>
    <row r="27" spans="1:19" s="21" customFormat="1" ht="15" customHeight="1">
      <c r="A27" s="40" t="s">
        <v>64</v>
      </c>
      <c r="B27" s="82">
        <f>IF(B25&lt;80%,0,IF(B25&lt;90%,0.5,IF(B25&lt;95%,0.75,1)))</f>
        <v>1</v>
      </c>
      <c r="C27" s="82">
        <f>IF(C25&lt;80%,0,IF(C25&lt;90%,0.5,IF(C25&lt;95%,0.75,1)))</f>
        <v>1</v>
      </c>
      <c r="D27" s="82">
        <f>IF(D25&lt;80%,0,IF(D25&lt;90%,0.5,IF(D25&lt;95%,0.75,1)))</f>
        <v>1</v>
      </c>
      <c r="E27" s="236"/>
      <c r="F27" s="82">
        <f>IF(F25&lt;80%,0,IF(F25&lt;90%,0.5,IF(F25&lt;95%,0.75,1)))</f>
        <v>1</v>
      </c>
      <c r="G27" s="82">
        <f>IF(G25&lt;80%,0,IF(G25&lt;90%,0.5,IF(G25&lt;95%,0.75,1)))</f>
        <v>1</v>
      </c>
      <c r="H27" s="82">
        <f>IF(H25&lt;80%,0,IF(H25&lt;90%,0.5,IF(H25&lt;95%,0.75,1)))</f>
        <v>0.75</v>
      </c>
      <c r="I27" s="236"/>
      <c r="J27" s="82">
        <f>IF(J25&lt;80%,0,IF(J25&lt;90%,0.5,IF(J25&lt;95%,0.75,1)))</f>
        <v>1</v>
      </c>
      <c r="K27" s="82">
        <f>IF(K25&lt;80%,0,IF(K25&lt;90%,0.5,IF(K25&lt;95%,0.75,1)))</f>
        <v>0.75</v>
      </c>
      <c r="L27" s="82">
        <f>IF(L25&lt;80%,0,IF(L25&lt;90%,0.5,IF(L25&lt;95%,0.75,1)))</f>
        <v>0.5</v>
      </c>
      <c r="M27" s="236"/>
      <c r="N27" s="82">
        <f>IF(N25&lt;80%,0,IF(N25&lt;90%,0.5,IF(N25&lt;95%,0.75,1)))</f>
        <v>1</v>
      </c>
      <c r="O27" s="82">
        <f>IF(O25&lt;80%,0,IF(O25&lt;90%,0.5,IF(O25&lt;95%,0.75,1)))</f>
        <v>1</v>
      </c>
      <c r="P27" s="82">
        <f>IF(P25&lt;80%,0,IF(P25&lt;90%,0.5,IF(P25&lt;95%,0.75,1)))</f>
        <v>1</v>
      </c>
      <c r="Q27" s="236"/>
      <c r="R27" s="133"/>
      <c r="S27" s="12"/>
    </row>
    <row r="28" spans="1:19" s="21" customFormat="1" ht="15" customHeight="1">
      <c r="A28" s="59" t="s">
        <v>65</v>
      </c>
      <c r="B28" s="80">
        <f>B27*B26</f>
        <v>932</v>
      </c>
      <c r="C28" s="80">
        <f>C27*C26</f>
        <v>932</v>
      </c>
      <c r="D28" s="80">
        <f>D27*D26</f>
        <v>932</v>
      </c>
      <c r="E28" s="239"/>
      <c r="F28" s="80">
        <f>F27*F26</f>
        <v>932</v>
      </c>
      <c r="G28" s="80">
        <f>G27*G26</f>
        <v>932</v>
      </c>
      <c r="H28" s="80">
        <f>H27*H26</f>
        <v>699</v>
      </c>
      <c r="I28" s="239"/>
      <c r="J28" s="80">
        <f>J27*J26</f>
        <v>932</v>
      </c>
      <c r="K28" s="80">
        <f>K27*K26</f>
        <v>699</v>
      </c>
      <c r="L28" s="80">
        <f>L27*L26</f>
        <v>466</v>
      </c>
      <c r="M28" s="239"/>
      <c r="N28" s="80">
        <f>N27*N26</f>
        <v>832</v>
      </c>
      <c r="O28" s="80">
        <f>O27*O26</f>
        <v>932</v>
      </c>
      <c r="P28" s="80">
        <f>P27*P26</f>
        <v>932</v>
      </c>
      <c r="Q28" s="239"/>
      <c r="R28" s="137"/>
      <c r="S28" s="12"/>
    </row>
    <row r="29" spans="1:19" s="21" customFormat="1" ht="15" customHeight="1">
      <c r="A29" s="20" t="s">
        <v>60</v>
      </c>
      <c r="B29" s="79">
        <f>B12</f>
        <v>221666.66666666666</v>
      </c>
      <c r="C29" s="79">
        <f>C12</f>
        <v>466666.66666666669</v>
      </c>
      <c r="D29" s="79">
        <f>D12</f>
        <v>700000</v>
      </c>
      <c r="E29" s="235"/>
      <c r="F29" s="79">
        <f>F12</f>
        <v>187000</v>
      </c>
      <c r="G29" s="79">
        <f>G12</f>
        <v>402000</v>
      </c>
      <c r="H29" s="79">
        <f>H12</f>
        <v>660000</v>
      </c>
      <c r="I29" s="235"/>
      <c r="J29" s="79">
        <f>J12</f>
        <v>185866.66666666666</v>
      </c>
      <c r="K29" s="79">
        <f>K12</f>
        <v>404533.33333333331</v>
      </c>
      <c r="L29" s="79">
        <f>L12</f>
        <v>656000</v>
      </c>
      <c r="M29" s="235"/>
      <c r="N29" s="79">
        <f>N12</f>
        <v>201000</v>
      </c>
      <c r="O29" s="79">
        <f>O12</f>
        <v>424333.33333333337</v>
      </c>
      <c r="P29" s="79">
        <f>P12</f>
        <v>670000.00000000012</v>
      </c>
      <c r="Q29" s="235"/>
      <c r="R29" s="133"/>
      <c r="S29" s="12"/>
    </row>
    <row r="30" spans="1:19" s="21" customFormat="1" ht="15" customHeight="1">
      <c r="A30" s="40" t="s">
        <v>66</v>
      </c>
      <c r="B30" s="55">
        <f>B14</f>
        <v>254079.93</v>
      </c>
      <c r="C30" s="55">
        <f>C14</f>
        <v>462999.20999999996</v>
      </c>
      <c r="D30" s="55">
        <f>D14</f>
        <v>700260.52249999996</v>
      </c>
      <c r="E30" s="236"/>
      <c r="F30" s="55">
        <f>F14</f>
        <v>222184.33</v>
      </c>
      <c r="G30" s="55">
        <f>G14</f>
        <v>383247.38</v>
      </c>
      <c r="H30" s="55">
        <f>H14</f>
        <v>576686.41</v>
      </c>
      <c r="I30" s="236"/>
      <c r="J30" s="55">
        <f>J14</f>
        <v>218004.05</v>
      </c>
      <c r="K30" s="55">
        <f>K14</f>
        <v>397017.03</v>
      </c>
      <c r="L30" s="55">
        <f>L14</f>
        <v>565035.5</v>
      </c>
      <c r="M30" s="236"/>
      <c r="N30" s="55">
        <f>N14</f>
        <v>238698.05</v>
      </c>
      <c r="O30" s="55">
        <f>O14</f>
        <v>438248.63</v>
      </c>
      <c r="P30" s="55">
        <f>P14</f>
        <v>689781.4</v>
      </c>
      <c r="Q30" s="236"/>
      <c r="R30" s="133"/>
      <c r="S30" s="12"/>
    </row>
    <row r="31" spans="1:19" s="23" customFormat="1" ht="15" customHeight="1">
      <c r="A31" s="40" t="s">
        <v>67</v>
      </c>
      <c r="B31" s="97">
        <f>B30/B29</f>
        <v>1.1462252481203008</v>
      </c>
      <c r="C31" s="97">
        <f>C30/C29</f>
        <v>0.99214116428571419</v>
      </c>
      <c r="D31" s="97">
        <f>D30/D29</f>
        <v>1.0003721749999999</v>
      </c>
      <c r="E31" s="237"/>
      <c r="F31" s="97">
        <f>F30/F29</f>
        <v>1.1881514973262031</v>
      </c>
      <c r="G31" s="97">
        <f>G30/G29</f>
        <v>0.9533516915422886</v>
      </c>
      <c r="H31" s="97">
        <f>H30/H29</f>
        <v>0.87376728787878788</v>
      </c>
      <c r="I31" s="237"/>
      <c r="J31" s="97">
        <f>J30/J29</f>
        <v>1.1729055774748924</v>
      </c>
      <c r="K31" s="97">
        <f>K30/K29</f>
        <v>0.98141981707317083</v>
      </c>
      <c r="L31" s="97">
        <f>L30/L29</f>
        <v>0.86133460365853654</v>
      </c>
      <c r="M31" s="237"/>
      <c r="N31" s="97">
        <f>N30/N29</f>
        <v>1.187552487562189</v>
      </c>
      <c r="O31" s="97">
        <f>O30/O29</f>
        <v>1.0327933150039277</v>
      </c>
      <c r="P31" s="97">
        <f>P30/P29</f>
        <v>1.0295244776119401</v>
      </c>
      <c r="Q31" s="237"/>
      <c r="R31" s="133"/>
      <c r="S31" s="19"/>
    </row>
    <row r="32" spans="1:19" s="22" customFormat="1" ht="15" customHeight="1">
      <c r="A32" s="40" t="s">
        <v>72</v>
      </c>
      <c r="B32" s="55">
        <f>B22*0.2</f>
        <v>932</v>
      </c>
      <c r="C32" s="55">
        <f>C22*0.2</f>
        <v>932</v>
      </c>
      <c r="D32" s="55">
        <f>D22*0.2</f>
        <v>932</v>
      </c>
      <c r="E32" s="236"/>
      <c r="F32" s="55">
        <f>F22*0.2</f>
        <v>932</v>
      </c>
      <c r="G32" s="55">
        <f>G22*0.2</f>
        <v>932</v>
      </c>
      <c r="H32" s="55">
        <f>H22*0.2</f>
        <v>932</v>
      </c>
      <c r="I32" s="236"/>
      <c r="J32" s="55">
        <f>J22*0.2</f>
        <v>932</v>
      </c>
      <c r="K32" s="55">
        <f>K22*0.2</f>
        <v>932</v>
      </c>
      <c r="L32" s="55">
        <f>L22*0.2</f>
        <v>932</v>
      </c>
      <c r="M32" s="236"/>
      <c r="N32" s="55">
        <f>N22*0.2</f>
        <v>832</v>
      </c>
      <c r="O32" s="55">
        <f>O22*0.2</f>
        <v>932</v>
      </c>
      <c r="P32" s="55">
        <f>P22*0.2</f>
        <v>932</v>
      </c>
      <c r="Q32" s="236"/>
      <c r="R32" s="133"/>
      <c r="S32" s="14"/>
    </row>
    <row r="33" spans="1:19" s="37" customFormat="1" ht="15" customHeight="1">
      <c r="A33" s="40" t="s">
        <v>68</v>
      </c>
      <c r="B33" s="58">
        <f>IF(B31&lt;80%,0,IF(B31&lt;90%,0.5,IF(B31&lt;95%,0.75,1)))</f>
        <v>1</v>
      </c>
      <c r="C33" s="58">
        <f>IF(C31&lt;80%,0,IF(C31&lt;90%,0.5,IF(C31&lt;95%,0.75,1)))</f>
        <v>1</v>
      </c>
      <c r="D33" s="58">
        <f>IF(D31&lt;80%,0,IF(D31&lt;90%,0.5,IF(D31&lt;95%,0.75,1)))</f>
        <v>1</v>
      </c>
      <c r="E33" s="238"/>
      <c r="F33" s="58">
        <f>IF(F31&lt;80%,0,IF(F31&lt;90%,0.5,IF(F31&lt;95%,0.75,1)))</f>
        <v>1</v>
      </c>
      <c r="G33" s="58">
        <f>IF(G31&lt;80%,0,IF(G31&lt;90%,0.5,IF(G31&lt;95%,0.75,1)))</f>
        <v>1</v>
      </c>
      <c r="H33" s="58">
        <f>IF(H31&lt;80%,0,IF(H31&lt;90%,0.5,IF(H31&lt;95%,0.75,1)))</f>
        <v>0.5</v>
      </c>
      <c r="I33" s="238"/>
      <c r="J33" s="58">
        <f>IF(J31&lt;80%,0,IF(J31&lt;90%,0.5,IF(J31&lt;95%,0.75,1)))</f>
        <v>1</v>
      </c>
      <c r="K33" s="58">
        <f>IF(K31&lt;80%,0,IF(K31&lt;90%,0.5,IF(K31&lt;95%,0.75,1)))</f>
        <v>1</v>
      </c>
      <c r="L33" s="58">
        <f>IF(L31&lt;80%,0,IF(L31&lt;90%,0.5,IF(L31&lt;95%,0.75,1)))</f>
        <v>0.5</v>
      </c>
      <c r="M33" s="238"/>
      <c r="N33" s="58">
        <f>IF(N31&lt;80%,0,IF(N31&lt;90%,0.5,IF(N31&lt;95%,0.75,1)))</f>
        <v>1</v>
      </c>
      <c r="O33" s="58">
        <f>IF(O31&lt;80%,0,IF(O31&lt;90%,0.5,IF(O31&lt;95%,0.75,1)))</f>
        <v>1</v>
      </c>
      <c r="P33" s="58">
        <f>IF(P31&lt;80%,0,IF(P31&lt;90%,0.5,IF(P31&lt;95%,0.75,1)))</f>
        <v>1</v>
      </c>
      <c r="Q33" s="238"/>
      <c r="R33" s="133"/>
      <c r="S33" s="28"/>
    </row>
    <row r="34" spans="1:19" s="37" customFormat="1" ht="15" customHeight="1">
      <c r="A34" s="59" t="s">
        <v>69</v>
      </c>
      <c r="B34" s="80">
        <f>B33*B32</f>
        <v>932</v>
      </c>
      <c r="C34" s="80">
        <f>C33*C32</f>
        <v>932</v>
      </c>
      <c r="D34" s="80">
        <f>D33*D32</f>
        <v>932</v>
      </c>
      <c r="E34" s="239"/>
      <c r="F34" s="80">
        <f>F33*F32</f>
        <v>932</v>
      </c>
      <c r="G34" s="80">
        <f>G33*G32</f>
        <v>932</v>
      </c>
      <c r="H34" s="80">
        <f>H33*H32</f>
        <v>466</v>
      </c>
      <c r="I34" s="239"/>
      <c r="J34" s="80">
        <f>J33*J32</f>
        <v>932</v>
      </c>
      <c r="K34" s="80">
        <f>K33*K32</f>
        <v>932</v>
      </c>
      <c r="L34" s="80">
        <f>L33*L32</f>
        <v>466</v>
      </c>
      <c r="M34" s="239"/>
      <c r="N34" s="80">
        <f>N33*N32</f>
        <v>832</v>
      </c>
      <c r="O34" s="80">
        <f>O33*O32</f>
        <v>932</v>
      </c>
      <c r="P34" s="80">
        <f>P33*P32</f>
        <v>932</v>
      </c>
      <c r="Q34" s="239"/>
      <c r="R34" s="137"/>
      <c r="S34" s="28"/>
    </row>
    <row r="35" spans="1:19" s="35" customFormat="1" ht="15" customHeight="1">
      <c r="A35" s="20" t="s">
        <v>45</v>
      </c>
      <c r="B35" s="98">
        <v>1</v>
      </c>
      <c r="C35" s="98">
        <v>1</v>
      </c>
      <c r="D35" s="98">
        <v>1</v>
      </c>
      <c r="E35" s="235"/>
      <c r="F35" s="98">
        <v>1</v>
      </c>
      <c r="G35" s="98">
        <v>1</v>
      </c>
      <c r="H35" s="98">
        <v>1</v>
      </c>
      <c r="I35" s="235"/>
      <c r="J35" s="98">
        <v>1</v>
      </c>
      <c r="K35" s="98">
        <v>1</v>
      </c>
      <c r="L35" s="98">
        <v>1</v>
      </c>
      <c r="M35" s="235"/>
      <c r="N35" s="98">
        <v>1</v>
      </c>
      <c r="O35" s="98">
        <v>1</v>
      </c>
      <c r="P35" s="98">
        <v>1</v>
      </c>
      <c r="Q35" s="235"/>
      <c r="R35" s="138"/>
      <c r="S35" s="34"/>
    </row>
    <row r="36" spans="1:19" s="35" customFormat="1" ht="15" customHeight="1">
      <c r="A36" s="52" t="s">
        <v>70</v>
      </c>
      <c r="B36" s="83">
        <f>B22*0.1</f>
        <v>466</v>
      </c>
      <c r="C36" s="83">
        <f>C22*0.1</f>
        <v>466</v>
      </c>
      <c r="D36" s="83">
        <f>D22*0.1</f>
        <v>466</v>
      </c>
      <c r="E36" s="240"/>
      <c r="F36" s="83">
        <f>F22*0.1</f>
        <v>466</v>
      </c>
      <c r="G36" s="83">
        <f>G22*0.1</f>
        <v>466</v>
      </c>
      <c r="H36" s="83">
        <f>H22*0.1</f>
        <v>466</v>
      </c>
      <c r="I36" s="240"/>
      <c r="J36" s="83">
        <f>J22*0.1</f>
        <v>466</v>
      </c>
      <c r="K36" s="83">
        <f>K22*0.1</f>
        <v>466</v>
      </c>
      <c r="L36" s="83">
        <f>L22*0.1</f>
        <v>466</v>
      </c>
      <c r="M36" s="240"/>
      <c r="N36" s="83">
        <f>N22*0.1</f>
        <v>416</v>
      </c>
      <c r="O36" s="83">
        <f>O22*0.1</f>
        <v>466</v>
      </c>
      <c r="P36" s="83">
        <f>P22*0.1</f>
        <v>466</v>
      </c>
      <c r="Q36" s="240"/>
      <c r="R36" s="136"/>
      <c r="S36" s="34"/>
    </row>
    <row r="37" spans="1:19" s="35" customFormat="1" ht="15" customHeight="1">
      <c r="A37" s="40" t="s">
        <v>73</v>
      </c>
      <c r="B37" s="105" t="s">
        <v>242</v>
      </c>
      <c r="C37" s="105" t="s">
        <v>242</v>
      </c>
      <c r="D37" s="105" t="s">
        <v>242</v>
      </c>
      <c r="E37" s="236"/>
      <c r="F37" s="105" t="s">
        <v>242</v>
      </c>
      <c r="G37" s="105" t="s">
        <v>242</v>
      </c>
      <c r="H37" s="105" t="s">
        <v>242</v>
      </c>
      <c r="I37" s="236"/>
      <c r="J37" s="105" t="s">
        <v>242</v>
      </c>
      <c r="K37" s="105" t="s">
        <v>254</v>
      </c>
      <c r="L37" s="105" t="s">
        <v>242</v>
      </c>
      <c r="M37" s="236"/>
      <c r="N37" s="55">
        <v>1</v>
      </c>
      <c r="O37" s="55">
        <v>1</v>
      </c>
      <c r="P37" s="105" t="s">
        <v>242</v>
      </c>
      <c r="Q37" s="236"/>
      <c r="R37" s="133"/>
      <c r="S37" s="34"/>
    </row>
    <row r="38" spans="1:19" s="22" customFormat="1" ht="15" customHeight="1">
      <c r="A38" s="66" t="s">
        <v>74</v>
      </c>
      <c r="B38" s="81">
        <f>B37*B36</f>
        <v>466</v>
      </c>
      <c r="C38" s="81">
        <f>C37*C36</f>
        <v>466</v>
      </c>
      <c r="D38" s="81">
        <f>D37*D36</f>
        <v>466</v>
      </c>
      <c r="E38" s="239"/>
      <c r="F38" s="81">
        <f>F37*F36</f>
        <v>466</v>
      </c>
      <c r="G38" s="81">
        <f>G37*G36</f>
        <v>466</v>
      </c>
      <c r="H38" s="81">
        <f>H37*H36</f>
        <v>466</v>
      </c>
      <c r="I38" s="239"/>
      <c r="J38" s="81">
        <f>J37*J36</f>
        <v>466</v>
      </c>
      <c r="K38" s="81">
        <f>K37*K36</f>
        <v>0</v>
      </c>
      <c r="L38" s="81">
        <f>L37*L36</f>
        <v>466</v>
      </c>
      <c r="M38" s="239"/>
      <c r="N38" s="81">
        <f>N37*N36</f>
        <v>416</v>
      </c>
      <c r="O38" s="81">
        <f>O37*O36</f>
        <v>466</v>
      </c>
      <c r="P38" s="81">
        <f>P37*P36</f>
        <v>466</v>
      </c>
      <c r="Q38" s="239"/>
      <c r="R38" s="140"/>
      <c r="S38" s="14"/>
    </row>
    <row r="39" spans="1:19" s="43" customFormat="1" ht="15" customHeight="1">
      <c r="A39" s="56" t="s">
        <v>78</v>
      </c>
      <c r="B39" s="84">
        <f>B34+B28+B38</f>
        <v>2330</v>
      </c>
      <c r="C39" s="84">
        <f>C34+C28+C38</f>
        <v>2330</v>
      </c>
      <c r="D39" s="84">
        <f>D34+D28+D38</f>
        <v>2330</v>
      </c>
      <c r="E39" s="241"/>
      <c r="F39" s="84">
        <f>F34+F28+F38</f>
        <v>2330</v>
      </c>
      <c r="G39" s="84">
        <f>G34+G28+G38</f>
        <v>2330</v>
      </c>
      <c r="H39" s="84">
        <f>H34+H28+H38</f>
        <v>1631</v>
      </c>
      <c r="I39" s="241"/>
      <c r="J39" s="84">
        <f>J34+J28+J38</f>
        <v>2330</v>
      </c>
      <c r="K39" s="84">
        <f>K34+K28+K38</f>
        <v>1631</v>
      </c>
      <c r="L39" s="84">
        <f>L34+L28+L38</f>
        <v>1398</v>
      </c>
      <c r="M39" s="241"/>
      <c r="N39" s="84">
        <f>N34+N28+N38</f>
        <v>2080</v>
      </c>
      <c r="O39" s="84">
        <f>O34+O28+O38</f>
        <v>2330</v>
      </c>
      <c r="P39" s="84">
        <f>P34+P28+P38</f>
        <v>2330</v>
      </c>
      <c r="Q39" s="241"/>
      <c r="R39" s="141"/>
      <c r="S39" s="17"/>
    </row>
    <row r="40" spans="1:19" s="35" customFormat="1" ht="15" customHeight="1">
      <c r="A40" s="132" t="s">
        <v>162</v>
      </c>
      <c r="B40" s="586">
        <f>D5</f>
        <v>200000</v>
      </c>
      <c r="C40" s="587"/>
      <c r="D40" s="587"/>
      <c r="E40" s="574"/>
      <c r="F40" s="586">
        <f>H5</f>
        <v>180000</v>
      </c>
      <c r="G40" s="587"/>
      <c r="H40" s="587"/>
      <c r="I40" s="574"/>
      <c r="J40" s="586">
        <f>L5</f>
        <v>193000</v>
      </c>
      <c r="K40" s="587"/>
      <c r="L40" s="587"/>
      <c r="M40" s="574"/>
      <c r="N40" s="586">
        <f>P5</f>
        <v>200000</v>
      </c>
      <c r="O40" s="587"/>
      <c r="P40" s="587"/>
      <c r="Q40" s="574"/>
      <c r="R40" s="136"/>
      <c r="S40" s="34"/>
    </row>
    <row r="41" spans="1:19" s="48" customFormat="1" ht="15" customHeight="1">
      <c r="A41" s="134" t="s">
        <v>80</v>
      </c>
      <c r="B41" s="580">
        <f>D7</f>
        <v>196411.38990000001</v>
      </c>
      <c r="C41" s="581"/>
      <c r="D41" s="581"/>
      <c r="E41" s="574"/>
      <c r="F41" s="580">
        <f>H7</f>
        <v>164899.21449999991</v>
      </c>
      <c r="G41" s="581"/>
      <c r="H41" s="581"/>
      <c r="I41" s="574"/>
      <c r="J41" s="580">
        <f>L7</f>
        <v>154987.78889999999</v>
      </c>
      <c r="K41" s="581"/>
      <c r="L41" s="581"/>
      <c r="M41" s="574"/>
      <c r="N41" s="580">
        <f>P7</f>
        <v>200442.93670000002</v>
      </c>
      <c r="O41" s="581"/>
      <c r="P41" s="581"/>
      <c r="Q41" s="574"/>
      <c r="R41" s="136"/>
      <c r="S41" s="47"/>
    </row>
    <row r="42" spans="1:19" s="38" customFormat="1" ht="15" customHeight="1">
      <c r="A42" s="134" t="s">
        <v>79</v>
      </c>
      <c r="B42" s="582">
        <f>B41/B40</f>
        <v>0.9820569495</v>
      </c>
      <c r="C42" s="583"/>
      <c r="D42" s="583"/>
      <c r="E42" s="574"/>
      <c r="F42" s="582">
        <f>F41/F40</f>
        <v>0.91610674722222174</v>
      </c>
      <c r="G42" s="583"/>
      <c r="H42" s="583"/>
      <c r="I42" s="574"/>
      <c r="J42" s="582">
        <f>J41/J40</f>
        <v>0.80304553834196879</v>
      </c>
      <c r="K42" s="583"/>
      <c r="L42" s="583"/>
      <c r="M42" s="574"/>
      <c r="N42" s="582">
        <f>N41/N40</f>
        <v>1.0022146835000001</v>
      </c>
      <c r="O42" s="583"/>
      <c r="P42" s="583"/>
      <c r="Q42" s="574"/>
      <c r="R42" s="142"/>
      <c r="S42" s="30"/>
    </row>
    <row r="43" spans="1:19" s="38" customFormat="1" ht="15" customHeight="1">
      <c r="A43" s="134" t="s">
        <v>76</v>
      </c>
      <c r="B43" s="572">
        <f>D22</f>
        <v>4660</v>
      </c>
      <c r="C43" s="573"/>
      <c r="D43" s="573"/>
      <c r="E43" s="574"/>
      <c r="F43" s="572">
        <f>H22</f>
        <v>4660</v>
      </c>
      <c r="G43" s="573"/>
      <c r="H43" s="573"/>
      <c r="I43" s="574"/>
      <c r="J43" s="572">
        <f>L22</f>
        <v>4660</v>
      </c>
      <c r="K43" s="573"/>
      <c r="L43" s="573"/>
      <c r="M43" s="574"/>
      <c r="N43" s="572">
        <f>P22</f>
        <v>4660</v>
      </c>
      <c r="O43" s="573"/>
      <c r="P43" s="573"/>
      <c r="Q43" s="574"/>
      <c r="R43" s="136"/>
      <c r="S43" s="30"/>
    </row>
    <row r="44" spans="1:19" s="21" customFormat="1" ht="15" customHeight="1">
      <c r="A44" s="88" t="s">
        <v>77</v>
      </c>
      <c r="B44" s="575">
        <f>IF(B42&lt;100%,0,IF(B42&lt;110%,0.5,IF(B42&lt;120%,0.7,1)))</f>
        <v>0</v>
      </c>
      <c r="C44" s="576"/>
      <c r="D44" s="576"/>
      <c r="E44" s="577"/>
      <c r="F44" s="575">
        <f>IF(F42&lt;100%,0,IF(F42&lt;110%,0.5,IF(F42&lt;120%,0.7,1)))</f>
        <v>0</v>
      </c>
      <c r="G44" s="576"/>
      <c r="H44" s="576"/>
      <c r="I44" s="577"/>
      <c r="J44" s="575">
        <f>IF(J42&lt;100%,0,IF(J42&lt;110%,0.5,IF(J42&lt;120%,0.7,1)))</f>
        <v>0</v>
      </c>
      <c r="K44" s="576"/>
      <c r="L44" s="576"/>
      <c r="M44" s="577"/>
      <c r="N44" s="575">
        <f>IF(N42&lt;100%,0,IF(N42&lt;110%,0.5,IF(N42&lt;120%,0.7,1)))</f>
        <v>0.5</v>
      </c>
      <c r="O44" s="576"/>
      <c r="P44" s="576"/>
      <c r="Q44" s="577"/>
      <c r="R44" s="143"/>
      <c r="S44" s="12"/>
    </row>
    <row r="45" spans="1:19" s="21" customFormat="1" ht="15" customHeight="1">
      <c r="A45" s="56" t="s">
        <v>75</v>
      </c>
      <c r="B45" s="578">
        <f>B44*B43</f>
        <v>0</v>
      </c>
      <c r="C45" s="579"/>
      <c r="D45" s="579"/>
      <c r="E45" s="577"/>
      <c r="F45" s="578">
        <f>F44*F43</f>
        <v>0</v>
      </c>
      <c r="G45" s="579"/>
      <c r="H45" s="579"/>
      <c r="I45" s="577"/>
      <c r="J45" s="578">
        <f>J44*J43</f>
        <v>0</v>
      </c>
      <c r="K45" s="579"/>
      <c r="L45" s="579"/>
      <c r="M45" s="577"/>
      <c r="N45" s="578">
        <f>N44*N43</f>
        <v>2330</v>
      </c>
      <c r="O45" s="579"/>
      <c r="P45" s="579"/>
      <c r="Q45" s="577"/>
      <c r="R45" s="144"/>
      <c r="S45" s="12"/>
    </row>
    <row r="46" spans="1:19" s="21" customFormat="1" ht="15" customHeight="1">
      <c r="A46" s="63"/>
      <c r="B46" s="64"/>
      <c r="C46" s="64"/>
      <c r="D46" s="64"/>
      <c r="E46" s="146"/>
      <c r="F46" s="64"/>
      <c r="G46" s="64"/>
      <c r="H46" s="64"/>
      <c r="I46" s="146"/>
      <c r="J46" s="64"/>
      <c r="K46" s="64"/>
      <c r="L46" s="64"/>
      <c r="M46" s="146"/>
      <c r="N46" s="64"/>
      <c r="O46" s="64"/>
      <c r="P46" s="64"/>
      <c r="Q46" s="146"/>
      <c r="R46" s="147"/>
      <c r="S46" s="12"/>
    </row>
    <row r="47" spans="1:19" s="21" customFormat="1" ht="15" customHeight="1">
      <c r="A47" s="208" t="s">
        <v>27</v>
      </c>
      <c r="B47" s="114" t="s">
        <v>10</v>
      </c>
      <c r="C47" s="114" t="s">
        <v>11</v>
      </c>
      <c r="D47" s="114" t="s">
        <v>12</v>
      </c>
      <c r="E47" s="223" t="s">
        <v>165</v>
      </c>
      <c r="F47" s="114" t="s">
        <v>7</v>
      </c>
      <c r="G47" s="114" t="s">
        <v>8</v>
      </c>
      <c r="H47" s="114" t="s">
        <v>9</v>
      </c>
      <c r="I47" s="223" t="s">
        <v>164</v>
      </c>
      <c r="J47" s="114" t="s">
        <v>4</v>
      </c>
      <c r="K47" s="114" t="s">
        <v>5</v>
      </c>
      <c r="L47" s="114" t="s">
        <v>6</v>
      </c>
      <c r="M47" s="223" t="s">
        <v>163</v>
      </c>
      <c r="N47" s="114" t="s">
        <v>1</v>
      </c>
      <c r="O47" s="114" t="s">
        <v>2</v>
      </c>
      <c r="P47" s="114" t="s">
        <v>3</v>
      </c>
      <c r="Q47" s="223" t="s">
        <v>152</v>
      </c>
      <c r="R47" s="114" t="s">
        <v>166</v>
      </c>
      <c r="S47" s="12"/>
    </row>
    <row r="48" spans="1:19" s="21" customFormat="1" ht="15" customHeight="1">
      <c r="A48" s="148" t="s">
        <v>36</v>
      </c>
      <c r="B48" s="115"/>
      <c r="C48" s="115"/>
      <c r="D48" s="115"/>
      <c r="E48" s="224">
        <f>SUM(B48:D48)</f>
        <v>0</v>
      </c>
      <c r="F48" s="115"/>
      <c r="G48" s="115"/>
      <c r="H48" s="115"/>
      <c r="I48" s="224">
        <f>SUM(F48:H48)</f>
        <v>0</v>
      </c>
      <c r="J48" s="115"/>
      <c r="K48" s="115"/>
      <c r="L48" s="115"/>
      <c r="M48" s="224">
        <f>SUM(J48:L48)</f>
        <v>0</v>
      </c>
      <c r="N48" s="115"/>
      <c r="O48" s="115"/>
      <c r="P48" s="115"/>
      <c r="Q48" s="224">
        <f>SUM(N48:P48)</f>
        <v>0</v>
      </c>
      <c r="R48" s="116">
        <f t="shared" ref="R48:R61" si="12">Q48+M48+I48+E48</f>
        <v>0</v>
      </c>
      <c r="S48" s="12"/>
    </row>
    <row r="49" spans="1:19" s="21" customFormat="1" ht="15" customHeight="1">
      <c r="A49" s="148" t="s">
        <v>37</v>
      </c>
      <c r="B49" s="115">
        <v>1</v>
      </c>
      <c r="C49" s="115">
        <v>1</v>
      </c>
      <c r="D49" s="115"/>
      <c r="E49" s="224">
        <f t="shared" ref="E49:E61" si="13">SUM(B49:D49)</f>
        <v>2</v>
      </c>
      <c r="F49" s="115">
        <v>3</v>
      </c>
      <c r="G49" s="115"/>
      <c r="H49" s="115"/>
      <c r="I49" s="224">
        <f t="shared" ref="I49:I61" si="14">SUM(F49:H49)</f>
        <v>3</v>
      </c>
      <c r="J49" s="115"/>
      <c r="K49" s="115"/>
      <c r="L49" s="115"/>
      <c r="M49" s="224">
        <f t="shared" ref="M49:M61" si="15">SUM(J49:L49)</f>
        <v>0</v>
      </c>
      <c r="N49" s="115">
        <v>1</v>
      </c>
      <c r="O49" s="115"/>
      <c r="P49" s="115"/>
      <c r="Q49" s="224">
        <f t="shared" ref="Q49:Q61" si="16">SUM(N49:P49)</f>
        <v>1</v>
      </c>
      <c r="R49" s="116">
        <f t="shared" si="12"/>
        <v>6</v>
      </c>
      <c r="S49" s="12"/>
    </row>
    <row r="50" spans="1:19" s="21" customFormat="1" ht="15" customHeight="1">
      <c r="A50" s="148" t="s">
        <v>81</v>
      </c>
      <c r="B50" s="115"/>
      <c r="C50" s="115"/>
      <c r="D50" s="115"/>
      <c r="E50" s="224">
        <f t="shared" si="13"/>
        <v>0</v>
      </c>
      <c r="F50" s="115"/>
      <c r="G50" s="115"/>
      <c r="H50" s="115"/>
      <c r="I50" s="224">
        <f t="shared" si="14"/>
        <v>0</v>
      </c>
      <c r="J50" s="115"/>
      <c r="K50" s="115"/>
      <c r="L50" s="115"/>
      <c r="M50" s="224">
        <f t="shared" si="15"/>
        <v>0</v>
      </c>
      <c r="N50" s="115"/>
      <c r="O50" s="115"/>
      <c r="P50" s="115"/>
      <c r="Q50" s="224">
        <f t="shared" si="16"/>
        <v>0</v>
      </c>
      <c r="R50" s="116">
        <f t="shared" si="12"/>
        <v>0</v>
      </c>
      <c r="S50" s="12"/>
    </row>
    <row r="51" spans="1:19" s="53" customFormat="1" ht="15" customHeight="1">
      <c r="A51" s="148" t="s">
        <v>38</v>
      </c>
      <c r="B51" s="115"/>
      <c r="C51" s="115"/>
      <c r="D51" s="115"/>
      <c r="E51" s="224">
        <f t="shared" si="13"/>
        <v>0</v>
      </c>
      <c r="F51" s="115"/>
      <c r="G51" s="115"/>
      <c r="H51" s="115"/>
      <c r="I51" s="224">
        <f t="shared" si="14"/>
        <v>0</v>
      </c>
      <c r="J51" s="115"/>
      <c r="K51" s="115"/>
      <c r="L51" s="115">
        <v>6</v>
      </c>
      <c r="M51" s="224">
        <f t="shared" si="15"/>
        <v>6</v>
      </c>
      <c r="N51" s="115">
        <v>1</v>
      </c>
      <c r="O51" s="115"/>
      <c r="P51" s="115"/>
      <c r="Q51" s="224">
        <f t="shared" si="16"/>
        <v>1</v>
      </c>
      <c r="R51" s="116">
        <f t="shared" si="12"/>
        <v>7</v>
      </c>
    </row>
    <row r="52" spans="1:19" s="53" customFormat="1" ht="15" customHeight="1">
      <c r="A52" s="148" t="s">
        <v>23</v>
      </c>
      <c r="B52" s="115"/>
      <c r="C52" s="115"/>
      <c r="D52" s="115"/>
      <c r="E52" s="224">
        <f t="shared" si="13"/>
        <v>0</v>
      </c>
      <c r="F52" s="115"/>
      <c r="G52" s="115"/>
      <c r="H52" s="115"/>
      <c r="I52" s="224">
        <f t="shared" si="14"/>
        <v>0</v>
      </c>
      <c r="J52" s="115"/>
      <c r="K52" s="115"/>
      <c r="L52" s="115"/>
      <c r="M52" s="224">
        <f t="shared" si="15"/>
        <v>0</v>
      </c>
      <c r="N52" s="115"/>
      <c r="O52" s="115"/>
      <c r="P52" s="115"/>
      <c r="Q52" s="224">
        <f t="shared" si="16"/>
        <v>0</v>
      </c>
      <c r="R52" s="116">
        <f t="shared" si="12"/>
        <v>0</v>
      </c>
    </row>
    <row r="53" spans="1:19" s="53" customFormat="1" ht="15" customHeight="1">
      <c r="A53" s="148" t="s">
        <v>29</v>
      </c>
      <c r="B53" s="115"/>
      <c r="C53" s="115"/>
      <c r="D53" s="115"/>
      <c r="E53" s="224">
        <f t="shared" si="13"/>
        <v>0</v>
      </c>
      <c r="F53" s="115"/>
      <c r="G53" s="115"/>
      <c r="H53" s="115"/>
      <c r="I53" s="224">
        <f t="shared" si="14"/>
        <v>0</v>
      </c>
      <c r="J53" s="115"/>
      <c r="K53" s="115"/>
      <c r="L53" s="115"/>
      <c r="M53" s="224">
        <f t="shared" si="15"/>
        <v>0</v>
      </c>
      <c r="N53" s="115"/>
      <c r="O53" s="115"/>
      <c r="P53" s="115"/>
      <c r="Q53" s="224">
        <f t="shared" si="16"/>
        <v>0</v>
      </c>
      <c r="R53" s="116">
        <f t="shared" si="12"/>
        <v>0</v>
      </c>
    </row>
    <row r="54" spans="1:19" s="53" customFormat="1" ht="15" customHeight="1">
      <c r="A54" s="148" t="s">
        <v>24</v>
      </c>
      <c r="B54" s="115"/>
      <c r="C54" s="115"/>
      <c r="D54" s="115"/>
      <c r="E54" s="224">
        <f t="shared" si="13"/>
        <v>0</v>
      </c>
      <c r="F54" s="115">
        <v>1</v>
      </c>
      <c r="G54" s="115"/>
      <c r="H54" s="115"/>
      <c r="I54" s="224">
        <f t="shared" si="14"/>
        <v>1</v>
      </c>
      <c r="J54" s="115"/>
      <c r="K54" s="115">
        <v>1</v>
      </c>
      <c r="L54" s="115"/>
      <c r="M54" s="224">
        <f t="shared" si="15"/>
        <v>1</v>
      </c>
      <c r="N54" s="115"/>
      <c r="O54" s="115"/>
      <c r="P54" s="115"/>
      <c r="Q54" s="224">
        <f t="shared" si="16"/>
        <v>0</v>
      </c>
      <c r="R54" s="116">
        <f t="shared" si="12"/>
        <v>2</v>
      </c>
    </row>
    <row r="55" spans="1:19" s="53" customFormat="1" ht="15" customHeight="1">
      <c r="A55" s="148" t="s">
        <v>28</v>
      </c>
      <c r="B55" s="115"/>
      <c r="C55" s="115"/>
      <c r="D55" s="115"/>
      <c r="E55" s="224">
        <f t="shared" si="13"/>
        <v>0</v>
      </c>
      <c r="F55" s="115"/>
      <c r="G55" s="115"/>
      <c r="H55" s="115"/>
      <c r="I55" s="224">
        <f t="shared" si="14"/>
        <v>0</v>
      </c>
      <c r="J55" s="115"/>
      <c r="K55" s="115"/>
      <c r="L55" s="115"/>
      <c r="M55" s="224">
        <f t="shared" si="15"/>
        <v>0</v>
      </c>
      <c r="N55" s="115"/>
      <c r="O55" s="115"/>
      <c r="P55" s="115"/>
      <c r="Q55" s="224">
        <f t="shared" si="16"/>
        <v>0</v>
      </c>
      <c r="R55" s="116">
        <f t="shared" si="12"/>
        <v>0</v>
      </c>
    </row>
    <row r="56" spans="1:19" ht="15" customHeight="1">
      <c r="A56" s="148" t="s">
        <v>200</v>
      </c>
      <c r="B56" s="115"/>
      <c r="C56" s="115"/>
      <c r="D56" s="115"/>
      <c r="E56" s="224">
        <f t="shared" si="13"/>
        <v>0</v>
      </c>
      <c r="F56" s="115"/>
      <c r="G56" s="115"/>
      <c r="H56" s="115"/>
      <c r="I56" s="224">
        <f t="shared" si="14"/>
        <v>0</v>
      </c>
      <c r="J56" s="115"/>
      <c r="K56" s="115"/>
      <c r="L56" s="115"/>
      <c r="M56" s="224">
        <f t="shared" si="15"/>
        <v>0</v>
      </c>
      <c r="N56" s="115"/>
      <c r="O56" s="115"/>
      <c r="P56" s="115"/>
      <c r="Q56" s="224">
        <f t="shared" si="16"/>
        <v>0</v>
      </c>
      <c r="R56" s="116">
        <f t="shared" si="12"/>
        <v>0</v>
      </c>
      <c r="S56" s="21"/>
    </row>
    <row r="57" spans="1:19" ht="15" customHeight="1">
      <c r="A57" s="148" t="s">
        <v>221</v>
      </c>
      <c r="B57" s="115"/>
      <c r="C57" s="115"/>
      <c r="D57" s="115">
        <v>1</v>
      </c>
      <c r="E57" s="224">
        <f t="shared" ref="E57" si="17">SUM(B57:D57)</f>
        <v>1</v>
      </c>
      <c r="F57" s="115"/>
      <c r="G57" s="115"/>
      <c r="H57" s="115"/>
      <c r="I57" s="224">
        <f t="shared" ref="I57" si="18">SUM(F57:H57)</f>
        <v>0</v>
      </c>
      <c r="J57" s="115">
        <v>6</v>
      </c>
      <c r="K57" s="115"/>
      <c r="L57" s="115"/>
      <c r="M57" s="224">
        <f t="shared" ref="M57" si="19">SUM(J57:L57)</f>
        <v>6</v>
      </c>
      <c r="N57" s="115"/>
      <c r="O57" s="115"/>
      <c r="P57" s="115">
        <v>2</v>
      </c>
      <c r="Q57" s="224">
        <f t="shared" ref="Q57" si="20">SUM(N57:P57)</f>
        <v>2</v>
      </c>
      <c r="R57" s="116">
        <f t="shared" si="12"/>
        <v>9</v>
      </c>
      <c r="S57" s="21"/>
    </row>
    <row r="58" spans="1:19" s="53" customFormat="1" ht="15" customHeight="1">
      <c r="A58" s="148" t="s">
        <v>25</v>
      </c>
      <c r="B58" s="115"/>
      <c r="C58" s="115"/>
      <c r="D58" s="115"/>
      <c r="E58" s="224">
        <f t="shared" si="13"/>
        <v>0</v>
      </c>
      <c r="F58" s="115"/>
      <c r="G58" s="115"/>
      <c r="H58" s="115"/>
      <c r="I58" s="224">
        <f t="shared" si="14"/>
        <v>0</v>
      </c>
      <c r="J58" s="115"/>
      <c r="K58" s="115"/>
      <c r="L58" s="115"/>
      <c r="M58" s="224">
        <f t="shared" si="15"/>
        <v>0</v>
      </c>
      <c r="N58" s="115"/>
      <c r="O58" s="115"/>
      <c r="P58" s="115"/>
      <c r="Q58" s="224">
        <f t="shared" si="16"/>
        <v>0</v>
      </c>
      <c r="R58" s="116">
        <f t="shared" si="12"/>
        <v>0</v>
      </c>
    </row>
    <row r="59" spans="1:19" s="53" customFormat="1" ht="15" customHeight="1">
      <c r="A59" s="148" t="s">
        <v>82</v>
      </c>
      <c r="B59" s="115"/>
      <c r="C59" s="115"/>
      <c r="D59" s="115"/>
      <c r="E59" s="224">
        <f t="shared" si="13"/>
        <v>0</v>
      </c>
      <c r="F59" s="115"/>
      <c r="G59" s="115"/>
      <c r="H59" s="115"/>
      <c r="I59" s="224">
        <f t="shared" si="14"/>
        <v>0</v>
      </c>
      <c r="J59" s="115"/>
      <c r="K59" s="115"/>
      <c r="L59" s="115"/>
      <c r="M59" s="224">
        <f t="shared" si="15"/>
        <v>0</v>
      </c>
      <c r="N59" s="115"/>
      <c r="O59" s="115"/>
      <c r="P59" s="115"/>
      <c r="Q59" s="224">
        <f t="shared" si="16"/>
        <v>0</v>
      </c>
      <c r="R59" s="116">
        <f t="shared" si="12"/>
        <v>0</v>
      </c>
    </row>
    <row r="60" spans="1:19" s="53" customFormat="1" ht="15" customHeight="1">
      <c r="A60" s="148" t="s">
        <v>35</v>
      </c>
      <c r="B60" s="115"/>
      <c r="C60" s="115"/>
      <c r="D60" s="115"/>
      <c r="E60" s="224">
        <f t="shared" si="13"/>
        <v>0</v>
      </c>
      <c r="F60" s="115"/>
      <c r="G60" s="115"/>
      <c r="H60" s="115"/>
      <c r="I60" s="224">
        <f t="shared" si="14"/>
        <v>0</v>
      </c>
      <c r="J60" s="115"/>
      <c r="K60" s="115"/>
      <c r="L60" s="115"/>
      <c r="M60" s="224">
        <f t="shared" si="15"/>
        <v>0</v>
      </c>
      <c r="N60" s="115"/>
      <c r="O60" s="115">
        <v>1</v>
      </c>
      <c r="P60" s="115">
        <v>1</v>
      </c>
      <c r="Q60" s="224">
        <f t="shared" si="16"/>
        <v>2</v>
      </c>
      <c r="R60" s="116">
        <f t="shared" si="12"/>
        <v>2</v>
      </c>
    </row>
    <row r="61" spans="1:19" s="53" customFormat="1" ht="15" customHeight="1">
      <c r="A61" s="148" t="s">
        <v>26</v>
      </c>
      <c r="B61" s="115">
        <f>SUM(B48:B60)</f>
        <v>1</v>
      </c>
      <c r="C61" s="115">
        <f>SUM(C48:C60)</f>
        <v>1</v>
      </c>
      <c r="D61" s="115">
        <f>SUM(D48:D60)</f>
        <v>1</v>
      </c>
      <c r="E61" s="224">
        <f t="shared" si="13"/>
        <v>3</v>
      </c>
      <c r="F61" s="115">
        <f>SUM(F48:F60)</f>
        <v>4</v>
      </c>
      <c r="G61" s="115">
        <f>SUM(G48:G60)</f>
        <v>0</v>
      </c>
      <c r="H61" s="115">
        <f>SUM(H48:H60)</f>
        <v>0</v>
      </c>
      <c r="I61" s="224">
        <f t="shared" si="14"/>
        <v>4</v>
      </c>
      <c r="J61" s="115">
        <f>SUM(J48:J60)</f>
        <v>6</v>
      </c>
      <c r="K61" s="115">
        <f>SUM(K48:K60)</f>
        <v>1</v>
      </c>
      <c r="L61" s="115">
        <f>SUM(L48:L60)</f>
        <v>6</v>
      </c>
      <c r="M61" s="224">
        <f t="shared" si="15"/>
        <v>13</v>
      </c>
      <c r="N61" s="115">
        <f>SUM(N48:N60)</f>
        <v>2</v>
      </c>
      <c r="O61" s="115">
        <f>SUM(O48:O60)</f>
        <v>1</v>
      </c>
      <c r="P61" s="115">
        <f>SUM(P48:P60)</f>
        <v>3</v>
      </c>
      <c r="Q61" s="224">
        <f t="shared" si="16"/>
        <v>6</v>
      </c>
      <c r="R61" s="116">
        <f t="shared" si="12"/>
        <v>26</v>
      </c>
    </row>
    <row r="62" spans="1:19" s="12" customFormat="1" ht="18" customHeight="1" thickBot="1">
      <c r="A62" s="149"/>
      <c r="B62" s="150"/>
      <c r="C62" s="150"/>
      <c r="D62" s="150"/>
      <c r="E62" s="150"/>
      <c r="F62" s="150"/>
      <c r="G62" s="150"/>
      <c r="H62" s="150"/>
      <c r="I62" s="150"/>
      <c r="J62" s="150"/>
      <c r="K62" s="150"/>
      <c r="L62" s="150"/>
      <c r="M62" s="150"/>
      <c r="N62" s="150"/>
      <c r="O62" s="150"/>
      <c r="P62" s="150"/>
      <c r="Q62" s="150"/>
      <c r="R62" s="150"/>
    </row>
    <row r="63" spans="1:19" ht="13.5" thickBot="1">
      <c r="A63" s="177" t="s">
        <v>109</v>
      </c>
      <c r="B63" s="178" t="s">
        <v>110</v>
      </c>
      <c r="C63" s="178" t="s">
        <v>11</v>
      </c>
      <c r="D63" s="178" t="s">
        <v>12</v>
      </c>
      <c r="E63" s="178" t="s">
        <v>165</v>
      </c>
      <c r="F63" s="178" t="s">
        <v>7</v>
      </c>
      <c r="G63" s="178" t="s">
        <v>8</v>
      </c>
      <c r="H63" s="178" t="s">
        <v>9</v>
      </c>
      <c r="I63" s="178" t="s">
        <v>164</v>
      </c>
      <c r="J63" s="178" t="s">
        <v>4</v>
      </c>
      <c r="K63" s="178" t="s">
        <v>5</v>
      </c>
      <c r="L63" s="178" t="s">
        <v>6</v>
      </c>
      <c r="M63" s="178" t="s">
        <v>163</v>
      </c>
      <c r="N63" s="178" t="s">
        <v>1</v>
      </c>
      <c r="O63" s="178" t="s">
        <v>2</v>
      </c>
      <c r="P63" s="178" t="s">
        <v>3</v>
      </c>
      <c r="Q63" s="167" t="s">
        <v>173</v>
      </c>
      <c r="R63" s="167" t="s">
        <v>111</v>
      </c>
    </row>
    <row r="64" spans="1:19" ht="13.5" thickTop="1">
      <c r="A64" s="179" t="s">
        <v>112</v>
      </c>
      <c r="B64" s="512">
        <v>0</v>
      </c>
      <c r="C64" s="512">
        <v>2</v>
      </c>
      <c r="D64" s="512">
        <v>1</v>
      </c>
      <c r="E64" s="256">
        <f>SUM(B64:D64)</f>
        <v>3</v>
      </c>
      <c r="F64" s="170">
        <v>2</v>
      </c>
      <c r="G64" s="170">
        <v>0</v>
      </c>
      <c r="H64" s="170">
        <v>2</v>
      </c>
      <c r="I64" s="256">
        <f>SUM(F64:H64)</f>
        <v>4</v>
      </c>
      <c r="J64" s="170">
        <v>0</v>
      </c>
      <c r="K64" s="170">
        <v>0</v>
      </c>
      <c r="L64" s="170">
        <v>1</v>
      </c>
      <c r="M64" s="256">
        <f>SUM(J64:L64)</f>
        <v>1</v>
      </c>
      <c r="N64" s="170">
        <v>1</v>
      </c>
      <c r="O64" s="170">
        <v>0</v>
      </c>
      <c r="P64" s="170">
        <v>1</v>
      </c>
      <c r="Q64" s="256">
        <f>SUM(N64:P64)</f>
        <v>2</v>
      </c>
      <c r="R64" s="256">
        <f>Q64+M64+I64+E64</f>
        <v>10</v>
      </c>
      <c r="S64" s="69"/>
    </row>
    <row r="65" spans="1:19">
      <c r="A65" s="180" t="s">
        <v>113</v>
      </c>
      <c r="B65" s="507">
        <v>1</v>
      </c>
      <c r="C65" s="507">
        <v>0</v>
      </c>
      <c r="D65" s="507">
        <v>0</v>
      </c>
      <c r="E65" s="256">
        <f>SUM(B65:D65)</f>
        <v>1</v>
      </c>
      <c r="F65" s="171">
        <v>0</v>
      </c>
      <c r="G65" s="171">
        <v>0</v>
      </c>
      <c r="H65" s="171">
        <v>0</v>
      </c>
      <c r="I65" s="256">
        <f>SUM(F65:H65)</f>
        <v>0</v>
      </c>
      <c r="J65" s="171">
        <v>0</v>
      </c>
      <c r="K65" s="171">
        <v>0</v>
      </c>
      <c r="L65" s="171">
        <v>0</v>
      </c>
      <c r="M65" s="256">
        <f>SUM(J65:L65)</f>
        <v>0</v>
      </c>
      <c r="N65" s="171">
        <v>0</v>
      </c>
      <c r="O65" s="171">
        <v>0</v>
      </c>
      <c r="P65" s="171">
        <v>0</v>
      </c>
      <c r="Q65" s="256">
        <f>SUM(N65:P65)</f>
        <v>0</v>
      </c>
      <c r="R65" s="256">
        <f>Q65+M65+I65+E65</f>
        <v>1</v>
      </c>
      <c r="S65" s="69"/>
    </row>
    <row r="66" spans="1:19">
      <c r="A66" s="180" t="s">
        <v>114</v>
      </c>
      <c r="B66" s="507">
        <v>59</v>
      </c>
      <c r="C66" s="507">
        <v>61</v>
      </c>
      <c r="D66" s="507">
        <v>62</v>
      </c>
      <c r="E66" s="257"/>
      <c r="F66" s="171">
        <v>56</v>
      </c>
      <c r="G66" s="171">
        <v>56</v>
      </c>
      <c r="H66" s="171">
        <v>58</v>
      </c>
      <c r="I66" s="257"/>
      <c r="J66" s="171">
        <v>53</v>
      </c>
      <c r="K66" s="171">
        <v>53</v>
      </c>
      <c r="L66" s="171">
        <v>54</v>
      </c>
      <c r="M66" s="257"/>
      <c r="N66" s="171">
        <v>51</v>
      </c>
      <c r="O66" s="171">
        <v>52</v>
      </c>
      <c r="P66" s="171">
        <v>53</v>
      </c>
      <c r="Q66" s="257"/>
      <c r="R66" s="257"/>
      <c r="S66" s="69"/>
    </row>
    <row r="67" spans="1:19">
      <c r="A67" s="180" t="s">
        <v>115</v>
      </c>
      <c r="B67" s="507">
        <v>28</v>
      </c>
      <c r="C67" s="507">
        <v>30</v>
      </c>
      <c r="D67" s="507">
        <v>28</v>
      </c>
      <c r="E67" s="257"/>
      <c r="F67" s="171">
        <v>27</v>
      </c>
      <c r="G67" s="171">
        <v>27</v>
      </c>
      <c r="H67" s="171">
        <v>27</v>
      </c>
      <c r="I67" s="257"/>
      <c r="J67" s="171">
        <v>27</v>
      </c>
      <c r="K67" s="171">
        <v>28</v>
      </c>
      <c r="L67" s="171">
        <v>27</v>
      </c>
      <c r="M67" s="257"/>
      <c r="N67" s="171">
        <v>27</v>
      </c>
      <c r="O67" s="171">
        <v>27</v>
      </c>
      <c r="P67" s="171">
        <v>27</v>
      </c>
      <c r="Q67" s="257"/>
      <c r="R67" s="257"/>
      <c r="S67" s="69"/>
    </row>
    <row r="68" spans="1:19">
      <c r="A68" s="180" t="s">
        <v>172</v>
      </c>
      <c r="B68" s="507">
        <v>5</v>
      </c>
      <c r="C68" s="507">
        <v>5</v>
      </c>
      <c r="D68" s="507">
        <v>5</v>
      </c>
      <c r="E68" s="257"/>
      <c r="F68" s="171">
        <v>6</v>
      </c>
      <c r="G68" s="171">
        <v>5</v>
      </c>
      <c r="H68" s="171">
        <v>5</v>
      </c>
      <c r="I68" s="257"/>
      <c r="J68" s="171">
        <v>7</v>
      </c>
      <c r="K68" s="171">
        <v>8</v>
      </c>
      <c r="L68" s="171">
        <v>6</v>
      </c>
      <c r="M68" s="257"/>
      <c r="N68" s="171">
        <v>8</v>
      </c>
      <c r="O68" s="171">
        <v>7</v>
      </c>
      <c r="P68" s="171">
        <v>7</v>
      </c>
      <c r="Q68" s="257"/>
      <c r="R68" s="257"/>
      <c r="S68" s="69"/>
    </row>
    <row r="69" spans="1:19">
      <c r="A69" s="180" t="s">
        <v>116</v>
      </c>
      <c r="B69" s="513">
        <v>92</v>
      </c>
      <c r="C69" s="513">
        <v>96</v>
      </c>
      <c r="D69" s="513">
        <v>95</v>
      </c>
      <c r="E69" s="258"/>
      <c r="F69" s="181">
        <f t="shared" ref="F69:G69" si="21">SUM(F66:F68)</f>
        <v>89</v>
      </c>
      <c r="G69" s="181">
        <f t="shared" si="21"/>
        <v>88</v>
      </c>
      <c r="H69" s="181">
        <f t="shared" ref="H69" si="22">SUM(H66:H68)</f>
        <v>90</v>
      </c>
      <c r="I69" s="258"/>
      <c r="J69" s="181">
        <f t="shared" ref="J69:K69" si="23">SUM(J66:J68)</f>
        <v>87</v>
      </c>
      <c r="K69" s="181">
        <f t="shared" si="23"/>
        <v>89</v>
      </c>
      <c r="L69" s="181">
        <f t="shared" ref="L69" si="24">SUM(L66:L68)</f>
        <v>87</v>
      </c>
      <c r="M69" s="258"/>
      <c r="N69" s="181">
        <f t="shared" ref="N69:P69" si="25">SUM(N66:N68)</f>
        <v>86</v>
      </c>
      <c r="O69" s="181">
        <f t="shared" si="25"/>
        <v>86</v>
      </c>
      <c r="P69" s="181">
        <f t="shared" si="25"/>
        <v>87</v>
      </c>
      <c r="Q69" s="258"/>
      <c r="R69" s="258"/>
      <c r="S69" s="69"/>
    </row>
    <row r="70" spans="1:19" ht="13.5" thickBot="1">
      <c r="A70" s="182" t="s">
        <v>117</v>
      </c>
      <c r="B70" s="514">
        <v>1</v>
      </c>
      <c r="C70" s="514">
        <v>1</v>
      </c>
      <c r="D70" s="514">
        <v>1</v>
      </c>
      <c r="E70" s="256">
        <f>SUM(B70:D70)</f>
        <v>3</v>
      </c>
      <c r="F70" s="172">
        <v>4</v>
      </c>
      <c r="G70" s="172">
        <v>0</v>
      </c>
      <c r="H70" s="172">
        <v>0</v>
      </c>
      <c r="I70" s="256">
        <f>SUM(F70:H70)</f>
        <v>4</v>
      </c>
      <c r="J70" s="172">
        <v>6</v>
      </c>
      <c r="K70" s="172">
        <v>1</v>
      </c>
      <c r="L70" s="172">
        <v>6</v>
      </c>
      <c r="M70" s="256">
        <f>SUM(J70:L70)</f>
        <v>13</v>
      </c>
      <c r="N70" s="172">
        <v>2</v>
      </c>
      <c r="O70" s="172">
        <v>1</v>
      </c>
      <c r="P70" s="172">
        <v>3</v>
      </c>
      <c r="Q70" s="256">
        <f>SUM(N70:P70)</f>
        <v>6</v>
      </c>
      <c r="R70" s="256">
        <f>Q70+M70+I70+E70</f>
        <v>26</v>
      </c>
      <c r="S70" s="69"/>
    </row>
    <row r="71" spans="1:19" ht="13.5" thickTop="1">
      <c r="A71" s="183" t="s">
        <v>174</v>
      </c>
      <c r="B71" s="515">
        <v>53</v>
      </c>
      <c r="C71" s="515">
        <v>30</v>
      </c>
      <c r="D71" s="515">
        <v>18</v>
      </c>
      <c r="E71" s="256">
        <f>SUM(B71:D71)</f>
        <v>101</v>
      </c>
      <c r="F71" s="173">
        <v>29</v>
      </c>
      <c r="G71" s="173">
        <v>30</v>
      </c>
      <c r="H71" s="173">
        <v>19</v>
      </c>
      <c r="I71" s="256">
        <f>SUM(F71:H71)</f>
        <v>78</v>
      </c>
      <c r="J71" s="173">
        <v>40</v>
      </c>
      <c r="K71" s="173">
        <v>33</v>
      </c>
      <c r="L71" s="173">
        <v>26</v>
      </c>
      <c r="M71" s="256">
        <f>SUM(J71:L71)</f>
        <v>99</v>
      </c>
      <c r="N71" s="173">
        <v>48</v>
      </c>
      <c r="O71" s="173">
        <v>29</v>
      </c>
      <c r="P71" s="173">
        <v>36</v>
      </c>
      <c r="Q71" s="256">
        <f>SUM(N71:P71)</f>
        <v>113</v>
      </c>
      <c r="R71" s="256">
        <f>Q71+M71+I71+E71</f>
        <v>391</v>
      </c>
      <c r="S71" s="69"/>
    </row>
    <row r="72" spans="1:19">
      <c r="A72" s="180" t="s">
        <v>118</v>
      </c>
      <c r="B72" s="507">
        <v>38</v>
      </c>
      <c r="C72" s="507">
        <v>33</v>
      </c>
      <c r="D72" s="507">
        <v>17</v>
      </c>
      <c r="E72" s="259"/>
      <c r="F72" s="171">
        <v>24</v>
      </c>
      <c r="G72" s="171">
        <v>29</v>
      </c>
      <c r="H72" s="171">
        <v>13</v>
      </c>
      <c r="I72" s="259"/>
      <c r="J72" s="171">
        <v>45</v>
      </c>
      <c r="K72" s="171">
        <v>29</v>
      </c>
      <c r="L72" s="171">
        <v>22</v>
      </c>
      <c r="M72" s="259"/>
      <c r="N72" s="171">
        <v>37</v>
      </c>
      <c r="O72" s="171">
        <v>32</v>
      </c>
      <c r="P72" s="171">
        <v>32</v>
      </c>
      <c r="Q72" s="259"/>
      <c r="R72" s="259"/>
      <c r="S72" s="69"/>
    </row>
    <row r="73" spans="1:19">
      <c r="A73" s="180" t="s">
        <v>119</v>
      </c>
      <c r="B73" s="507">
        <v>11</v>
      </c>
      <c r="C73" s="507">
        <v>19</v>
      </c>
      <c r="D73" s="507">
        <v>13</v>
      </c>
      <c r="E73" s="260"/>
      <c r="F73" s="171">
        <v>16</v>
      </c>
      <c r="G73" s="171">
        <v>11</v>
      </c>
      <c r="H73" s="171">
        <v>10</v>
      </c>
      <c r="I73" s="260"/>
      <c r="J73" s="171">
        <v>12</v>
      </c>
      <c r="K73" s="171">
        <v>22</v>
      </c>
      <c r="L73" s="171">
        <v>19</v>
      </c>
      <c r="M73" s="260"/>
      <c r="N73" s="171">
        <v>17</v>
      </c>
      <c r="O73" s="171">
        <v>18</v>
      </c>
      <c r="P73" s="171">
        <v>15</v>
      </c>
      <c r="Q73" s="260"/>
      <c r="R73" s="260"/>
      <c r="S73" s="69"/>
    </row>
    <row r="74" spans="1:19" ht="13.5" thickBot="1">
      <c r="A74" s="184" t="s">
        <v>120</v>
      </c>
      <c r="B74" s="516">
        <v>16</v>
      </c>
      <c r="C74" s="516">
        <v>15</v>
      </c>
      <c r="D74" s="516">
        <v>17</v>
      </c>
      <c r="E74" s="261"/>
      <c r="F74" s="174">
        <v>8</v>
      </c>
      <c r="G74" s="174">
        <v>17</v>
      </c>
      <c r="H74" s="174">
        <v>25</v>
      </c>
      <c r="I74" s="261"/>
      <c r="J74" s="174">
        <v>12</v>
      </c>
      <c r="K74" s="174">
        <v>33</v>
      </c>
      <c r="L74" s="174">
        <v>14</v>
      </c>
      <c r="M74" s="261"/>
      <c r="N74" s="174">
        <v>22</v>
      </c>
      <c r="O74" s="174">
        <v>15</v>
      </c>
      <c r="P74" s="174">
        <v>20</v>
      </c>
      <c r="Q74" s="261"/>
      <c r="R74" s="261"/>
      <c r="S74" s="69"/>
    </row>
    <row r="75" spans="1:19" ht="13.5" thickTop="1">
      <c r="A75" s="179" t="s">
        <v>121</v>
      </c>
      <c r="B75" s="512">
        <v>2</v>
      </c>
      <c r="C75" s="512">
        <v>2</v>
      </c>
      <c r="D75" s="512">
        <v>0</v>
      </c>
      <c r="E75" s="256">
        <f>SUM(B75:D75)</f>
        <v>4</v>
      </c>
      <c r="F75" s="170">
        <v>1</v>
      </c>
      <c r="G75" s="170">
        <v>1</v>
      </c>
      <c r="H75" s="170">
        <v>1</v>
      </c>
      <c r="I75" s="256">
        <f>SUM(F75:H75)</f>
        <v>3</v>
      </c>
      <c r="J75" s="170">
        <v>0</v>
      </c>
      <c r="K75" s="170">
        <v>0</v>
      </c>
      <c r="L75" s="170">
        <v>1</v>
      </c>
      <c r="M75" s="256">
        <f>SUM(J75:L75)</f>
        <v>1</v>
      </c>
      <c r="N75" s="170">
        <v>0</v>
      </c>
      <c r="O75" s="170">
        <v>0</v>
      </c>
      <c r="P75" s="170">
        <v>1</v>
      </c>
      <c r="Q75" s="256">
        <f>SUM(N75:P75)</f>
        <v>1</v>
      </c>
      <c r="R75" s="256">
        <f>Q75+M75+I75+E75</f>
        <v>9</v>
      </c>
      <c r="S75" s="69"/>
    </row>
    <row r="76" spans="1:19">
      <c r="A76" s="180" t="s">
        <v>122</v>
      </c>
      <c r="B76" s="507">
        <v>0</v>
      </c>
      <c r="C76" s="507">
        <v>1</v>
      </c>
      <c r="D76" s="507">
        <v>1</v>
      </c>
      <c r="E76" s="256">
        <f t="shared" ref="E76:E82" si="26">SUM(B76:D76)</f>
        <v>2</v>
      </c>
      <c r="F76" s="171">
        <v>2</v>
      </c>
      <c r="G76" s="171">
        <v>0</v>
      </c>
      <c r="H76" s="171">
        <v>1</v>
      </c>
      <c r="I76" s="256">
        <f t="shared" ref="I76:I82" si="27">SUM(F76:H76)</f>
        <v>3</v>
      </c>
      <c r="J76" s="171">
        <v>0</v>
      </c>
      <c r="K76" s="171">
        <v>0</v>
      </c>
      <c r="L76" s="171">
        <v>0</v>
      </c>
      <c r="M76" s="256">
        <f t="shared" ref="M76:M82" si="28">SUM(J76:L76)</f>
        <v>0</v>
      </c>
      <c r="N76" s="171">
        <v>3</v>
      </c>
      <c r="O76" s="171">
        <v>0</v>
      </c>
      <c r="P76" s="171">
        <v>1</v>
      </c>
      <c r="Q76" s="256">
        <f t="shared" ref="Q76:Q82" si="29">SUM(N76:P76)</f>
        <v>4</v>
      </c>
      <c r="R76" s="256">
        <f>Q76+M76+I76+E76</f>
        <v>9</v>
      </c>
      <c r="S76" s="69"/>
    </row>
    <row r="77" spans="1:19" ht="13.5" thickBot="1">
      <c r="A77" s="182" t="s">
        <v>123</v>
      </c>
      <c r="B77" s="514">
        <v>0</v>
      </c>
      <c r="C77" s="514">
        <v>1</v>
      </c>
      <c r="D77" s="514">
        <v>1</v>
      </c>
      <c r="E77" s="256">
        <f t="shared" si="26"/>
        <v>2</v>
      </c>
      <c r="F77" s="172">
        <v>0</v>
      </c>
      <c r="G77" s="172">
        <v>1</v>
      </c>
      <c r="H77" s="172">
        <v>0</v>
      </c>
      <c r="I77" s="256">
        <f t="shared" si="27"/>
        <v>1</v>
      </c>
      <c r="J77" s="172">
        <v>0</v>
      </c>
      <c r="K77" s="172">
        <v>0</v>
      </c>
      <c r="L77" s="172">
        <v>3</v>
      </c>
      <c r="M77" s="256">
        <f t="shared" si="28"/>
        <v>3</v>
      </c>
      <c r="N77" s="172">
        <v>2</v>
      </c>
      <c r="O77" s="172">
        <v>0</v>
      </c>
      <c r="P77" s="172">
        <v>0</v>
      </c>
      <c r="Q77" s="256">
        <f t="shared" si="29"/>
        <v>2</v>
      </c>
      <c r="R77" s="256">
        <f>Q77+M77+I77+E77</f>
        <v>8</v>
      </c>
      <c r="S77" s="69"/>
    </row>
    <row r="78" spans="1:19" ht="14.25" thickTop="1" thickBot="1">
      <c r="A78" s="182" t="s">
        <v>124</v>
      </c>
      <c r="B78" s="514">
        <v>9</v>
      </c>
      <c r="C78" s="514">
        <v>5</v>
      </c>
      <c r="D78" s="514">
        <v>6</v>
      </c>
      <c r="E78" s="256">
        <f t="shared" si="26"/>
        <v>20</v>
      </c>
      <c r="F78" s="172">
        <v>7</v>
      </c>
      <c r="G78" s="172">
        <v>8</v>
      </c>
      <c r="H78" s="172">
        <v>4</v>
      </c>
      <c r="I78" s="256">
        <f t="shared" si="27"/>
        <v>19</v>
      </c>
      <c r="J78" s="172">
        <v>4</v>
      </c>
      <c r="K78" s="172">
        <v>3</v>
      </c>
      <c r="L78" s="172">
        <v>4</v>
      </c>
      <c r="M78" s="256">
        <f t="shared" si="28"/>
        <v>11</v>
      </c>
      <c r="N78" s="172">
        <v>9</v>
      </c>
      <c r="O78" s="172">
        <v>5</v>
      </c>
      <c r="P78" s="172">
        <v>8</v>
      </c>
      <c r="Q78" s="256">
        <f t="shared" si="29"/>
        <v>22</v>
      </c>
      <c r="R78" s="256">
        <f>Q78+M78+I78+E78</f>
        <v>72</v>
      </c>
      <c r="S78" s="69"/>
    </row>
    <row r="79" spans="1:19" ht="13.5" thickTop="1">
      <c r="A79" s="251" t="s">
        <v>125</v>
      </c>
      <c r="B79" s="517">
        <v>39</v>
      </c>
      <c r="C79" s="517">
        <v>41</v>
      </c>
      <c r="D79" s="517">
        <v>40</v>
      </c>
      <c r="E79" s="168"/>
      <c r="F79" s="191">
        <v>34</v>
      </c>
      <c r="G79" s="191">
        <v>37</v>
      </c>
      <c r="H79" s="254">
        <v>42</v>
      </c>
      <c r="I79" s="168"/>
      <c r="J79" s="191">
        <v>39</v>
      </c>
      <c r="K79" s="191">
        <v>36</v>
      </c>
      <c r="L79" s="191">
        <v>30</v>
      </c>
      <c r="M79" s="168"/>
      <c r="N79" s="191">
        <v>41</v>
      </c>
      <c r="O79" s="191">
        <v>40</v>
      </c>
      <c r="P79" s="191">
        <v>41</v>
      </c>
      <c r="Q79" s="168"/>
      <c r="R79" s="168"/>
      <c r="S79" s="69"/>
    </row>
    <row r="80" spans="1:19">
      <c r="A80" s="252" t="s">
        <v>126</v>
      </c>
      <c r="B80" s="518">
        <v>8</v>
      </c>
      <c r="C80" s="518">
        <v>12</v>
      </c>
      <c r="D80" s="518">
        <v>4</v>
      </c>
      <c r="E80" s="256">
        <f t="shared" si="26"/>
        <v>24</v>
      </c>
      <c r="F80" s="192">
        <v>14</v>
      </c>
      <c r="G80" s="192">
        <v>10</v>
      </c>
      <c r="H80" s="255">
        <v>10</v>
      </c>
      <c r="I80" s="256">
        <f t="shared" si="27"/>
        <v>34</v>
      </c>
      <c r="J80" s="192">
        <v>8</v>
      </c>
      <c r="K80" s="192">
        <v>3</v>
      </c>
      <c r="L80" s="192">
        <v>5</v>
      </c>
      <c r="M80" s="256">
        <f t="shared" si="28"/>
        <v>16</v>
      </c>
      <c r="N80" s="192">
        <v>18</v>
      </c>
      <c r="O80" s="192">
        <v>7</v>
      </c>
      <c r="P80" s="192">
        <v>8</v>
      </c>
      <c r="Q80" s="256">
        <f t="shared" si="29"/>
        <v>33</v>
      </c>
      <c r="R80" s="256">
        <f>Q80+M80+I80+E80</f>
        <v>107</v>
      </c>
      <c r="S80" s="69"/>
    </row>
    <row r="81" spans="1:19">
      <c r="A81" s="252" t="s">
        <v>127</v>
      </c>
      <c r="B81" s="518">
        <v>6</v>
      </c>
      <c r="C81" s="509">
        <v>4</v>
      </c>
      <c r="D81" s="511">
        <v>2</v>
      </c>
      <c r="E81" s="256">
        <f t="shared" si="26"/>
        <v>12</v>
      </c>
      <c r="F81" s="192">
        <v>9</v>
      </c>
      <c r="G81" s="192">
        <v>6</v>
      </c>
      <c r="H81" s="255">
        <v>2</v>
      </c>
      <c r="I81" s="256">
        <f t="shared" si="27"/>
        <v>17</v>
      </c>
      <c r="J81" s="192">
        <v>5</v>
      </c>
      <c r="K81" s="192">
        <v>4</v>
      </c>
      <c r="L81" s="192">
        <v>7</v>
      </c>
      <c r="M81" s="256">
        <f t="shared" si="28"/>
        <v>16</v>
      </c>
      <c r="N81" s="192">
        <v>12</v>
      </c>
      <c r="O81" s="192">
        <v>7</v>
      </c>
      <c r="P81" s="192">
        <v>8</v>
      </c>
      <c r="Q81" s="256">
        <f t="shared" si="29"/>
        <v>27</v>
      </c>
      <c r="R81" s="256">
        <f>Q81+M81+I81+E81</f>
        <v>72</v>
      </c>
      <c r="S81" s="69"/>
    </row>
    <row r="82" spans="1:19">
      <c r="A82" s="252" t="s">
        <v>128</v>
      </c>
      <c r="B82" s="518">
        <v>4</v>
      </c>
      <c r="C82" s="509">
        <v>6</v>
      </c>
      <c r="D82" s="511">
        <v>3</v>
      </c>
      <c r="E82" s="256">
        <f t="shared" si="26"/>
        <v>13</v>
      </c>
      <c r="F82" s="192">
        <v>1</v>
      </c>
      <c r="G82" s="192">
        <v>3</v>
      </c>
      <c r="H82" s="255">
        <v>2</v>
      </c>
      <c r="I82" s="256">
        <f t="shared" si="27"/>
        <v>6</v>
      </c>
      <c r="J82" s="192">
        <v>2</v>
      </c>
      <c r="K82" s="192">
        <v>3</v>
      </c>
      <c r="L82" s="192">
        <v>4</v>
      </c>
      <c r="M82" s="256">
        <f t="shared" si="28"/>
        <v>9</v>
      </c>
      <c r="N82" s="192">
        <v>3</v>
      </c>
      <c r="O82" s="192">
        <v>3</v>
      </c>
      <c r="P82" s="192">
        <v>1</v>
      </c>
      <c r="Q82" s="256">
        <f t="shared" si="29"/>
        <v>7</v>
      </c>
      <c r="R82" s="256">
        <f>Q82+M82+I82+E82</f>
        <v>35</v>
      </c>
      <c r="S82" s="169" t="e">
        <f>R82/D84</f>
        <v>#DIV/0!</v>
      </c>
    </row>
    <row r="83" spans="1:19" ht="13.5" thickBot="1">
      <c r="A83" s="253" t="s">
        <v>129</v>
      </c>
      <c r="B83" s="519">
        <v>3</v>
      </c>
      <c r="C83" s="508">
        <v>3</v>
      </c>
      <c r="D83" s="510">
        <v>3</v>
      </c>
      <c r="E83" s="262"/>
      <c r="F83" s="194">
        <v>2</v>
      </c>
      <c r="G83" s="194">
        <v>2</v>
      </c>
      <c r="H83" s="200">
        <v>2</v>
      </c>
      <c r="I83" s="262"/>
      <c r="J83" s="194">
        <v>3</v>
      </c>
      <c r="K83" s="194">
        <v>3</v>
      </c>
      <c r="L83" s="194">
        <v>3</v>
      </c>
      <c r="M83" s="262"/>
      <c r="N83" s="194">
        <v>2</v>
      </c>
      <c r="O83" s="194">
        <v>2</v>
      </c>
      <c r="P83" s="194">
        <v>2</v>
      </c>
      <c r="Q83" s="262"/>
      <c r="R83" s="262"/>
      <c r="S83" s="169" t="e">
        <f>R83/D84</f>
        <v>#DIV/0!</v>
      </c>
    </row>
    <row r="84" spans="1:19" ht="13.5" thickTop="1">
      <c r="A84"/>
      <c r="B84" s="69"/>
      <c r="C84" s="69"/>
      <c r="D84" s="185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13"/>
    </row>
  </sheetData>
  <mergeCells count="28">
    <mergeCell ref="N42:Q42"/>
    <mergeCell ref="J1:M1"/>
    <mergeCell ref="B1:E1"/>
    <mergeCell ref="J42:M42"/>
    <mergeCell ref="F40:I40"/>
    <mergeCell ref="B43:E43"/>
    <mergeCell ref="J43:M43"/>
    <mergeCell ref="F43:I43"/>
    <mergeCell ref="B41:E41"/>
    <mergeCell ref="F1:I1"/>
    <mergeCell ref="F42:I42"/>
    <mergeCell ref="F41:I41"/>
    <mergeCell ref="B45:E45"/>
    <mergeCell ref="N45:Q45"/>
    <mergeCell ref="J45:M45"/>
    <mergeCell ref="F45:I45"/>
    <mergeCell ref="N1:Q1"/>
    <mergeCell ref="N44:Q44"/>
    <mergeCell ref="J44:M44"/>
    <mergeCell ref="F44:I44"/>
    <mergeCell ref="B44:E44"/>
    <mergeCell ref="N40:Q40"/>
    <mergeCell ref="J40:M40"/>
    <mergeCell ref="N43:Q43"/>
    <mergeCell ref="J41:M41"/>
    <mergeCell ref="B40:E40"/>
    <mergeCell ref="N41:Q41"/>
    <mergeCell ref="B42:E42"/>
  </mergeCells>
  <phoneticPr fontId="0" type="noConversion"/>
  <pageMargins left="0.75" right="0.75" top="1" bottom="1" header="0.5" footer="0.5"/>
  <pageSetup paperSize="9" orientation="landscape" horizontalDpi="4294967294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84"/>
  <sheetViews>
    <sheetView zoomScale="85" zoomScaleNormal="85" workbookViewId="0">
      <selection activeCell="H70" sqref="H70"/>
    </sheetView>
  </sheetViews>
  <sheetFormatPr defaultRowHeight="12.75"/>
  <cols>
    <col min="1" max="1" width="45" style="17" customWidth="1"/>
    <col min="2" max="3" width="12.5703125" style="12" customWidth="1"/>
    <col min="4" max="4" width="13" style="12" customWidth="1"/>
    <col min="5" max="5" width="11.42578125" style="150" customWidth="1"/>
    <col min="6" max="8" width="11.42578125" style="12" customWidth="1"/>
    <col min="9" max="9" width="11.42578125" style="150" customWidth="1"/>
    <col min="10" max="12" width="12.85546875" style="12" customWidth="1"/>
    <col min="13" max="13" width="13.85546875" style="150" customWidth="1"/>
    <col min="14" max="16" width="11.5703125" style="12" customWidth="1"/>
    <col min="17" max="17" width="11.5703125" style="150" customWidth="1"/>
    <col min="18" max="18" width="13.140625" style="150" customWidth="1"/>
    <col min="19" max="16384" width="9.140625" style="13"/>
  </cols>
  <sheetData>
    <row r="1" spans="1:18" s="21" customFormat="1" ht="15" customHeight="1">
      <c r="A1" s="32" t="s">
        <v>32</v>
      </c>
      <c r="B1" s="588" t="s">
        <v>195</v>
      </c>
      <c r="C1" s="585"/>
      <c r="D1" s="585"/>
      <c r="E1" s="577"/>
      <c r="F1" s="588" t="s">
        <v>195</v>
      </c>
      <c r="G1" s="585"/>
      <c r="H1" s="585"/>
      <c r="I1" s="577"/>
      <c r="J1" s="588" t="s">
        <v>188</v>
      </c>
      <c r="K1" s="585"/>
      <c r="L1" s="585"/>
      <c r="M1" s="577"/>
      <c r="N1" s="588" t="s">
        <v>169</v>
      </c>
      <c r="O1" s="585"/>
      <c r="P1" s="585"/>
      <c r="Q1" s="577"/>
      <c r="R1" s="211"/>
    </row>
    <row r="2" spans="1:18" s="21" customFormat="1" ht="15" customHeight="1">
      <c r="A2" s="5" t="s">
        <v>0</v>
      </c>
      <c r="B2" s="54" t="s">
        <v>10</v>
      </c>
      <c r="C2" s="54" t="s">
        <v>11</v>
      </c>
      <c r="D2" s="54" t="s">
        <v>12</v>
      </c>
      <c r="E2" s="226" t="s">
        <v>165</v>
      </c>
      <c r="F2" s="54" t="s">
        <v>7</v>
      </c>
      <c r="G2" s="54" t="s">
        <v>8</v>
      </c>
      <c r="H2" s="54" t="s">
        <v>9</v>
      </c>
      <c r="I2" s="226" t="s">
        <v>164</v>
      </c>
      <c r="J2" s="54" t="s">
        <v>4</v>
      </c>
      <c r="K2" s="54" t="s">
        <v>5</v>
      </c>
      <c r="L2" s="54" t="s">
        <v>6</v>
      </c>
      <c r="M2" s="226" t="s">
        <v>163</v>
      </c>
      <c r="N2" s="54" t="s">
        <v>1</v>
      </c>
      <c r="O2" s="54" t="s">
        <v>2</v>
      </c>
      <c r="P2" s="54" t="s">
        <v>3</v>
      </c>
      <c r="Q2" s="226" t="s">
        <v>152</v>
      </c>
      <c r="R2" s="114" t="s">
        <v>166</v>
      </c>
    </row>
    <row r="3" spans="1:18" s="21" customFormat="1" ht="15" customHeight="1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</row>
    <row r="4" spans="1:18" s="21" customFormat="1" ht="15" customHeight="1">
      <c r="A4" s="6" t="s">
        <v>47</v>
      </c>
      <c r="B4" s="99">
        <f>'Target 2017'!L9</f>
        <v>43383.333333333328</v>
      </c>
      <c r="C4" s="99">
        <f>'Target 2017'!M9</f>
        <v>47950</v>
      </c>
      <c r="D4" s="99">
        <f>'Target 2017'!N9</f>
        <v>45666.666666666664</v>
      </c>
      <c r="E4" s="228">
        <f>SUM(B4:D4)</f>
        <v>137000</v>
      </c>
      <c r="F4" s="99">
        <f>'Target 2017'!I9</f>
        <v>37116.666666666664</v>
      </c>
      <c r="G4" s="99">
        <f>'Target 2017'!J9</f>
        <v>43666.666666666664</v>
      </c>
      <c r="H4" s="99">
        <f>'Target 2017'!K9</f>
        <v>50216.666666666657</v>
      </c>
      <c r="I4" s="228">
        <f>SUM(F4:H4)</f>
        <v>130999.99999999999</v>
      </c>
      <c r="J4" s="99">
        <f>'Target 2017'!F9-2000</f>
        <v>35116.666666666664</v>
      </c>
      <c r="K4" s="99">
        <f>'Target 2017'!G9</f>
        <v>43666.666666666664</v>
      </c>
      <c r="L4" s="99">
        <f>'Target 2017'!H9+2000</f>
        <v>52216.666666666657</v>
      </c>
      <c r="M4" s="228">
        <f>SUM(J4:L4)</f>
        <v>130999.99999999999</v>
      </c>
      <c r="N4" s="99">
        <f>'Target 2017'!C9</f>
        <v>41100</v>
      </c>
      <c r="O4" s="99">
        <f>'Target 2017'!D9</f>
        <v>45666.666666666664</v>
      </c>
      <c r="P4" s="99">
        <f>'Target 2017'!E9</f>
        <v>50233.333333333336</v>
      </c>
      <c r="Q4" s="228">
        <f>SUM(N4:P4)</f>
        <v>137000</v>
      </c>
      <c r="R4" s="116">
        <f>Q4+M4+I4+E4</f>
        <v>536000</v>
      </c>
    </row>
    <row r="5" spans="1:18" s="21" customFormat="1" ht="15" customHeight="1">
      <c r="A5" s="7" t="s">
        <v>46</v>
      </c>
      <c r="B5" s="94">
        <f>B4</f>
        <v>43383.333333333328</v>
      </c>
      <c r="C5" s="94">
        <f>C4+B5</f>
        <v>91333.333333333328</v>
      </c>
      <c r="D5" s="94">
        <f>D4+C5</f>
        <v>137000</v>
      </c>
      <c r="E5" s="229"/>
      <c r="F5" s="94">
        <f>F4</f>
        <v>37116.666666666664</v>
      </c>
      <c r="G5" s="94">
        <f>G4+F5</f>
        <v>80783.333333333328</v>
      </c>
      <c r="H5" s="94">
        <f>H4+G5</f>
        <v>130999.99999999999</v>
      </c>
      <c r="I5" s="229"/>
      <c r="J5" s="94">
        <f>J4</f>
        <v>35116.666666666664</v>
      </c>
      <c r="K5" s="94">
        <f>K4+J5</f>
        <v>78783.333333333328</v>
      </c>
      <c r="L5" s="94">
        <f>L4+K5</f>
        <v>130999.99999999999</v>
      </c>
      <c r="M5" s="229"/>
      <c r="N5" s="94">
        <f>N4</f>
        <v>41100</v>
      </c>
      <c r="O5" s="94">
        <f>O4+N5</f>
        <v>86766.666666666657</v>
      </c>
      <c r="P5" s="94">
        <f>P4+O5</f>
        <v>137000</v>
      </c>
      <c r="Q5" s="229"/>
      <c r="R5" s="118"/>
    </row>
    <row r="6" spans="1:18" s="21" customFormat="1" ht="15" customHeight="1">
      <c r="A6" s="31" t="s">
        <v>48</v>
      </c>
      <c r="B6" s="29">
        <f>SUMIF(X!A:A,$A$1,X!I:I)</f>
        <v>55025.001100000001</v>
      </c>
      <c r="C6" s="29">
        <f>SUMIF(XI!A:A,$A$1,XI!I:I)</f>
        <v>42693.323400000001</v>
      </c>
      <c r="D6" s="29">
        <f>SUMIF(XII!A:A,$A$1,XII!I:I)</f>
        <v>42364.597699999998</v>
      </c>
      <c r="E6" s="228">
        <f>SUM(B6:D6)</f>
        <v>140082.9222</v>
      </c>
      <c r="F6" s="29">
        <f>SUMIF(VII!A:A,$A$1,VII!I:I)</f>
        <v>41871.8747</v>
      </c>
      <c r="G6" s="29">
        <f>SUMIF(VIII!A:A,$A$1,VIII!I:I)</f>
        <v>35061.122600000002</v>
      </c>
      <c r="H6" s="29">
        <f>SUMIF(IX!A:A,$A$1,IX!I:I)</f>
        <v>41399.343999999997</v>
      </c>
      <c r="I6" s="228">
        <f>SUM(F6:H6)</f>
        <v>118332.3413</v>
      </c>
      <c r="J6" s="29">
        <f>SUMIF(IV!A:A,$A$1,IV!I:I)</f>
        <v>53736.065999999999</v>
      </c>
      <c r="K6" s="29">
        <f>SUMIF(V!A:A,$A$1,V!I:I)</f>
        <v>40807.929100000001</v>
      </c>
      <c r="L6" s="29">
        <f>SUMIF(VI!A:A,$A$1,VI!I:I)</f>
        <v>39827.1423</v>
      </c>
      <c r="M6" s="228">
        <f>SUM(J6:L6)</f>
        <v>134371.13740000001</v>
      </c>
      <c r="N6" s="91">
        <f>SUMIF(I!A:A,$A$1,I!I:I)</f>
        <v>40780.3606</v>
      </c>
      <c r="O6" s="29">
        <f>SUMIF(II!A:A,$A$1,II!I:I)</f>
        <v>52410.827700000002</v>
      </c>
      <c r="P6" s="29">
        <f>SUMIF(III!A:A,$A$1,III!I:I)</f>
        <v>47331.588199999998</v>
      </c>
      <c r="Q6" s="228">
        <f>SUM(N6:P6)</f>
        <v>140522.77650000001</v>
      </c>
      <c r="R6" s="116">
        <f>Q6+M6+I6+E6</f>
        <v>533309.17740000004</v>
      </c>
    </row>
    <row r="7" spans="1:18" s="21" customFormat="1" ht="15" customHeight="1">
      <c r="A7" s="7" t="s">
        <v>49</v>
      </c>
      <c r="B7" s="8">
        <f>B6</f>
        <v>55025.001100000001</v>
      </c>
      <c r="C7" s="8">
        <f>C6+B7</f>
        <v>97718.324500000002</v>
      </c>
      <c r="D7" s="8">
        <f>D6+C7</f>
        <v>140082.9222</v>
      </c>
      <c r="E7" s="229"/>
      <c r="F7" s="8">
        <f>F6</f>
        <v>41871.8747</v>
      </c>
      <c r="G7" s="8">
        <f>G6+F7</f>
        <v>76932.997300000003</v>
      </c>
      <c r="H7" s="8">
        <f>H6+G7</f>
        <v>118332.3413</v>
      </c>
      <c r="I7" s="229"/>
      <c r="J7" s="8">
        <f>J6</f>
        <v>53736.065999999999</v>
      </c>
      <c r="K7" s="8">
        <f>K6+J7</f>
        <v>94543.9951</v>
      </c>
      <c r="L7" s="8">
        <f>L6+K7</f>
        <v>134371.13740000001</v>
      </c>
      <c r="M7" s="229"/>
      <c r="N7" s="8">
        <f>N6</f>
        <v>40780.3606</v>
      </c>
      <c r="O7" s="8">
        <f>O6+N7</f>
        <v>93191.188300000009</v>
      </c>
      <c r="P7" s="8">
        <f>P6+O7</f>
        <v>140522.77650000001</v>
      </c>
      <c r="Q7" s="229"/>
      <c r="R7" s="118"/>
    </row>
    <row r="8" spans="1:18" s="21" customFormat="1" ht="15" customHeight="1">
      <c r="A8" s="26" t="s">
        <v>50</v>
      </c>
      <c r="B8" s="27">
        <f t="shared" ref="B8:D9" si="0">B6/B4</f>
        <v>1.2683442435651173</v>
      </c>
      <c r="C8" s="27">
        <f t="shared" si="0"/>
        <v>0.89037170802919707</v>
      </c>
      <c r="D8" s="27">
        <f t="shared" si="0"/>
        <v>0.92769192043795623</v>
      </c>
      <c r="E8" s="230"/>
      <c r="F8" s="27">
        <f t="shared" ref="F8:H9" si="1">F6/F4</f>
        <v>1.1281151692860352</v>
      </c>
      <c r="G8" s="27">
        <f t="shared" si="1"/>
        <v>0.80292647175572529</v>
      </c>
      <c r="H8" s="27">
        <f t="shared" si="1"/>
        <v>0.82441441752406253</v>
      </c>
      <c r="I8" s="230"/>
      <c r="J8" s="27">
        <f t="shared" ref="J8:L9" si="2">J6/J4</f>
        <v>1.5302154532510679</v>
      </c>
      <c r="K8" s="27">
        <f t="shared" si="2"/>
        <v>0.93453272748091609</v>
      </c>
      <c r="L8" s="27">
        <f t="shared" si="2"/>
        <v>0.76272854707947668</v>
      </c>
      <c r="M8" s="230"/>
      <c r="N8" s="27">
        <f t="shared" ref="N8:P9" si="3">N6/N4</f>
        <v>0.9922228856447689</v>
      </c>
      <c r="O8" s="27">
        <f t="shared" si="3"/>
        <v>1.1476823583941607</v>
      </c>
      <c r="P8" s="27">
        <f t="shared" si="3"/>
        <v>0.94223466887856666</v>
      </c>
      <c r="Q8" s="230"/>
      <c r="R8" s="122"/>
    </row>
    <row r="9" spans="1:18" s="22" customFormat="1" ht="15" customHeight="1">
      <c r="A9" s="26" t="s">
        <v>51</v>
      </c>
      <c r="B9" s="27">
        <f t="shared" si="0"/>
        <v>1.2683442435651173</v>
      </c>
      <c r="C9" s="27">
        <f>C7/C5</f>
        <v>1.0699086624087593</v>
      </c>
      <c r="D9" s="27">
        <f t="shared" si="0"/>
        <v>1.0225030817518248</v>
      </c>
      <c r="E9" s="230"/>
      <c r="F9" s="27">
        <f t="shared" si="1"/>
        <v>1.1281151692860352</v>
      </c>
      <c r="G9" s="27">
        <f t="shared" si="1"/>
        <v>0.95233749494532705</v>
      </c>
      <c r="H9" s="27">
        <f t="shared" si="1"/>
        <v>0.90330031526717569</v>
      </c>
      <c r="I9" s="230"/>
      <c r="J9" s="27">
        <f t="shared" si="2"/>
        <v>1.5302154532510679</v>
      </c>
      <c r="K9" s="27">
        <f t="shared" si="2"/>
        <v>1.2000507099640365</v>
      </c>
      <c r="L9" s="27">
        <f t="shared" si="2"/>
        <v>1.0257338732824428</v>
      </c>
      <c r="M9" s="230"/>
      <c r="N9" s="27">
        <f t="shared" si="3"/>
        <v>0.9922228856447689</v>
      </c>
      <c r="O9" s="27">
        <f t="shared" si="3"/>
        <v>1.074043660776028</v>
      </c>
      <c r="P9" s="27">
        <f t="shared" si="3"/>
        <v>1.025713697080292</v>
      </c>
      <c r="Q9" s="230"/>
      <c r="R9" s="123"/>
    </row>
    <row r="10" spans="1:18" s="44" customFormat="1" ht="15" customHeight="1">
      <c r="A10" s="7" t="s">
        <v>59</v>
      </c>
      <c r="B10" s="25">
        <f>B7-B5</f>
        <v>11641.667766666673</v>
      </c>
      <c r="C10" s="25">
        <f>C7-C5</f>
        <v>6384.991166666674</v>
      </c>
      <c r="D10" s="25">
        <f>D7-D5</f>
        <v>3082.9222000000009</v>
      </c>
      <c r="E10" s="229"/>
      <c r="F10" s="25">
        <f>F7-F5</f>
        <v>4755.2080333333361</v>
      </c>
      <c r="G10" s="25">
        <f>G7-G5</f>
        <v>-3850.3360333333258</v>
      </c>
      <c r="H10" s="25">
        <f>H7-H5</f>
        <v>-12667.658699999985</v>
      </c>
      <c r="I10" s="229"/>
      <c r="J10" s="25">
        <f>J7-J5</f>
        <v>18619.399333333335</v>
      </c>
      <c r="K10" s="25">
        <f>K7-K5</f>
        <v>15760.661766666672</v>
      </c>
      <c r="L10" s="25">
        <f>L7-L5</f>
        <v>3371.1374000000214</v>
      </c>
      <c r="M10" s="229"/>
      <c r="N10" s="25">
        <f>N7-N5</f>
        <v>-319.63940000000002</v>
      </c>
      <c r="O10" s="25">
        <f>O7-O5</f>
        <v>6424.5216333333519</v>
      </c>
      <c r="P10" s="25">
        <f>P7-P5</f>
        <v>3522.7765000000072</v>
      </c>
      <c r="Q10" s="229"/>
      <c r="R10" s="118"/>
    </row>
    <row r="11" spans="1:18" s="21" customFormat="1" ht="15" customHeight="1">
      <c r="A11" s="6" t="s">
        <v>52</v>
      </c>
      <c r="B11" s="99">
        <f>'Target 2017'!L19</f>
        <v>133000</v>
      </c>
      <c r="C11" s="99">
        <f>'Target 2017'!M19-2000</f>
        <v>145000</v>
      </c>
      <c r="D11" s="99">
        <f>'Target 2017'!N19+2000</f>
        <v>142000</v>
      </c>
      <c r="E11" s="228">
        <f>SUM(B11:D11)</f>
        <v>420000</v>
      </c>
      <c r="F11" s="99">
        <f>'Target 2017'!I19</f>
        <v>119000</v>
      </c>
      <c r="G11" s="99">
        <f>'Target 2017'!J19-20000</f>
        <v>120000</v>
      </c>
      <c r="H11" s="99">
        <f>'Target 2017'!K19+20000</f>
        <v>180999.99999999997</v>
      </c>
      <c r="I11" s="228">
        <f>SUM(F11:H11)</f>
        <v>420000</v>
      </c>
      <c r="J11" s="99">
        <f>'Target 2017'!F19-5000</f>
        <v>114566.66666666666</v>
      </c>
      <c r="K11" s="99">
        <f>'Target 2017'!G19</f>
        <v>140666.66666666666</v>
      </c>
      <c r="L11" s="99">
        <f>'Target 2017'!H19+5000-22000</f>
        <v>144766.66666666666</v>
      </c>
      <c r="M11" s="228">
        <f>SUM(J11:L11)</f>
        <v>400000</v>
      </c>
      <c r="N11" s="99">
        <f>'Target 2017'!C19</f>
        <v>129000.00000000001</v>
      </c>
      <c r="O11" s="99">
        <f>'Target 2017'!D19</f>
        <v>143333.33333333334</v>
      </c>
      <c r="P11" s="99">
        <f>'Target 2017'!E19-2000</f>
        <v>155666.66666666669</v>
      </c>
      <c r="Q11" s="228">
        <f>SUM(N11:P11)</f>
        <v>428000.00000000006</v>
      </c>
      <c r="R11" s="116">
        <f>Q11+M11+I11+E11</f>
        <v>1668000</v>
      </c>
    </row>
    <row r="12" spans="1:18" s="21" customFormat="1" ht="15" customHeight="1">
      <c r="A12" s="7" t="s">
        <v>53</v>
      </c>
      <c r="B12" s="94">
        <f>B11</f>
        <v>133000</v>
      </c>
      <c r="C12" s="94">
        <f>C11+B12</f>
        <v>278000</v>
      </c>
      <c r="D12" s="94">
        <f>D11+C12</f>
        <v>420000</v>
      </c>
      <c r="E12" s="229"/>
      <c r="F12" s="94">
        <f>F11</f>
        <v>119000</v>
      </c>
      <c r="G12" s="94">
        <f>G11+F12</f>
        <v>239000</v>
      </c>
      <c r="H12" s="94">
        <f>H11+G12</f>
        <v>420000</v>
      </c>
      <c r="I12" s="229"/>
      <c r="J12" s="94">
        <f>J11</f>
        <v>114566.66666666666</v>
      </c>
      <c r="K12" s="94">
        <f>K11+J12</f>
        <v>255233.33333333331</v>
      </c>
      <c r="L12" s="94">
        <f>L11+K12</f>
        <v>400000</v>
      </c>
      <c r="M12" s="229"/>
      <c r="N12" s="94">
        <f>N11</f>
        <v>129000.00000000001</v>
      </c>
      <c r="O12" s="94">
        <f>O11+N12</f>
        <v>272333.33333333337</v>
      </c>
      <c r="P12" s="94">
        <f>P11+O12</f>
        <v>428000.00000000006</v>
      </c>
      <c r="Q12" s="229"/>
      <c r="R12" s="118"/>
    </row>
    <row r="13" spans="1:18" s="21" customFormat="1" ht="15" customHeight="1">
      <c r="A13" s="31" t="s">
        <v>54</v>
      </c>
      <c r="B13" s="29">
        <f>SUMIF(X!A:A,$A$1,X!G:G)</f>
        <v>143183.62</v>
      </c>
      <c r="C13" s="29">
        <f>SUMIF(XI!A:A,$A$1,XI!G:G)</f>
        <v>122683.42</v>
      </c>
      <c r="D13" s="29">
        <f>SUMIF(XII!A:A,$A$1,XII!G:G)</f>
        <v>125196.6406</v>
      </c>
      <c r="E13" s="228">
        <f>SUM(B13:D13)</f>
        <v>391063.68059999996</v>
      </c>
      <c r="F13" s="29">
        <f>SUMIF(VII!A:A,$A$1,VII!G:G)</f>
        <v>121783.42</v>
      </c>
      <c r="G13" s="29">
        <f>SUMIF(VIII!A:A,$A$1,VIII!G:G)</f>
        <v>96466.53</v>
      </c>
      <c r="H13" s="29">
        <f>SUMIF(IX!A:A,$A$1,IX!G:G)</f>
        <v>117930.85</v>
      </c>
      <c r="I13" s="228">
        <f>SUM(F13:H13)</f>
        <v>336180.80000000005</v>
      </c>
      <c r="J13" s="29">
        <f>SUMIF(IV!A:A,$A$1,IV!G:G)</f>
        <v>147887.82</v>
      </c>
      <c r="K13" s="29">
        <f>SUMIF(V!A:A,$A$1,V!G:G)</f>
        <v>117088.24</v>
      </c>
      <c r="L13" s="29">
        <f>SUMIF(VI!A:A,$A$1,VI!G:G)</f>
        <v>115405.72</v>
      </c>
      <c r="M13" s="228">
        <f>SUM(J13:L13)</f>
        <v>380381.78</v>
      </c>
      <c r="N13" s="91">
        <f>SUMIF(I!A:A,$A$1,I!G:G)</f>
        <v>125682.56</v>
      </c>
      <c r="O13" s="29">
        <f>SUMIF(II!A:A,$A$1,II!G:G)</f>
        <v>145192.32999999999</v>
      </c>
      <c r="P13" s="29">
        <f>SUMIF(III!A:A,$A$1,III!G:G)</f>
        <v>136236.14000000001</v>
      </c>
      <c r="Q13" s="228">
        <f>SUM(N13:P13)</f>
        <v>407111.03</v>
      </c>
      <c r="R13" s="116">
        <f>Q13+M13+I13+E13</f>
        <v>1514737.2905999999</v>
      </c>
    </row>
    <row r="14" spans="1:18" customFormat="1">
      <c r="A14" s="7" t="s">
        <v>55</v>
      </c>
      <c r="B14" s="8">
        <f>B13</f>
        <v>143183.62</v>
      </c>
      <c r="C14" s="8">
        <f>C13+B14</f>
        <v>265867.03999999998</v>
      </c>
      <c r="D14" s="8">
        <f>D13+C14</f>
        <v>391063.68059999996</v>
      </c>
      <c r="E14" s="229"/>
      <c r="F14" s="8">
        <f>F13</f>
        <v>121783.42</v>
      </c>
      <c r="G14" s="8">
        <f>G13+F14</f>
        <v>218249.95</v>
      </c>
      <c r="H14" s="8">
        <f>H13+G14</f>
        <v>336180.80000000005</v>
      </c>
      <c r="I14" s="229"/>
      <c r="J14" s="8">
        <f>J13</f>
        <v>147887.82</v>
      </c>
      <c r="K14" s="8">
        <f>K13+J14</f>
        <v>264976.06</v>
      </c>
      <c r="L14" s="8">
        <f>L13+K14</f>
        <v>380381.78</v>
      </c>
      <c r="M14" s="229"/>
      <c r="N14" s="8">
        <f>N13</f>
        <v>125682.56</v>
      </c>
      <c r="O14" s="8">
        <f>O13+N14</f>
        <v>270874.89</v>
      </c>
      <c r="P14" s="8">
        <f>P13+O14</f>
        <v>407111.03</v>
      </c>
      <c r="Q14" s="229"/>
      <c r="R14" s="118"/>
    </row>
    <row r="15" spans="1:18" s="22" customFormat="1" ht="15" customHeight="1">
      <c r="A15" s="26" t="s">
        <v>56</v>
      </c>
      <c r="B15" s="27">
        <f t="shared" ref="B15:D16" si="4">B13/B11</f>
        <v>1.0765685714285713</v>
      </c>
      <c r="C15" s="27">
        <f t="shared" si="4"/>
        <v>0.84609255172413789</v>
      </c>
      <c r="D15" s="27">
        <f t="shared" si="4"/>
        <v>0.88166648309859152</v>
      </c>
      <c r="E15" s="230"/>
      <c r="F15" s="27">
        <f t="shared" ref="F15:H16" si="5">F13/F11</f>
        <v>1.0233900840336134</v>
      </c>
      <c r="G15" s="27">
        <f t="shared" si="5"/>
        <v>0.80388775000000001</v>
      </c>
      <c r="H15" s="27">
        <f t="shared" si="5"/>
        <v>0.65155165745856369</v>
      </c>
      <c r="I15" s="230"/>
      <c r="J15" s="27">
        <f t="shared" ref="J15:L16" si="6">J13/J11</f>
        <v>1.2908450974687229</v>
      </c>
      <c r="K15" s="27">
        <f t="shared" si="6"/>
        <v>0.83238085308056886</v>
      </c>
      <c r="L15" s="27">
        <f t="shared" si="6"/>
        <v>0.79718434262030857</v>
      </c>
      <c r="M15" s="230"/>
      <c r="N15" s="27">
        <f t="shared" ref="N15:P16" si="7">N13/N11</f>
        <v>0.97428341085271308</v>
      </c>
      <c r="O15" s="27">
        <f t="shared" si="7"/>
        <v>1.0129697441860464</v>
      </c>
      <c r="P15" s="27">
        <f t="shared" si="7"/>
        <v>0.87517862955032122</v>
      </c>
      <c r="Q15" s="230"/>
      <c r="R15" s="122"/>
    </row>
    <row r="16" spans="1:18" s="21" customFormat="1" ht="15" customHeight="1">
      <c r="A16" s="26" t="s">
        <v>57</v>
      </c>
      <c r="B16" s="27">
        <f t="shared" si="4"/>
        <v>1.0765685714285713</v>
      </c>
      <c r="C16" s="27">
        <f t="shared" si="4"/>
        <v>0.95635625899280563</v>
      </c>
      <c r="D16" s="27">
        <f t="shared" si="4"/>
        <v>0.9311040014285713</v>
      </c>
      <c r="E16" s="230"/>
      <c r="F16" s="27">
        <f t="shared" si="5"/>
        <v>1.0233900840336134</v>
      </c>
      <c r="G16" s="27">
        <f t="shared" si="5"/>
        <v>0.91317970711297081</v>
      </c>
      <c r="H16" s="27">
        <f t="shared" si="5"/>
        <v>0.80043047619047625</v>
      </c>
      <c r="I16" s="230"/>
      <c r="J16" s="27">
        <f t="shared" si="6"/>
        <v>1.2908450974687229</v>
      </c>
      <c r="K16" s="27">
        <f>K14/K12</f>
        <v>1.0381718427582605</v>
      </c>
      <c r="L16" s="27">
        <f t="shared" si="6"/>
        <v>0.95095445000000012</v>
      </c>
      <c r="M16" s="230"/>
      <c r="N16" s="27">
        <f t="shared" si="7"/>
        <v>0.97428341085271308</v>
      </c>
      <c r="O16" s="27">
        <f t="shared" si="7"/>
        <v>0.99464463892288857</v>
      </c>
      <c r="P16" s="27">
        <f t="shared" si="7"/>
        <v>0.95119399532710269</v>
      </c>
      <c r="Q16" s="230"/>
      <c r="R16" s="123"/>
    </row>
    <row r="17" spans="1:19" s="21" customFormat="1" ht="15" customHeight="1">
      <c r="A17" s="7" t="s">
        <v>58</v>
      </c>
      <c r="B17" s="25">
        <f>B14-B12</f>
        <v>10183.619999999995</v>
      </c>
      <c r="C17" s="25">
        <f>C14-C12</f>
        <v>-12132.960000000021</v>
      </c>
      <c r="D17" s="25">
        <f>D14-D12</f>
        <v>-28936.319400000037</v>
      </c>
      <c r="E17" s="229"/>
      <c r="F17" s="25">
        <f>F14-F12</f>
        <v>2783.4199999999983</v>
      </c>
      <c r="G17" s="25">
        <f>G14-G12</f>
        <v>-20750.049999999988</v>
      </c>
      <c r="H17" s="25">
        <f>H14-H12</f>
        <v>-83819.199999999953</v>
      </c>
      <c r="I17" s="229"/>
      <c r="J17" s="25">
        <f>J14-J12</f>
        <v>33321.15333333335</v>
      </c>
      <c r="K17" s="25">
        <f>K14-K12</f>
        <v>9742.7266666666837</v>
      </c>
      <c r="L17" s="25">
        <f>L14-L12</f>
        <v>-19618.219999999972</v>
      </c>
      <c r="M17" s="229"/>
      <c r="N17" s="25">
        <f>N14-N12</f>
        <v>-3317.4400000000169</v>
      </c>
      <c r="O17" s="25">
        <f>O14-O12</f>
        <v>-1458.4433333333582</v>
      </c>
      <c r="P17" s="198">
        <f>P14-P12</f>
        <v>-20888.97000000003</v>
      </c>
      <c r="Q17" s="229"/>
      <c r="R17" s="124"/>
    </row>
    <row r="18" spans="1:19" s="21" customFormat="1" ht="15" customHeight="1">
      <c r="A18" s="10" t="s">
        <v>43</v>
      </c>
      <c r="B18" s="11">
        <f t="shared" ref="B18:D19" si="8">B6/B13</f>
        <v>0.38429675894491283</v>
      </c>
      <c r="C18" s="11">
        <f t="shared" si="8"/>
        <v>0.3479958693684933</v>
      </c>
      <c r="D18" s="11">
        <f t="shared" si="8"/>
        <v>0.33838446061307492</v>
      </c>
      <c r="E18" s="231"/>
      <c r="F18" s="11">
        <f t="shared" ref="F18:H19" si="9">F6/F13</f>
        <v>0.34382245711279913</v>
      </c>
      <c r="G18" s="11">
        <f t="shared" si="9"/>
        <v>0.36345375541133285</v>
      </c>
      <c r="H18" s="11">
        <f t="shared" si="9"/>
        <v>0.3510476181592857</v>
      </c>
      <c r="I18" s="231"/>
      <c r="J18" s="11">
        <f t="shared" ref="J18:L19" si="10">J6/J13</f>
        <v>0.36335694176842959</v>
      </c>
      <c r="K18" s="11">
        <f t="shared" si="10"/>
        <v>0.34852286702746577</v>
      </c>
      <c r="L18" s="11">
        <f>L6/L13</f>
        <v>0.34510544451349551</v>
      </c>
      <c r="M18" s="231"/>
      <c r="N18" s="11">
        <f t="shared" ref="N18:P19" si="11">N6/N13</f>
        <v>0.32447111675637413</v>
      </c>
      <c r="O18" s="11">
        <f t="shared" si="11"/>
        <v>0.36097518167798537</v>
      </c>
      <c r="P18" s="11">
        <f t="shared" si="11"/>
        <v>0.34742314484247716</v>
      </c>
      <c r="Q18" s="231"/>
      <c r="R18" s="126"/>
    </row>
    <row r="19" spans="1:19" s="21" customFormat="1" ht="15" customHeight="1">
      <c r="A19" s="10" t="s">
        <v>44</v>
      </c>
      <c r="B19" s="11">
        <f t="shared" si="8"/>
        <v>0.38429675894491283</v>
      </c>
      <c r="C19" s="11">
        <f t="shared" si="8"/>
        <v>0.36754583983031525</v>
      </c>
      <c r="D19" s="11">
        <f t="shared" si="8"/>
        <v>0.35821000299765504</v>
      </c>
      <c r="E19" s="231"/>
      <c r="F19" s="11">
        <f t="shared" si="9"/>
        <v>0.34382245711279913</v>
      </c>
      <c r="G19" s="11">
        <f t="shared" si="9"/>
        <v>0.35249949564707805</v>
      </c>
      <c r="H19" s="11">
        <f t="shared" si="9"/>
        <v>0.35199018296107326</v>
      </c>
      <c r="I19" s="231"/>
      <c r="J19" s="11">
        <f t="shared" si="10"/>
        <v>0.36335694176842959</v>
      </c>
      <c r="K19" s="11">
        <f t="shared" si="10"/>
        <v>0.35680202619059248</v>
      </c>
      <c r="L19" s="11">
        <f t="shared" si="10"/>
        <v>0.35325334825448262</v>
      </c>
      <c r="M19" s="231"/>
      <c r="N19" s="11">
        <f t="shared" si="11"/>
        <v>0.32447111675637413</v>
      </c>
      <c r="O19" s="11">
        <f t="shared" si="11"/>
        <v>0.34403775226267747</v>
      </c>
      <c r="P19" s="11">
        <f t="shared" si="11"/>
        <v>0.34517064423432597</v>
      </c>
      <c r="Q19" s="231"/>
      <c r="R19" s="126"/>
    </row>
    <row r="20" spans="1:19" s="71" customFormat="1" ht="15" customHeight="1">
      <c r="A20" s="103"/>
      <c r="B20" s="104"/>
      <c r="C20" s="104"/>
      <c r="D20" s="104"/>
      <c r="E20" s="232"/>
      <c r="F20" s="104"/>
      <c r="G20" s="104"/>
      <c r="H20" s="104"/>
      <c r="I20" s="232"/>
      <c r="J20" s="104"/>
      <c r="K20" s="104"/>
      <c r="L20" s="104"/>
      <c r="M20" s="232"/>
      <c r="N20" s="104"/>
      <c r="O20" s="104"/>
      <c r="P20" s="104"/>
      <c r="Q20" s="232"/>
      <c r="R20" s="127"/>
      <c r="S20" s="70"/>
    </row>
    <row r="21" spans="1:19" s="21" customFormat="1" ht="24.75" customHeight="1">
      <c r="A21" s="56"/>
      <c r="B21" s="213"/>
      <c r="C21" s="213"/>
      <c r="D21" s="213"/>
      <c r="E21" s="213"/>
      <c r="F21" s="213"/>
      <c r="G21" s="213"/>
      <c r="H21" s="213"/>
      <c r="I21" s="213"/>
      <c r="J21" s="213"/>
      <c r="K21" s="213"/>
      <c r="L21" s="213"/>
      <c r="M21" s="213"/>
      <c r="N21" s="212" t="s">
        <v>33</v>
      </c>
      <c r="O21" s="213"/>
      <c r="P21" s="213"/>
      <c r="Q21" s="213"/>
      <c r="R21" s="265"/>
    </row>
    <row r="22" spans="1:19" s="21" customFormat="1" ht="15" customHeight="1">
      <c r="A22" s="73" t="s">
        <v>89</v>
      </c>
      <c r="B22" s="102">
        <v>3600</v>
      </c>
      <c r="C22" s="102">
        <v>3600</v>
      </c>
      <c r="D22" s="102">
        <v>3600</v>
      </c>
      <c r="E22" s="234"/>
      <c r="F22" s="102">
        <v>3600</v>
      </c>
      <c r="G22" s="102">
        <v>3600</v>
      </c>
      <c r="H22" s="102">
        <v>3600</v>
      </c>
      <c r="I22" s="234"/>
      <c r="J22" s="102">
        <v>3600</v>
      </c>
      <c r="K22" s="102">
        <v>3600</v>
      </c>
      <c r="L22" s="102">
        <v>3600</v>
      </c>
      <c r="M22" s="234"/>
      <c r="N22" s="102">
        <v>3100</v>
      </c>
      <c r="O22" s="102">
        <v>3600</v>
      </c>
      <c r="P22" s="102">
        <v>3600</v>
      </c>
      <c r="Q22" s="234"/>
      <c r="R22" s="131"/>
    </row>
    <row r="23" spans="1:19" s="21" customFormat="1" ht="15" customHeight="1">
      <c r="A23" s="20" t="s">
        <v>61</v>
      </c>
      <c r="B23" s="79">
        <f>B5</f>
        <v>43383.333333333328</v>
      </c>
      <c r="C23" s="79">
        <f>C5</f>
        <v>91333.333333333328</v>
      </c>
      <c r="D23" s="79">
        <f>D5</f>
        <v>137000</v>
      </c>
      <c r="E23" s="235"/>
      <c r="F23" s="79">
        <f>F5</f>
        <v>37116.666666666664</v>
      </c>
      <c r="G23" s="79">
        <f>G5</f>
        <v>80783.333333333328</v>
      </c>
      <c r="H23" s="79">
        <f>H5</f>
        <v>130999.99999999999</v>
      </c>
      <c r="I23" s="235"/>
      <c r="J23" s="79">
        <f>J5</f>
        <v>35116.666666666664</v>
      </c>
      <c r="K23" s="79">
        <f>K5</f>
        <v>78783.333333333328</v>
      </c>
      <c r="L23" s="79">
        <f>L5</f>
        <v>130999.99999999999</v>
      </c>
      <c r="M23" s="235"/>
      <c r="N23" s="79">
        <f>N5</f>
        <v>41100</v>
      </c>
      <c r="O23" s="79">
        <f>O5</f>
        <v>86766.666666666657</v>
      </c>
      <c r="P23" s="79">
        <f>P5</f>
        <v>137000</v>
      </c>
      <c r="Q23" s="235"/>
      <c r="R23" s="133"/>
    </row>
    <row r="24" spans="1:19" s="21" customFormat="1" ht="15" customHeight="1">
      <c r="A24" s="40" t="s">
        <v>62</v>
      </c>
      <c r="B24" s="55">
        <f>B7</f>
        <v>55025.001100000001</v>
      </c>
      <c r="C24" s="55">
        <f>C7</f>
        <v>97718.324500000002</v>
      </c>
      <c r="D24" s="55">
        <f>D7</f>
        <v>140082.9222</v>
      </c>
      <c r="E24" s="236"/>
      <c r="F24" s="55">
        <f>F7</f>
        <v>41871.8747</v>
      </c>
      <c r="G24" s="55">
        <f>G7</f>
        <v>76932.997300000003</v>
      </c>
      <c r="H24" s="55">
        <f>H7</f>
        <v>118332.3413</v>
      </c>
      <c r="I24" s="236"/>
      <c r="J24" s="55">
        <f>J7</f>
        <v>53736.065999999999</v>
      </c>
      <c r="K24" s="55">
        <f>K7</f>
        <v>94543.9951</v>
      </c>
      <c r="L24" s="55">
        <f>L7</f>
        <v>134371.13740000001</v>
      </c>
      <c r="M24" s="236"/>
      <c r="N24" s="55">
        <f>N7</f>
        <v>40780.3606</v>
      </c>
      <c r="O24" s="55">
        <f>O7</f>
        <v>93191.188300000009</v>
      </c>
      <c r="P24" s="55">
        <f>P7</f>
        <v>140522.77650000001</v>
      </c>
      <c r="Q24" s="236"/>
      <c r="R24" s="133"/>
    </row>
    <row r="25" spans="1:19" s="21" customFormat="1" ht="15" customHeight="1">
      <c r="A25" s="40" t="s">
        <v>63</v>
      </c>
      <c r="B25" s="97">
        <f>B24/B23</f>
        <v>1.2683442435651173</v>
      </c>
      <c r="C25" s="97">
        <f>C24/C23</f>
        <v>1.0699086624087593</v>
      </c>
      <c r="D25" s="97">
        <f>D24/D23</f>
        <v>1.0225030817518248</v>
      </c>
      <c r="E25" s="237"/>
      <c r="F25" s="97">
        <f>F24/F23</f>
        <v>1.1281151692860352</v>
      </c>
      <c r="G25" s="97">
        <f>G24/G23</f>
        <v>0.95233749494532705</v>
      </c>
      <c r="H25" s="97">
        <f>H24/H23</f>
        <v>0.90330031526717569</v>
      </c>
      <c r="I25" s="237"/>
      <c r="J25" s="97">
        <f>J24/J23</f>
        <v>1.5302154532510679</v>
      </c>
      <c r="K25" s="97">
        <f>K24/K23</f>
        <v>1.2000507099640365</v>
      </c>
      <c r="L25" s="97">
        <f>L24/L23</f>
        <v>1.0257338732824428</v>
      </c>
      <c r="M25" s="237"/>
      <c r="N25" s="97">
        <f>N24/N23</f>
        <v>0.9922228856447689</v>
      </c>
      <c r="O25" s="97">
        <f>O24/O23</f>
        <v>1.074043660776028</v>
      </c>
      <c r="P25" s="97">
        <f>P24/P23</f>
        <v>1.025713697080292</v>
      </c>
      <c r="Q25" s="237"/>
      <c r="R25" s="133"/>
    </row>
    <row r="26" spans="1:19" s="21" customFormat="1" ht="15" customHeight="1">
      <c r="A26" s="39" t="s">
        <v>71</v>
      </c>
      <c r="B26" s="58">
        <f>B22*0.2</f>
        <v>720</v>
      </c>
      <c r="C26" s="58">
        <f>C22*0.2</f>
        <v>720</v>
      </c>
      <c r="D26" s="58">
        <f>D22*0.2</f>
        <v>720</v>
      </c>
      <c r="E26" s="238"/>
      <c r="F26" s="58">
        <f>F22*0.2</f>
        <v>720</v>
      </c>
      <c r="G26" s="58">
        <f>G22*0.2</f>
        <v>720</v>
      </c>
      <c r="H26" s="58">
        <f>H22*0.2</f>
        <v>720</v>
      </c>
      <c r="I26" s="238"/>
      <c r="J26" s="58">
        <f>J22*0.2</f>
        <v>720</v>
      </c>
      <c r="K26" s="58">
        <f>K22*0.2</f>
        <v>720</v>
      </c>
      <c r="L26" s="58">
        <f>L22*0.2</f>
        <v>720</v>
      </c>
      <c r="M26" s="238"/>
      <c r="N26" s="58">
        <f>N22*0.2</f>
        <v>620</v>
      </c>
      <c r="O26" s="58">
        <f>O22*0.2</f>
        <v>720</v>
      </c>
      <c r="P26" s="58">
        <f>P22*0.2</f>
        <v>720</v>
      </c>
      <c r="Q26" s="238"/>
      <c r="R26" s="136"/>
    </row>
    <row r="27" spans="1:19" s="21" customFormat="1" ht="15" customHeight="1">
      <c r="A27" s="40" t="s">
        <v>64</v>
      </c>
      <c r="B27" s="82">
        <f>IF(B25&lt;80%,0,IF(B25&lt;90%,0.5,IF(B25&lt;95%,0.75,1)))</f>
        <v>1</v>
      </c>
      <c r="C27" s="82">
        <f>IF(C25&lt;80%,0,IF(C25&lt;90%,0.5,IF(C25&lt;95%,0.75,1)))</f>
        <v>1</v>
      </c>
      <c r="D27" s="82">
        <f>IF(D25&lt;80%,0,IF(D25&lt;90%,0.5,IF(D25&lt;95%,0.75,1)))</f>
        <v>1</v>
      </c>
      <c r="E27" s="236"/>
      <c r="F27" s="82">
        <f>IF(F25&lt;80%,0,IF(F25&lt;90%,0.5,IF(F25&lt;95%,0.75,1)))</f>
        <v>1</v>
      </c>
      <c r="G27" s="82">
        <f>IF(G25&lt;80%,0,IF(G25&lt;90%,0.5,IF(G25&lt;95%,0.75,1)))</f>
        <v>1</v>
      </c>
      <c r="H27" s="82">
        <f>IF(H25&lt;80%,0,IF(H25&lt;90%,0.5,IF(H25&lt;95%,0.75,1)))</f>
        <v>0.75</v>
      </c>
      <c r="I27" s="236"/>
      <c r="J27" s="82">
        <f>IF(J25&lt;80%,0,IF(J25&lt;90%,0.5,IF(J25&lt;95%,0.75,1)))</f>
        <v>1</v>
      </c>
      <c r="K27" s="82">
        <f>IF(K25&lt;80%,0,IF(K25&lt;90%,0.5,IF(K25&lt;95%,0.75,1)))</f>
        <v>1</v>
      </c>
      <c r="L27" s="82">
        <f>IF(L25&lt;80%,0,IF(L25&lt;90%,0.5,IF(L25&lt;95%,0.75,1)))</f>
        <v>1</v>
      </c>
      <c r="M27" s="236"/>
      <c r="N27" s="82">
        <f>IF(N25&lt;80%,0,IF(N25&lt;90%,0.5,IF(N25&lt;95%,0.75,1)))</f>
        <v>1</v>
      </c>
      <c r="O27" s="82">
        <f>IF(O25&lt;80%,0,IF(O25&lt;90%,0.5,IF(O25&lt;95%,0.75,1)))</f>
        <v>1</v>
      </c>
      <c r="P27" s="82">
        <f>IF(P25&lt;80%,0,IF(P25&lt;90%,0.5,IF(P25&lt;95%,0.75,1)))</f>
        <v>1</v>
      </c>
      <c r="Q27" s="236"/>
      <c r="R27" s="133"/>
    </row>
    <row r="28" spans="1:19" s="21" customFormat="1" ht="15" customHeight="1">
      <c r="A28" s="59" t="s">
        <v>65</v>
      </c>
      <c r="B28" s="80">
        <f>B27*B26</f>
        <v>720</v>
      </c>
      <c r="C28" s="80">
        <f>C27*C26</f>
        <v>720</v>
      </c>
      <c r="D28" s="80">
        <f>D27*D26</f>
        <v>720</v>
      </c>
      <c r="E28" s="239"/>
      <c r="F28" s="80">
        <f>F27*F26</f>
        <v>720</v>
      </c>
      <c r="G28" s="80">
        <f>G27*G26</f>
        <v>720</v>
      </c>
      <c r="H28" s="80">
        <f>H27*H26</f>
        <v>540</v>
      </c>
      <c r="I28" s="239"/>
      <c r="J28" s="80">
        <f>J27*J26</f>
        <v>720</v>
      </c>
      <c r="K28" s="80">
        <f>K27*K26</f>
        <v>720</v>
      </c>
      <c r="L28" s="80">
        <f>L27*L26</f>
        <v>720</v>
      </c>
      <c r="M28" s="239"/>
      <c r="N28" s="80">
        <f>N27*N26</f>
        <v>620</v>
      </c>
      <c r="O28" s="80">
        <f>O27*O26</f>
        <v>720</v>
      </c>
      <c r="P28" s="80">
        <f>P27*P26</f>
        <v>720</v>
      </c>
      <c r="Q28" s="239"/>
      <c r="R28" s="137"/>
    </row>
    <row r="29" spans="1:19" s="21" customFormat="1" ht="15" customHeight="1">
      <c r="A29" s="20" t="s">
        <v>60</v>
      </c>
      <c r="B29" s="79">
        <f>B12</f>
        <v>133000</v>
      </c>
      <c r="C29" s="79">
        <f>C12</f>
        <v>278000</v>
      </c>
      <c r="D29" s="79">
        <f>D12</f>
        <v>420000</v>
      </c>
      <c r="E29" s="235"/>
      <c r="F29" s="79">
        <f>F12</f>
        <v>119000</v>
      </c>
      <c r="G29" s="79">
        <f>G12</f>
        <v>239000</v>
      </c>
      <c r="H29" s="79">
        <f>H12</f>
        <v>420000</v>
      </c>
      <c r="I29" s="235"/>
      <c r="J29" s="79">
        <f>J12</f>
        <v>114566.66666666666</v>
      </c>
      <c r="K29" s="79">
        <f>K12</f>
        <v>255233.33333333331</v>
      </c>
      <c r="L29" s="79">
        <f>L12</f>
        <v>400000</v>
      </c>
      <c r="M29" s="235"/>
      <c r="N29" s="79">
        <f>N12</f>
        <v>129000.00000000001</v>
      </c>
      <c r="O29" s="79">
        <f>O12</f>
        <v>272333.33333333337</v>
      </c>
      <c r="P29" s="79">
        <f>P12</f>
        <v>428000.00000000006</v>
      </c>
      <c r="Q29" s="235"/>
      <c r="R29" s="133"/>
      <c r="S29" s="12"/>
    </row>
    <row r="30" spans="1:19" s="21" customFormat="1" ht="15" customHeight="1">
      <c r="A30" s="40" t="s">
        <v>66</v>
      </c>
      <c r="B30" s="55">
        <f>B14</f>
        <v>143183.62</v>
      </c>
      <c r="C30" s="55">
        <f>C14</f>
        <v>265867.03999999998</v>
      </c>
      <c r="D30" s="55">
        <f>D14</f>
        <v>391063.68059999996</v>
      </c>
      <c r="E30" s="236"/>
      <c r="F30" s="55">
        <f>F14</f>
        <v>121783.42</v>
      </c>
      <c r="G30" s="55">
        <f>G14</f>
        <v>218249.95</v>
      </c>
      <c r="H30" s="55">
        <f>H14</f>
        <v>336180.80000000005</v>
      </c>
      <c r="I30" s="236"/>
      <c r="J30" s="55">
        <f>J14</f>
        <v>147887.82</v>
      </c>
      <c r="K30" s="55">
        <f>K14</f>
        <v>264976.06</v>
      </c>
      <c r="L30" s="55">
        <f>L14</f>
        <v>380381.78</v>
      </c>
      <c r="M30" s="236"/>
      <c r="N30" s="55">
        <f>N14</f>
        <v>125682.56</v>
      </c>
      <c r="O30" s="55">
        <f>O14</f>
        <v>270874.89</v>
      </c>
      <c r="P30" s="55">
        <f>P14</f>
        <v>407111.03</v>
      </c>
      <c r="Q30" s="236"/>
      <c r="R30" s="133"/>
    </row>
    <row r="31" spans="1:19" s="21" customFormat="1" ht="15" customHeight="1">
      <c r="A31" s="40" t="s">
        <v>67</v>
      </c>
      <c r="B31" s="97">
        <f>B30/B29</f>
        <v>1.0765685714285713</v>
      </c>
      <c r="C31" s="97">
        <f>C30/C29</f>
        <v>0.95635625899280563</v>
      </c>
      <c r="D31" s="97">
        <f>D30/D29</f>
        <v>0.9311040014285713</v>
      </c>
      <c r="E31" s="237"/>
      <c r="F31" s="97">
        <f>F30/F29</f>
        <v>1.0233900840336134</v>
      </c>
      <c r="G31" s="97">
        <f>G30/G29</f>
        <v>0.91317970711297081</v>
      </c>
      <c r="H31" s="97">
        <f>H30/H29</f>
        <v>0.80043047619047625</v>
      </c>
      <c r="I31" s="237"/>
      <c r="J31" s="97">
        <f>J30/J29</f>
        <v>1.2908450974687229</v>
      </c>
      <c r="K31" s="97">
        <f>K30/K29</f>
        <v>1.0381718427582605</v>
      </c>
      <c r="L31" s="97">
        <f>L30/L29</f>
        <v>0.95095445000000012</v>
      </c>
      <c r="M31" s="237"/>
      <c r="N31" s="97">
        <f>N30/N29</f>
        <v>0.97428341085271308</v>
      </c>
      <c r="O31" s="97">
        <f>O30/O29</f>
        <v>0.99464463892288857</v>
      </c>
      <c r="P31" s="97">
        <f>P30/P29</f>
        <v>0.95119399532710269</v>
      </c>
      <c r="Q31" s="237"/>
      <c r="R31" s="133"/>
    </row>
    <row r="32" spans="1:19" s="23" customFormat="1" ht="15" customHeight="1">
      <c r="A32" s="40" t="s">
        <v>72</v>
      </c>
      <c r="B32" s="86">
        <f>B22*0.2</f>
        <v>720</v>
      </c>
      <c r="C32" s="86">
        <f>C22*0.2</f>
        <v>720</v>
      </c>
      <c r="D32" s="86">
        <f>D22*0.2</f>
        <v>720</v>
      </c>
      <c r="E32" s="236"/>
      <c r="F32" s="86">
        <f>F22*0.2</f>
        <v>720</v>
      </c>
      <c r="G32" s="86">
        <f>G22*0.2</f>
        <v>720</v>
      </c>
      <c r="H32" s="86">
        <f>H22*0.2</f>
        <v>720</v>
      </c>
      <c r="I32" s="236"/>
      <c r="J32" s="86">
        <f>J22*0.2</f>
        <v>720</v>
      </c>
      <c r="K32" s="86">
        <f>K22*0.2</f>
        <v>720</v>
      </c>
      <c r="L32" s="86">
        <f>L22*0.2</f>
        <v>720</v>
      </c>
      <c r="M32" s="236"/>
      <c r="N32" s="86">
        <f>N22*0.2</f>
        <v>620</v>
      </c>
      <c r="O32" s="86">
        <f>O22*0.2</f>
        <v>720</v>
      </c>
      <c r="P32" s="86">
        <f>P22*0.2</f>
        <v>720</v>
      </c>
      <c r="Q32" s="236"/>
      <c r="R32" s="133"/>
      <c r="S32" s="21"/>
    </row>
    <row r="33" spans="1:19" s="22" customFormat="1" ht="15" customHeight="1">
      <c r="A33" s="40" t="s">
        <v>68</v>
      </c>
      <c r="B33" s="58">
        <f>IF(B31&lt;80%,0,IF(B31&lt;90%,0.5,IF(B31&lt;95%,0.75,1)))</f>
        <v>1</v>
      </c>
      <c r="C33" s="58">
        <f>IF(C31&lt;80%,0,IF(C31&lt;90%,0.5,IF(C31&lt;95%,0.75,1)))</f>
        <v>1</v>
      </c>
      <c r="D33" s="58">
        <f>IF(D31&lt;80%,0,IF(D31&lt;90%,0.5,IF(D31&lt;95%,0.75,1)))</f>
        <v>0.75</v>
      </c>
      <c r="E33" s="238"/>
      <c r="F33" s="58">
        <f>IF(F31&lt;80%,0,IF(F31&lt;90%,0.5,IF(F31&lt;95%,0.75,1)))</f>
        <v>1</v>
      </c>
      <c r="G33" s="58">
        <f>IF(G31&lt;80%,0,IF(G31&lt;90%,0.5,IF(G31&lt;95%,0.75,1)))</f>
        <v>0.75</v>
      </c>
      <c r="H33" s="58">
        <f>IF(H31&lt;80%,0,IF(H31&lt;90%,0.5,IF(H31&lt;95%,0.75,1)))</f>
        <v>0.5</v>
      </c>
      <c r="I33" s="238"/>
      <c r="J33" s="58">
        <f>IF(J31&lt;80%,0,IF(J31&lt;90%,0.5,IF(J31&lt;95%,0.75,1)))</f>
        <v>1</v>
      </c>
      <c r="K33" s="58">
        <f>IF(K31&lt;80%,0,IF(K31&lt;90%,0.5,IF(K31&lt;95%,0.75,1)))</f>
        <v>1</v>
      </c>
      <c r="L33" s="58">
        <f>IF(L31&lt;80%,0,IF(L31&lt;90%,0.5,IF(L31&lt;95%,0.75,1)))</f>
        <v>1</v>
      </c>
      <c r="M33" s="238"/>
      <c r="N33" s="58">
        <f>IF(N31&lt;80%,0,IF(N31&lt;90%,0.5,IF(N31&lt;95%,0.75,1)))</f>
        <v>1</v>
      </c>
      <c r="O33" s="58">
        <f>IF(O31&lt;80%,0,IF(O31&lt;90%,0.5,IF(O31&lt;95%,0.75,1)))</f>
        <v>1</v>
      </c>
      <c r="P33" s="58">
        <f>IF(P31&lt;80%,0,IF(P31&lt;90%,0.5,IF(P31&lt;95%,0.75,1)))</f>
        <v>1</v>
      </c>
      <c r="Q33" s="238"/>
      <c r="R33" s="133"/>
      <c r="S33" s="23"/>
    </row>
    <row r="34" spans="1:19" s="21" customFormat="1" ht="15" customHeight="1">
      <c r="A34" s="59" t="s">
        <v>69</v>
      </c>
      <c r="B34" s="80">
        <f>B33*B32</f>
        <v>720</v>
      </c>
      <c r="C34" s="80">
        <f>C33*C32</f>
        <v>720</v>
      </c>
      <c r="D34" s="80">
        <f>D33*D32</f>
        <v>540</v>
      </c>
      <c r="E34" s="239"/>
      <c r="F34" s="80">
        <f>F33*F32</f>
        <v>720</v>
      </c>
      <c r="G34" s="80">
        <f>G33*G32</f>
        <v>540</v>
      </c>
      <c r="H34" s="80">
        <f>H33*H32</f>
        <v>360</v>
      </c>
      <c r="I34" s="239"/>
      <c r="J34" s="80">
        <f>J33*J32</f>
        <v>720</v>
      </c>
      <c r="K34" s="80">
        <f>K33*K32</f>
        <v>720</v>
      </c>
      <c r="L34" s="80">
        <f>L33*L32</f>
        <v>720</v>
      </c>
      <c r="M34" s="239"/>
      <c r="N34" s="80">
        <f>N33*N32</f>
        <v>620</v>
      </c>
      <c r="O34" s="80">
        <f>O33*O32</f>
        <v>720</v>
      </c>
      <c r="P34" s="80">
        <f>P33*P32</f>
        <v>720</v>
      </c>
      <c r="Q34" s="239"/>
      <c r="R34" s="137"/>
      <c r="S34" s="12"/>
    </row>
    <row r="35" spans="1:19" s="21" customFormat="1" ht="15" customHeight="1">
      <c r="A35" s="20" t="s">
        <v>45</v>
      </c>
      <c r="B35" s="98"/>
      <c r="C35" s="98"/>
      <c r="D35" s="98"/>
      <c r="E35" s="235"/>
      <c r="F35" s="98"/>
      <c r="G35" s="98"/>
      <c r="H35" s="98"/>
      <c r="I35" s="235"/>
      <c r="J35" s="98"/>
      <c r="K35" s="98"/>
      <c r="L35" s="98"/>
      <c r="M35" s="235"/>
      <c r="N35" s="98">
        <v>1</v>
      </c>
      <c r="O35" s="98"/>
      <c r="P35" s="98"/>
      <c r="Q35" s="235"/>
      <c r="R35" s="138"/>
      <c r="S35" s="23"/>
    </row>
    <row r="36" spans="1:19" s="23" customFormat="1" ht="15" customHeight="1">
      <c r="A36" s="52" t="s">
        <v>70</v>
      </c>
      <c r="B36" s="83">
        <f>B22*0.1</f>
        <v>360</v>
      </c>
      <c r="C36" s="83">
        <f>C22*0.1</f>
        <v>360</v>
      </c>
      <c r="D36" s="83">
        <f>D22*0.1</f>
        <v>360</v>
      </c>
      <c r="E36" s="240"/>
      <c r="F36" s="83">
        <f>F22*0.1</f>
        <v>360</v>
      </c>
      <c r="G36" s="83">
        <f>G22*0.1</f>
        <v>360</v>
      </c>
      <c r="H36" s="83">
        <f>H22*0.1</f>
        <v>360</v>
      </c>
      <c r="I36" s="240"/>
      <c r="J36" s="83">
        <f>J22*0.1</f>
        <v>360</v>
      </c>
      <c r="K36" s="83">
        <f>K22*0.1</f>
        <v>360</v>
      </c>
      <c r="L36" s="83">
        <f>L22*0.1</f>
        <v>360</v>
      </c>
      <c r="M36" s="240"/>
      <c r="N36" s="83">
        <f>N22*0.1</f>
        <v>310</v>
      </c>
      <c r="O36" s="83">
        <f>O22*0.1</f>
        <v>360</v>
      </c>
      <c r="P36" s="83">
        <f>P22*0.1</f>
        <v>360</v>
      </c>
      <c r="Q36" s="240"/>
      <c r="R36" s="136"/>
    </row>
    <row r="37" spans="1:19" s="22" customFormat="1" ht="15" customHeight="1">
      <c r="A37" s="40" t="s">
        <v>73</v>
      </c>
      <c r="B37" s="105" t="s">
        <v>242</v>
      </c>
      <c r="C37" s="105" t="s">
        <v>242</v>
      </c>
      <c r="D37" s="105" t="s">
        <v>242</v>
      </c>
      <c r="E37" s="236"/>
      <c r="F37" s="105" t="s">
        <v>242</v>
      </c>
      <c r="G37" s="107">
        <v>1</v>
      </c>
      <c r="H37" s="105" t="s">
        <v>242</v>
      </c>
      <c r="I37" s="236"/>
      <c r="J37" s="105" t="s">
        <v>242</v>
      </c>
      <c r="K37" s="105" t="s">
        <v>254</v>
      </c>
      <c r="L37" s="105" t="s">
        <v>242</v>
      </c>
      <c r="M37" s="236"/>
      <c r="N37" s="105" t="s">
        <v>242</v>
      </c>
      <c r="O37" s="105" t="s">
        <v>242</v>
      </c>
      <c r="P37" s="105" t="s">
        <v>242</v>
      </c>
      <c r="Q37" s="236"/>
      <c r="R37" s="133"/>
      <c r="S37" s="37"/>
    </row>
    <row r="38" spans="1:19" s="22" customFormat="1" ht="15" customHeight="1">
      <c r="A38" s="66" t="s">
        <v>74</v>
      </c>
      <c r="B38" s="81">
        <f>B37*B36</f>
        <v>360</v>
      </c>
      <c r="C38" s="81">
        <f>C37*C36</f>
        <v>360</v>
      </c>
      <c r="D38" s="81">
        <f>D37*D36</f>
        <v>360</v>
      </c>
      <c r="E38" s="239"/>
      <c r="F38" s="81">
        <f>F37*F36</f>
        <v>360</v>
      </c>
      <c r="G38" s="81">
        <f>G37*G36</f>
        <v>360</v>
      </c>
      <c r="H38" s="81">
        <f>H37*H36</f>
        <v>360</v>
      </c>
      <c r="I38" s="239"/>
      <c r="J38" s="81">
        <f>J37*J36</f>
        <v>360</v>
      </c>
      <c r="K38" s="81">
        <f>K37*K36</f>
        <v>0</v>
      </c>
      <c r="L38" s="81">
        <f>L37*L36</f>
        <v>360</v>
      </c>
      <c r="M38" s="239"/>
      <c r="N38" s="81">
        <f>N37*N36</f>
        <v>310</v>
      </c>
      <c r="O38" s="81">
        <f>O37*O36</f>
        <v>360</v>
      </c>
      <c r="P38" s="81">
        <f>P37*P36</f>
        <v>360</v>
      </c>
      <c r="Q38" s="239"/>
      <c r="R38" s="140"/>
      <c r="S38" s="14"/>
    </row>
    <row r="39" spans="1:19" s="43" customFormat="1" ht="15" customHeight="1">
      <c r="A39" s="56" t="s">
        <v>78</v>
      </c>
      <c r="B39" s="84">
        <f>B34+B28+B38</f>
        <v>1800</v>
      </c>
      <c r="C39" s="84">
        <f>C34+C28+C38</f>
        <v>1800</v>
      </c>
      <c r="D39" s="84">
        <f>D34+D28+D38</f>
        <v>1620</v>
      </c>
      <c r="E39" s="241"/>
      <c r="F39" s="84">
        <f>F34+F28+F38</f>
        <v>1800</v>
      </c>
      <c r="G39" s="84">
        <f>G34+G28+G38</f>
        <v>1620</v>
      </c>
      <c r="H39" s="84">
        <f>H34+H28+H38</f>
        <v>1260</v>
      </c>
      <c r="I39" s="241"/>
      <c r="J39" s="84">
        <f>J34+J28+J38</f>
        <v>1800</v>
      </c>
      <c r="K39" s="84">
        <f>K34+K28+K38</f>
        <v>1440</v>
      </c>
      <c r="L39" s="84">
        <f>L34+L28+L38</f>
        <v>1800</v>
      </c>
      <c r="M39" s="241"/>
      <c r="N39" s="84">
        <f>N34+N28+N38</f>
        <v>1550</v>
      </c>
      <c r="O39" s="84">
        <f>O34+O28+O38</f>
        <v>1800</v>
      </c>
      <c r="P39" s="84">
        <f>P34+P28+P38</f>
        <v>1800</v>
      </c>
      <c r="Q39" s="241"/>
      <c r="R39" s="141"/>
      <c r="S39" s="17"/>
    </row>
    <row r="40" spans="1:19" s="23" customFormat="1" ht="15" customHeight="1">
      <c r="A40" s="132" t="s">
        <v>162</v>
      </c>
      <c r="B40" s="586">
        <f>D5</f>
        <v>137000</v>
      </c>
      <c r="C40" s="587"/>
      <c r="D40" s="587"/>
      <c r="E40" s="574"/>
      <c r="F40" s="586">
        <f>H5</f>
        <v>130999.99999999999</v>
      </c>
      <c r="G40" s="587"/>
      <c r="H40" s="587"/>
      <c r="I40" s="574"/>
      <c r="J40" s="586">
        <f>L5</f>
        <v>130999.99999999999</v>
      </c>
      <c r="K40" s="587"/>
      <c r="L40" s="587"/>
      <c r="M40" s="574"/>
      <c r="N40" s="586">
        <f>P5</f>
        <v>137000</v>
      </c>
      <c r="O40" s="587"/>
      <c r="P40" s="587"/>
      <c r="Q40" s="574"/>
      <c r="R40" s="136"/>
    </row>
    <row r="41" spans="1:19" s="22" customFormat="1" ht="15" customHeight="1">
      <c r="A41" s="134" t="s">
        <v>80</v>
      </c>
      <c r="B41" s="580">
        <f>D7</f>
        <v>140082.9222</v>
      </c>
      <c r="C41" s="581"/>
      <c r="D41" s="581"/>
      <c r="E41" s="574"/>
      <c r="F41" s="580">
        <f>H7</f>
        <v>118332.3413</v>
      </c>
      <c r="G41" s="581"/>
      <c r="H41" s="581"/>
      <c r="I41" s="574"/>
      <c r="J41" s="580">
        <f>L7</f>
        <v>134371.13740000001</v>
      </c>
      <c r="K41" s="581"/>
      <c r="L41" s="581"/>
      <c r="M41" s="574"/>
      <c r="N41" s="580">
        <f>P7</f>
        <v>140522.77650000001</v>
      </c>
      <c r="O41" s="581"/>
      <c r="P41" s="581"/>
      <c r="Q41" s="574"/>
      <c r="R41" s="136"/>
      <c r="S41" s="37"/>
    </row>
    <row r="42" spans="1:19" s="21" customFormat="1" ht="15" customHeight="1">
      <c r="A42" s="134" t="s">
        <v>79</v>
      </c>
      <c r="B42" s="582">
        <f>B41/B40</f>
        <v>1.0225030817518248</v>
      </c>
      <c r="C42" s="583"/>
      <c r="D42" s="583"/>
      <c r="E42" s="574"/>
      <c r="F42" s="582">
        <f>F41/F40</f>
        <v>0.90330031526717569</v>
      </c>
      <c r="G42" s="583"/>
      <c r="H42" s="583"/>
      <c r="I42" s="574"/>
      <c r="J42" s="582">
        <f>J41/J40</f>
        <v>1.0257338732824428</v>
      </c>
      <c r="K42" s="583"/>
      <c r="L42" s="583"/>
      <c r="M42" s="574"/>
      <c r="N42" s="582">
        <f>N41/N40</f>
        <v>1.025713697080292</v>
      </c>
      <c r="O42" s="583"/>
      <c r="P42" s="583"/>
      <c r="Q42" s="574"/>
      <c r="R42" s="142"/>
    </row>
    <row r="43" spans="1:19" s="21" customFormat="1" ht="15" customHeight="1">
      <c r="A43" s="134" t="s">
        <v>76</v>
      </c>
      <c r="B43" s="572">
        <f>D22</f>
        <v>3600</v>
      </c>
      <c r="C43" s="573"/>
      <c r="D43" s="573"/>
      <c r="E43" s="574"/>
      <c r="F43" s="572">
        <f>H22</f>
        <v>3600</v>
      </c>
      <c r="G43" s="573"/>
      <c r="H43" s="573"/>
      <c r="I43" s="574"/>
      <c r="J43" s="572">
        <f>L22</f>
        <v>3600</v>
      </c>
      <c r="K43" s="573"/>
      <c r="L43" s="573"/>
      <c r="M43" s="574"/>
      <c r="N43" s="572">
        <f>P22</f>
        <v>3600</v>
      </c>
      <c r="O43" s="573"/>
      <c r="P43" s="573"/>
      <c r="Q43" s="574"/>
      <c r="R43" s="136"/>
      <c r="S43" s="23"/>
    </row>
    <row r="44" spans="1:19" s="23" customFormat="1" ht="15" customHeight="1">
      <c r="A44" s="88" t="s">
        <v>77</v>
      </c>
      <c r="B44" s="575">
        <f>IF(B42&lt;100%,0,IF(B42&lt;110%,0.5,IF(B42&lt;120%,0.7,1)))</f>
        <v>0.5</v>
      </c>
      <c r="C44" s="576"/>
      <c r="D44" s="576"/>
      <c r="E44" s="577"/>
      <c r="F44" s="575">
        <f>IF(F42&lt;100%,0,IF(F42&lt;110%,0.5,IF(F42&lt;120%,0.7,1)))</f>
        <v>0</v>
      </c>
      <c r="G44" s="576"/>
      <c r="H44" s="576"/>
      <c r="I44" s="577"/>
      <c r="J44" s="575">
        <f>IF(J42&lt;100%,0,IF(J42&lt;110%,0.5,IF(J42&lt;120%,0.7,1)))</f>
        <v>0.5</v>
      </c>
      <c r="K44" s="576"/>
      <c r="L44" s="576"/>
      <c r="M44" s="577"/>
      <c r="N44" s="575">
        <f>IF(N42&lt;100%,0,IF(N42&lt;110%,0.5,IF(N42&lt;120%,0.7,1)))</f>
        <v>0.5</v>
      </c>
      <c r="O44" s="576"/>
      <c r="P44" s="576"/>
      <c r="Q44" s="577"/>
      <c r="R44" s="143"/>
    </row>
    <row r="45" spans="1:19" s="22" customFormat="1" ht="15" customHeight="1">
      <c r="A45" s="56" t="s">
        <v>75</v>
      </c>
      <c r="B45" s="578">
        <f>B44*B43</f>
        <v>1800</v>
      </c>
      <c r="C45" s="579"/>
      <c r="D45" s="579"/>
      <c r="E45" s="577"/>
      <c r="F45" s="578">
        <f>F44*F43</f>
        <v>0</v>
      </c>
      <c r="G45" s="579"/>
      <c r="H45" s="579"/>
      <c r="I45" s="577"/>
      <c r="J45" s="578">
        <f>J44*J43</f>
        <v>1800</v>
      </c>
      <c r="K45" s="579"/>
      <c r="L45" s="579"/>
      <c r="M45" s="577"/>
      <c r="N45" s="578">
        <f>N44*N43</f>
        <v>1800</v>
      </c>
      <c r="O45" s="579"/>
      <c r="P45" s="579"/>
      <c r="Q45" s="577"/>
      <c r="R45" s="144"/>
      <c r="S45" s="37"/>
    </row>
    <row r="46" spans="1:19" s="21" customFormat="1" ht="15" customHeight="1">
      <c r="A46" s="63"/>
      <c r="B46" s="64"/>
      <c r="C46" s="64"/>
      <c r="D46" s="64"/>
      <c r="E46" s="146"/>
      <c r="F46" s="64"/>
      <c r="G46" s="64"/>
      <c r="H46" s="64"/>
      <c r="I46" s="146"/>
      <c r="J46" s="64"/>
      <c r="K46" s="64"/>
      <c r="L46" s="64"/>
      <c r="M46" s="146"/>
      <c r="N46" s="64"/>
      <c r="O46" s="64"/>
      <c r="P46" s="64"/>
      <c r="Q46" s="146"/>
      <c r="R46" s="147"/>
      <c r="S46" s="37"/>
    </row>
    <row r="47" spans="1:19" s="21" customFormat="1" ht="15" customHeight="1">
      <c r="A47" s="208" t="s">
        <v>27</v>
      </c>
      <c r="B47" s="114" t="s">
        <v>10</v>
      </c>
      <c r="C47" s="114" t="s">
        <v>11</v>
      </c>
      <c r="D47" s="114" t="s">
        <v>12</v>
      </c>
      <c r="E47" s="223" t="s">
        <v>165</v>
      </c>
      <c r="F47" s="114" t="s">
        <v>7</v>
      </c>
      <c r="G47" s="114" t="s">
        <v>8</v>
      </c>
      <c r="H47" s="114" t="s">
        <v>9</v>
      </c>
      <c r="I47" s="223" t="s">
        <v>164</v>
      </c>
      <c r="J47" s="114" t="s">
        <v>4</v>
      </c>
      <c r="K47" s="114" t="s">
        <v>5</v>
      </c>
      <c r="L47" s="114" t="s">
        <v>6</v>
      </c>
      <c r="M47" s="223" t="s">
        <v>163</v>
      </c>
      <c r="N47" s="114" t="s">
        <v>1</v>
      </c>
      <c r="O47" s="114" t="s">
        <v>2</v>
      </c>
      <c r="P47" s="114" t="s">
        <v>3</v>
      </c>
      <c r="Q47" s="223" t="s">
        <v>152</v>
      </c>
      <c r="R47" s="114" t="s">
        <v>166</v>
      </c>
    </row>
    <row r="48" spans="1:19" s="21" customFormat="1" ht="15" customHeight="1">
      <c r="A48" s="148" t="s">
        <v>36</v>
      </c>
      <c r="B48" s="115"/>
      <c r="C48" s="115"/>
      <c r="D48" s="115"/>
      <c r="E48" s="224">
        <f>SUM(B48:D48)</f>
        <v>0</v>
      </c>
      <c r="F48" s="115"/>
      <c r="G48" s="115"/>
      <c r="H48" s="115"/>
      <c r="I48" s="224">
        <f t="shared" ref="I48:I61" si="12">SUM(F48:H48)</f>
        <v>0</v>
      </c>
      <c r="J48" s="115"/>
      <c r="K48" s="115"/>
      <c r="L48" s="115"/>
      <c r="M48" s="224">
        <f>SUM(J48:L48)</f>
        <v>0</v>
      </c>
      <c r="N48" s="115"/>
      <c r="O48" s="115"/>
      <c r="P48" s="115"/>
      <c r="Q48" s="224">
        <f>SUM(N48:P48)</f>
        <v>0</v>
      </c>
      <c r="R48" s="116">
        <f t="shared" ref="R48:R61" si="13">Q48+M48+I48+E48</f>
        <v>0</v>
      </c>
      <c r="S48" s="23"/>
    </row>
    <row r="49" spans="1:19" s="21" customFormat="1" ht="15" customHeight="1">
      <c r="A49" s="148" t="s">
        <v>37</v>
      </c>
      <c r="B49" s="115"/>
      <c r="C49" s="115"/>
      <c r="D49" s="115">
        <v>1</v>
      </c>
      <c r="E49" s="224">
        <f t="shared" ref="E49:E61" si="14">SUM(B49:D49)</f>
        <v>1</v>
      </c>
      <c r="F49" s="115"/>
      <c r="G49" s="115"/>
      <c r="H49" s="115"/>
      <c r="I49" s="224">
        <f t="shared" si="12"/>
        <v>0</v>
      </c>
      <c r="J49" s="115">
        <v>1</v>
      </c>
      <c r="K49" s="115">
        <v>1</v>
      </c>
      <c r="L49" s="115">
        <v>2</v>
      </c>
      <c r="M49" s="224">
        <f t="shared" ref="M49:M61" si="15">SUM(J49:L49)</f>
        <v>4</v>
      </c>
      <c r="N49" s="115">
        <v>1</v>
      </c>
      <c r="O49" s="115"/>
      <c r="P49" s="115">
        <v>2</v>
      </c>
      <c r="Q49" s="224">
        <f t="shared" ref="Q49:Q61" si="16">SUM(N49:P49)</f>
        <v>3</v>
      </c>
      <c r="R49" s="116">
        <f t="shared" si="13"/>
        <v>8</v>
      </c>
      <c r="S49" s="22"/>
    </row>
    <row r="50" spans="1:19" s="21" customFormat="1" ht="15" customHeight="1">
      <c r="A50" s="148" t="s">
        <v>81</v>
      </c>
      <c r="B50" s="115"/>
      <c r="C50" s="115"/>
      <c r="D50" s="115"/>
      <c r="E50" s="224">
        <f t="shared" si="14"/>
        <v>0</v>
      </c>
      <c r="F50" s="115"/>
      <c r="G50" s="115"/>
      <c r="H50" s="115"/>
      <c r="I50" s="224">
        <f t="shared" si="12"/>
        <v>0</v>
      </c>
      <c r="J50" s="115"/>
      <c r="K50" s="115"/>
      <c r="L50" s="115"/>
      <c r="M50" s="224">
        <f t="shared" si="15"/>
        <v>0</v>
      </c>
      <c r="N50" s="115"/>
      <c r="O50" s="115"/>
      <c r="P50" s="115"/>
      <c r="Q50" s="224">
        <f t="shared" si="16"/>
        <v>0</v>
      </c>
      <c r="R50" s="116">
        <f t="shared" si="13"/>
        <v>0</v>
      </c>
    </row>
    <row r="51" spans="1:19" s="21" customFormat="1" ht="15" customHeight="1">
      <c r="A51" s="148" t="s">
        <v>38</v>
      </c>
      <c r="B51" s="115">
        <v>1</v>
      </c>
      <c r="C51" s="115">
        <v>1</v>
      </c>
      <c r="D51" s="115"/>
      <c r="E51" s="224">
        <f t="shared" si="14"/>
        <v>2</v>
      </c>
      <c r="F51" s="115"/>
      <c r="G51" s="115"/>
      <c r="H51" s="115">
        <v>1</v>
      </c>
      <c r="I51" s="224">
        <f t="shared" si="12"/>
        <v>1</v>
      </c>
      <c r="J51" s="115">
        <v>1</v>
      </c>
      <c r="K51" s="115">
        <v>3</v>
      </c>
      <c r="L51" s="115"/>
      <c r="M51" s="224">
        <f t="shared" si="15"/>
        <v>4</v>
      </c>
      <c r="N51" s="115">
        <v>2</v>
      </c>
      <c r="O51" s="115"/>
      <c r="P51" s="115"/>
      <c r="Q51" s="224">
        <f t="shared" si="16"/>
        <v>2</v>
      </c>
      <c r="R51" s="116">
        <f t="shared" si="13"/>
        <v>9</v>
      </c>
    </row>
    <row r="52" spans="1:19" s="21" customFormat="1" ht="15" customHeight="1">
      <c r="A52" s="148" t="s">
        <v>23</v>
      </c>
      <c r="B52" s="115">
        <v>1</v>
      </c>
      <c r="C52" s="115">
        <v>1</v>
      </c>
      <c r="D52" s="115"/>
      <c r="E52" s="224">
        <f t="shared" si="14"/>
        <v>2</v>
      </c>
      <c r="F52" s="115"/>
      <c r="G52" s="115"/>
      <c r="H52" s="115"/>
      <c r="I52" s="224">
        <f t="shared" si="12"/>
        <v>0</v>
      </c>
      <c r="J52" s="115"/>
      <c r="K52" s="115"/>
      <c r="L52" s="115"/>
      <c r="M52" s="224">
        <f t="shared" si="15"/>
        <v>0</v>
      </c>
      <c r="N52" s="115"/>
      <c r="O52" s="115"/>
      <c r="P52" s="115"/>
      <c r="Q52" s="224">
        <f t="shared" si="16"/>
        <v>0</v>
      </c>
      <c r="R52" s="116">
        <f t="shared" si="13"/>
        <v>2</v>
      </c>
    </row>
    <row r="53" spans="1:19" s="21" customFormat="1" ht="15" customHeight="1">
      <c r="A53" s="148" t="s">
        <v>29</v>
      </c>
      <c r="B53" s="115"/>
      <c r="C53" s="115"/>
      <c r="D53" s="115"/>
      <c r="E53" s="224">
        <f t="shared" si="14"/>
        <v>0</v>
      </c>
      <c r="F53" s="115"/>
      <c r="G53" s="115"/>
      <c r="H53" s="115"/>
      <c r="I53" s="224">
        <f t="shared" si="12"/>
        <v>0</v>
      </c>
      <c r="J53" s="115"/>
      <c r="K53" s="115"/>
      <c r="L53" s="115"/>
      <c r="M53" s="224">
        <f t="shared" si="15"/>
        <v>0</v>
      </c>
      <c r="N53" s="115"/>
      <c r="O53" s="115"/>
      <c r="P53" s="115"/>
      <c r="Q53" s="224">
        <f t="shared" si="16"/>
        <v>0</v>
      </c>
      <c r="R53" s="116">
        <f t="shared" si="13"/>
        <v>0</v>
      </c>
    </row>
    <row r="54" spans="1:19" s="21" customFormat="1" ht="15" customHeight="1">
      <c r="A54" s="148" t="s">
        <v>24</v>
      </c>
      <c r="B54" s="115"/>
      <c r="C54" s="115"/>
      <c r="D54" s="115"/>
      <c r="E54" s="224">
        <f t="shared" si="14"/>
        <v>0</v>
      </c>
      <c r="F54" s="115"/>
      <c r="G54" s="115"/>
      <c r="H54" s="115"/>
      <c r="I54" s="224">
        <f t="shared" si="12"/>
        <v>0</v>
      </c>
      <c r="J54" s="115">
        <v>1</v>
      </c>
      <c r="K54" s="115"/>
      <c r="L54" s="115"/>
      <c r="M54" s="224">
        <f t="shared" si="15"/>
        <v>1</v>
      </c>
      <c r="N54" s="115">
        <v>1</v>
      </c>
      <c r="O54" s="115"/>
      <c r="P54" s="115">
        <v>1</v>
      </c>
      <c r="Q54" s="224">
        <f t="shared" si="16"/>
        <v>2</v>
      </c>
      <c r="R54" s="116">
        <f t="shared" si="13"/>
        <v>3</v>
      </c>
    </row>
    <row r="55" spans="1:19" s="21" customFormat="1" ht="15" customHeight="1">
      <c r="A55" s="148" t="s">
        <v>28</v>
      </c>
      <c r="B55" s="115"/>
      <c r="C55" s="115"/>
      <c r="D55" s="115"/>
      <c r="E55" s="224">
        <f t="shared" si="14"/>
        <v>0</v>
      </c>
      <c r="F55" s="115"/>
      <c r="G55" s="115"/>
      <c r="H55" s="115"/>
      <c r="I55" s="224">
        <f t="shared" si="12"/>
        <v>0</v>
      </c>
      <c r="J55" s="115"/>
      <c r="K55" s="115"/>
      <c r="L55" s="115"/>
      <c r="M55" s="224">
        <f t="shared" si="15"/>
        <v>0</v>
      </c>
      <c r="N55" s="115"/>
      <c r="O55" s="115"/>
      <c r="P55" s="115"/>
      <c r="Q55" s="224">
        <f t="shared" si="16"/>
        <v>0</v>
      </c>
      <c r="R55" s="116">
        <f t="shared" si="13"/>
        <v>0</v>
      </c>
    </row>
    <row r="56" spans="1:19" ht="15" customHeight="1">
      <c r="A56" s="148" t="s">
        <v>200</v>
      </c>
      <c r="B56" s="115"/>
      <c r="C56" s="115"/>
      <c r="D56" s="115"/>
      <c r="E56" s="224"/>
      <c r="F56" s="115"/>
      <c r="G56" s="115"/>
      <c r="H56" s="115"/>
      <c r="I56" s="224"/>
      <c r="J56" s="115"/>
      <c r="K56" s="115"/>
      <c r="L56" s="115"/>
      <c r="M56" s="224"/>
      <c r="N56" s="115">
        <v>1</v>
      </c>
      <c r="O56" s="115"/>
      <c r="P56" s="115"/>
      <c r="Q56" s="224"/>
      <c r="R56" s="116">
        <f t="shared" si="13"/>
        <v>0</v>
      </c>
      <c r="S56" s="21"/>
    </row>
    <row r="57" spans="1:19" ht="15" customHeight="1">
      <c r="A57" s="148" t="s">
        <v>221</v>
      </c>
      <c r="B57" s="115"/>
      <c r="C57" s="115"/>
      <c r="D57" s="115">
        <v>1</v>
      </c>
      <c r="E57" s="224"/>
      <c r="F57" s="115"/>
      <c r="G57" s="115"/>
      <c r="H57" s="115"/>
      <c r="I57" s="224"/>
      <c r="J57" s="115"/>
      <c r="K57" s="115"/>
      <c r="L57" s="115">
        <v>1</v>
      </c>
      <c r="M57" s="224"/>
      <c r="N57" s="115"/>
      <c r="O57" s="115"/>
      <c r="P57" s="115"/>
      <c r="Q57" s="224"/>
      <c r="R57" s="116">
        <f t="shared" si="13"/>
        <v>0</v>
      </c>
      <c r="S57" s="21"/>
    </row>
    <row r="58" spans="1:19" s="21" customFormat="1" ht="15" customHeight="1">
      <c r="A58" s="148" t="s">
        <v>25</v>
      </c>
      <c r="B58" s="115"/>
      <c r="C58" s="115"/>
      <c r="D58" s="115"/>
      <c r="E58" s="224">
        <f t="shared" si="14"/>
        <v>0</v>
      </c>
      <c r="F58" s="115"/>
      <c r="G58" s="115"/>
      <c r="H58" s="115"/>
      <c r="I58" s="224">
        <f t="shared" si="12"/>
        <v>0</v>
      </c>
      <c r="J58" s="115"/>
      <c r="K58" s="115"/>
      <c r="L58" s="115"/>
      <c r="M58" s="224">
        <f t="shared" si="15"/>
        <v>0</v>
      </c>
      <c r="N58" s="115"/>
      <c r="O58" s="115"/>
      <c r="P58" s="115"/>
      <c r="Q58" s="224">
        <f t="shared" si="16"/>
        <v>0</v>
      </c>
      <c r="R58" s="116">
        <f t="shared" si="13"/>
        <v>0</v>
      </c>
    </row>
    <row r="59" spans="1:19" s="21" customFormat="1" ht="15" customHeight="1">
      <c r="A59" s="148" t="s">
        <v>82</v>
      </c>
      <c r="B59" s="115"/>
      <c r="C59" s="115"/>
      <c r="D59" s="115"/>
      <c r="E59" s="224">
        <f t="shared" si="14"/>
        <v>0</v>
      </c>
      <c r="F59" s="115"/>
      <c r="G59" s="115"/>
      <c r="H59" s="115"/>
      <c r="I59" s="224">
        <f t="shared" si="12"/>
        <v>0</v>
      </c>
      <c r="J59" s="115"/>
      <c r="K59" s="115"/>
      <c r="L59" s="115"/>
      <c r="M59" s="224">
        <f t="shared" si="15"/>
        <v>0</v>
      </c>
      <c r="N59" s="115"/>
      <c r="O59" s="115"/>
      <c r="P59" s="115"/>
      <c r="Q59" s="224">
        <f t="shared" si="16"/>
        <v>0</v>
      </c>
      <c r="R59" s="116">
        <f t="shared" si="13"/>
        <v>0</v>
      </c>
    </row>
    <row r="60" spans="1:19" s="21" customFormat="1" ht="15" customHeight="1">
      <c r="A60" s="148" t="s">
        <v>35</v>
      </c>
      <c r="B60" s="115"/>
      <c r="C60" s="115"/>
      <c r="D60" s="115"/>
      <c r="E60" s="224">
        <f t="shared" si="14"/>
        <v>0</v>
      </c>
      <c r="F60" s="115"/>
      <c r="G60" s="115"/>
      <c r="H60" s="115"/>
      <c r="I60" s="224">
        <f t="shared" si="12"/>
        <v>0</v>
      </c>
      <c r="J60" s="115"/>
      <c r="K60" s="115"/>
      <c r="L60" s="115"/>
      <c r="M60" s="224">
        <f t="shared" si="15"/>
        <v>0</v>
      </c>
      <c r="N60" s="115"/>
      <c r="O60" s="115"/>
      <c r="P60" s="115"/>
      <c r="Q60" s="224">
        <f t="shared" si="16"/>
        <v>0</v>
      </c>
      <c r="R60" s="116">
        <f t="shared" si="13"/>
        <v>0</v>
      </c>
    </row>
    <row r="61" spans="1:19" s="21" customFormat="1" ht="15" customHeight="1">
      <c r="A61" s="148" t="s">
        <v>26</v>
      </c>
      <c r="B61" s="115">
        <f>SUM(B48:B60)</f>
        <v>2</v>
      </c>
      <c r="C61" s="115">
        <f>SUM(C48:C60)</f>
        <v>2</v>
      </c>
      <c r="D61" s="115">
        <f>SUM(D48:D60)</f>
        <v>2</v>
      </c>
      <c r="E61" s="224">
        <f t="shared" si="14"/>
        <v>6</v>
      </c>
      <c r="F61" s="115">
        <f>SUM(F48:F60)</f>
        <v>0</v>
      </c>
      <c r="G61" s="115">
        <f>SUM(G48:G60)</f>
        <v>0</v>
      </c>
      <c r="H61" s="115">
        <f>SUM(H48:H60)</f>
        <v>1</v>
      </c>
      <c r="I61" s="224">
        <f t="shared" si="12"/>
        <v>1</v>
      </c>
      <c r="J61" s="115">
        <f>SUM(J48:J60)</f>
        <v>3</v>
      </c>
      <c r="K61" s="115">
        <f>SUM(K48:K60)</f>
        <v>4</v>
      </c>
      <c r="L61" s="115">
        <f>SUM(L48:L60)</f>
        <v>3</v>
      </c>
      <c r="M61" s="224">
        <f t="shared" si="15"/>
        <v>10</v>
      </c>
      <c r="N61" s="115">
        <f>SUM(N48:N60)</f>
        <v>5</v>
      </c>
      <c r="O61" s="115">
        <f>SUM(O48:O60)</f>
        <v>0</v>
      </c>
      <c r="P61" s="115">
        <f>SUM(P48:P60)</f>
        <v>3</v>
      </c>
      <c r="Q61" s="224">
        <f t="shared" si="16"/>
        <v>8</v>
      </c>
      <c r="R61" s="116">
        <f t="shared" si="13"/>
        <v>25</v>
      </c>
    </row>
    <row r="62" spans="1:19" ht="13.5" thickBot="1">
      <c r="A62" s="149"/>
      <c r="B62" s="150"/>
      <c r="C62" s="150"/>
      <c r="D62" s="150"/>
      <c r="F62" s="150"/>
      <c r="G62" s="150"/>
      <c r="H62" s="150"/>
      <c r="J62" s="150"/>
      <c r="K62" s="150"/>
      <c r="L62" s="150"/>
      <c r="N62" s="150"/>
      <c r="O62" s="150"/>
      <c r="P62" s="150"/>
      <c r="S62" s="21"/>
    </row>
    <row r="63" spans="1:19" ht="13.5" thickBot="1">
      <c r="A63" s="177" t="s">
        <v>109</v>
      </c>
      <c r="B63" s="178" t="s">
        <v>110</v>
      </c>
      <c r="C63" s="178" t="s">
        <v>11</v>
      </c>
      <c r="D63" s="178" t="s">
        <v>12</v>
      </c>
      <c r="E63" s="178" t="s">
        <v>165</v>
      </c>
      <c r="F63" s="178" t="s">
        <v>7</v>
      </c>
      <c r="G63" s="178" t="s">
        <v>8</v>
      </c>
      <c r="H63" s="178" t="s">
        <v>9</v>
      </c>
      <c r="I63" s="178" t="s">
        <v>164</v>
      </c>
      <c r="J63" s="178" t="s">
        <v>4</v>
      </c>
      <c r="K63" s="178" t="s">
        <v>5</v>
      </c>
      <c r="L63" s="178" t="s">
        <v>6</v>
      </c>
      <c r="M63" s="178" t="s">
        <v>163</v>
      </c>
      <c r="N63" s="178" t="s">
        <v>1</v>
      </c>
      <c r="O63" s="178" t="s">
        <v>2</v>
      </c>
      <c r="P63" s="178" t="s">
        <v>3</v>
      </c>
      <c r="Q63" s="167" t="s">
        <v>173</v>
      </c>
      <c r="R63" s="167" t="s">
        <v>111</v>
      </c>
    </row>
    <row r="64" spans="1:19" ht="13.5" thickTop="1">
      <c r="A64" s="179" t="s">
        <v>112</v>
      </c>
      <c r="B64" s="499">
        <v>0</v>
      </c>
      <c r="C64" s="499">
        <v>2</v>
      </c>
      <c r="D64" s="499">
        <v>2</v>
      </c>
      <c r="E64" s="256">
        <f>SUM(B64:D64)</f>
        <v>4</v>
      </c>
      <c r="F64" s="170">
        <v>1</v>
      </c>
      <c r="G64" s="170">
        <v>0</v>
      </c>
      <c r="H64" s="170">
        <v>2</v>
      </c>
      <c r="I64" s="256">
        <f>SUM(F64:H64)</f>
        <v>3</v>
      </c>
      <c r="J64" s="170">
        <v>2</v>
      </c>
      <c r="K64" s="170">
        <v>3</v>
      </c>
      <c r="L64" s="170">
        <v>0</v>
      </c>
      <c r="M64" s="256">
        <f>SUM(J64:L64)</f>
        <v>5</v>
      </c>
      <c r="N64" s="170">
        <v>1</v>
      </c>
      <c r="O64" s="170">
        <v>0</v>
      </c>
      <c r="P64" s="170">
        <v>3</v>
      </c>
      <c r="Q64" s="256">
        <f>SUM(N64:P64)</f>
        <v>4</v>
      </c>
      <c r="R64" s="256">
        <f>Q64+M64+I64+E64</f>
        <v>16</v>
      </c>
      <c r="S64" s="69"/>
    </row>
    <row r="65" spans="1:19">
      <c r="A65" s="180" t="s">
        <v>113</v>
      </c>
      <c r="B65" s="494">
        <v>0</v>
      </c>
      <c r="C65" s="494">
        <v>0</v>
      </c>
      <c r="D65" s="494">
        <v>0</v>
      </c>
      <c r="E65" s="256">
        <f>SUM(B65:D65)</f>
        <v>0</v>
      </c>
      <c r="F65" s="171">
        <v>0</v>
      </c>
      <c r="G65" s="171">
        <v>0</v>
      </c>
      <c r="H65" s="171">
        <v>0</v>
      </c>
      <c r="I65" s="256">
        <f>SUM(F65:H65)</f>
        <v>0</v>
      </c>
      <c r="J65" s="171">
        <v>0</v>
      </c>
      <c r="K65" s="171">
        <v>0</v>
      </c>
      <c r="L65" s="171">
        <v>0</v>
      </c>
      <c r="M65" s="256">
        <f>SUM(J65:L65)</f>
        <v>0</v>
      </c>
      <c r="N65" s="171">
        <v>0</v>
      </c>
      <c r="O65" s="171">
        <v>1</v>
      </c>
      <c r="P65" s="171">
        <v>0</v>
      </c>
      <c r="Q65" s="256">
        <f>SUM(N65:P65)</f>
        <v>1</v>
      </c>
      <c r="R65" s="256">
        <f>Q65+M65+I65+E65</f>
        <v>1</v>
      </c>
      <c r="S65" s="69"/>
    </row>
    <row r="66" spans="1:19">
      <c r="A66" s="180" t="s">
        <v>114</v>
      </c>
      <c r="B66" s="494">
        <v>108</v>
      </c>
      <c r="C66" s="494">
        <v>111</v>
      </c>
      <c r="D66" s="494">
        <v>93</v>
      </c>
      <c r="E66" s="257"/>
      <c r="F66" s="171">
        <v>105</v>
      </c>
      <c r="G66" s="171">
        <v>105</v>
      </c>
      <c r="H66" s="171">
        <v>107</v>
      </c>
      <c r="I66" s="257"/>
      <c r="J66" s="171">
        <v>102</v>
      </c>
      <c r="K66" s="171">
        <v>104</v>
      </c>
      <c r="L66" s="171">
        <v>105</v>
      </c>
      <c r="M66" s="257"/>
      <c r="N66" s="171">
        <v>93</v>
      </c>
      <c r="O66" s="171">
        <v>95</v>
      </c>
      <c r="P66" s="171">
        <v>98</v>
      </c>
      <c r="Q66" s="257"/>
      <c r="R66" s="257"/>
      <c r="S66" s="69"/>
    </row>
    <row r="67" spans="1:19">
      <c r="A67" s="180" t="s">
        <v>115</v>
      </c>
      <c r="B67" s="494">
        <v>68</v>
      </c>
      <c r="C67" s="494">
        <v>64</v>
      </c>
      <c r="D67" s="494">
        <v>58</v>
      </c>
      <c r="E67" s="257"/>
      <c r="F67" s="171">
        <v>56</v>
      </c>
      <c r="G67" s="171">
        <v>54</v>
      </c>
      <c r="H67" s="171">
        <v>71</v>
      </c>
      <c r="I67" s="257"/>
      <c r="J67" s="171">
        <v>60</v>
      </c>
      <c r="K67" s="171">
        <v>59</v>
      </c>
      <c r="L67" s="171">
        <v>57</v>
      </c>
      <c r="M67" s="257"/>
      <c r="N67" s="171">
        <v>59</v>
      </c>
      <c r="O67" s="171">
        <v>62</v>
      </c>
      <c r="P67" s="171">
        <v>62</v>
      </c>
      <c r="Q67" s="257"/>
      <c r="R67" s="257"/>
      <c r="S67" s="69"/>
    </row>
    <row r="68" spans="1:19">
      <c r="A68" s="180" t="s">
        <v>172</v>
      </c>
      <c r="B68" s="494">
        <v>22</v>
      </c>
      <c r="C68" s="494">
        <v>21</v>
      </c>
      <c r="D68" s="494">
        <v>20</v>
      </c>
      <c r="E68" s="257"/>
      <c r="F68" s="171">
        <v>21</v>
      </c>
      <c r="G68" s="171">
        <v>21</v>
      </c>
      <c r="H68" s="171">
        <v>22</v>
      </c>
      <c r="I68" s="257"/>
      <c r="J68" s="171">
        <v>22</v>
      </c>
      <c r="K68" s="171">
        <v>21</v>
      </c>
      <c r="L68" s="171">
        <v>21</v>
      </c>
      <c r="M68" s="257"/>
      <c r="N68" s="171">
        <v>22</v>
      </c>
      <c r="O68" s="171">
        <v>22</v>
      </c>
      <c r="P68" s="171">
        <v>21</v>
      </c>
      <c r="Q68" s="257"/>
      <c r="R68" s="257"/>
      <c r="S68" s="69"/>
    </row>
    <row r="69" spans="1:19">
      <c r="A69" s="180" t="s">
        <v>116</v>
      </c>
      <c r="B69" s="500">
        <v>198</v>
      </c>
      <c r="C69" s="500">
        <v>196</v>
      </c>
      <c r="D69" s="500">
        <v>171</v>
      </c>
      <c r="E69" s="258"/>
      <c r="F69" s="181">
        <f t="shared" ref="F69:G69" si="17">SUM(F66:F68)</f>
        <v>182</v>
      </c>
      <c r="G69" s="181">
        <f t="shared" si="17"/>
        <v>180</v>
      </c>
      <c r="H69" s="181">
        <f t="shared" ref="H69" si="18">SUM(H66:H68)</f>
        <v>200</v>
      </c>
      <c r="I69" s="258"/>
      <c r="J69" s="181">
        <f t="shared" ref="J69:K69" si="19">SUM(J66:J68)</f>
        <v>184</v>
      </c>
      <c r="K69" s="181">
        <f t="shared" si="19"/>
        <v>184</v>
      </c>
      <c r="L69" s="181">
        <f t="shared" ref="L69" si="20">SUM(L66:L68)</f>
        <v>183</v>
      </c>
      <c r="M69" s="258"/>
      <c r="N69" s="181">
        <f t="shared" ref="N69:P69" si="21">SUM(N66:N68)</f>
        <v>174</v>
      </c>
      <c r="O69" s="181">
        <f t="shared" si="21"/>
        <v>179</v>
      </c>
      <c r="P69" s="181">
        <f t="shared" si="21"/>
        <v>181</v>
      </c>
      <c r="Q69" s="258"/>
      <c r="R69" s="258"/>
      <c r="S69" s="69"/>
    </row>
    <row r="70" spans="1:19" ht="13.5" thickBot="1">
      <c r="A70" s="182" t="s">
        <v>117</v>
      </c>
      <c r="B70" s="501">
        <v>2</v>
      </c>
      <c r="C70" s="501">
        <v>2</v>
      </c>
      <c r="D70" s="501">
        <v>2</v>
      </c>
      <c r="E70" s="256">
        <f>SUM(B70:D70)</f>
        <v>6</v>
      </c>
      <c r="F70" s="172">
        <v>0</v>
      </c>
      <c r="G70" s="172">
        <v>0</v>
      </c>
      <c r="H70" s="172">
        <v>1</v>
      </c>
      <c r="I70" s="256">
        <f>SUM(F70:H70)</f>
        <v>1</v>
      </c>
      <c r="J70" s="172">
        <v>3</v>
      </c>
      <c r="K70" s="172">
        <v>4</v>
      </c>
      <c r="L70" s="172">
        <v>3</v>
      </c>
      <c r="M70" s="256">
        <f>SUM(J70:L70)</f>
        <v>10</v>
      </c>
      <c r="N70" s="172">
        <v>5</v>
      </c>
      <c r="O70" s="172">
        <v>0</v>
      </c>
      <c r="P70" s="172">
        <v>3</v>
      </c>
      <c r="Q70" s="256">
        <f>SUM(N70:P70)</f>
        <v>8</v>
      </c>
      <c r="R70" s="256">
        <f>Q70+M70+I70+E70</f>
        <v>25</v>
      </c>
      <c r="S70" s="69"/>
    </row>
    <row r="71" spans="1:19" ht="13.5" thickTop="1">
      <c r="A71" s="183" t="s">
        <v>174</v>
      </c>
      <c r="B71" s="502">
        <v>38</v>
      </c>
      <c r="C71" s="502">
        <v>26</v>
      </c>
      <c r="D71" s="502">
        <v>23</v>
      </c>
      <c r="E71" s="256">
        <f>SUM(B71:D71)</f>
        <v>87</v>
      </c>
      <c r="F71" s="173">
        <v>18</v>
      </c>
      <c r="G71" s="173">
        <v>23</v>
      </c>
      <c r="H71" s="173">
        <v>13</v>
      </c>
      <c r="I71" s="256">
        <f>SUM(F71:H71)</f>
        <v>54</v>
      </c>
      <c r="J71" s="173">
        <v>19</v>
      </c>
      <c r="K71" s="173">
        <v>23</v>
      </c>
      <c r="L71" s="173">
        <v>13</v>
      </c>
      <c r="M71" s="256">
        <f>SUM(J71:L71)</f>
        <v>55</v>
      </c>
      <c r="N71" s="173">
        <v>25</v>
      </c>
      <c r="O71" s="173">
        <v>28</v>
      </c>
      <c r="P71" s="173">
        <v>34</v>
      </c>
      <c r="Q71" s="256">
        <f>SUM(N71:P71)</f>
        <v>87</v>
      </c>
      <c r="R71" s="256">
        <f>Q71+M71+I71+E71</f>
        <v>283</v>
      </c>
      <c r="S71" s="69"/>
    </row>
    <row r="72" spans="1:19">
      <c r="A72" s="180" t="s">
        <v>118</v>
      </c>
      <c r="B72" s="494">
        <v>13</v>
      </c>
      <c r="C72" s="494">
        <v>11</v>
      </c>
      <c r="D72" s="494">
        <v>8</v>
      </c>
      <c r="E72" s="259"/>
      <c r="F72" s="171">
        <v>11</v>
      </c>
      <c r="G72" s="171">
        <v>10</v>
      </c>
      <c r="H72" s="171">
        <v>4</v>
      </c>
      <c r="I72" s="259"/>
      <c r="J72" s="171">
        <v>7</v>
      </c>
      <c r="K72" s="171">
        <v>11</v>
      </c>
      <c r="L72" s="171">
        <v>6</v>
      </c>
      <c r="M72" s="259"/>
      <c r="N72" s="171">
        <v>7</v>
      </c>
      <c r="O72" s="171">
        <v>12</v>
      </c>
      <c r="P72" s="171">
        <v>12</v>
      </c>
      <c r="Q72" s="259"/>
      <c r="R72" s="259"/>
      <c r="S72" s="69"/>
    </row>
    <row r="73" spans="1:19">
      <c r="A73" s="180" t="s">
        <v>119</v>
      </c>
      <c r="B73" s="494">
        <v>12</v>
      </c>
      <c r="C73" s="494">
        <v>7</v>
      </c>
      <c r="D73" s="494">
        <v>8</v>
      </c>
      <c r="E73" s="260"/>
      <c r="F73" s="171">
        <v>3</v>
      </c>
      <c r="G73" s="171">
        <v>8</v>
      </c>
      <c r="H73" s="171">
        <v>5</v>
      </c>
      <c r="I73" s="260"/>
      <c r="J73" s="171">
        <v>7</v>
      </c>
      <c r="K73" s="171">
        <v>8</v>
      </c>
      <c r="L73" s="171">
        <v>5</v>
      </c>
      <c r="M73" s="260"/>
      <c r="N73" s="171">
        <v>16</v>
      </c>
      <c r="O73" s="171">
        <v>9</v>
      </c>
      <c r="P73" s="171">
        <v>13</v>
      </c>
      <c r="Q73" s="260"/>
      <c r="R73" s="260"/>
      <c r="S73" s="69"/>
    </row>
    <row r="74" spans="1:19" ht="13.5" thickBot="1">
      <c r="A74" s="184" t="s">
        <v>120</v>
      </c>
      <c r="B74" s="503">
        <v>17</v>
      </c>
      <c r="C74" s="503">
        <v>21</v>
      </c>
      <c r="D74" s="503">
        <v>16</v>
      </c>
      <c r="E74" s="261"/>
      <c r="F74" s="174">
        <v>18</v>
      </c>
      <c r="G74" s="174">
        <v>16</v>
      </c>
      <c r="H74" s="174">
        <v>15</v>
      </c>
      <c r="I74" s="261"/>
      <c r="J74" s="174">
        <v>16</v>
      </c>
      <c r="K74" s="174">
        <v>10</v>
      </c>
      <c r="L74" s="174">
        <v>6</v>
      </c>
      <c r="M74" s="261"/>
      <c r="N74" s="174">
        <v>7</v>
      </c>
      <c r="O74" s="174">
        <v>12</v>
      </c>
      <c r="P74" s="174">
        <v>25</v>
      </c>
      <c r="Q74" s="261"/>
      <c r="R74" s="261"/>
      <c r="S74" s="69"/>
    </row>
    <row r="75" spans="1:19" ht="13.5" thickTop="1">
      <c r="A75" s="179" t="s">
        <v>121</v>
      </c>
      <c r="B75" s="499">
        <v>7</v>
      </c>
      <c r="C75" s="499">
        <v>8</v>
      </c>
      <c r="D75" s="499">
        <v>5</v>
      </c>
      <c r="E75" s="256">
        <f>SUM(B75:D75)</f>
        <v>20</v>
      </c>
      <c r="F75" s="170">
        <v>1</v>
      </c>
      <c r="G75" s="170">
        <v>1</v>
      </c>
      <c r="H75" s="170">
        <v>3</v>
      </c>
      <c r="I75" s="256">
        <f>SUM(F75:H75)</f>
        <v>5</v>
      </c>
      <c r="J75" s="170">
        <v>2</v>
      </c>
      <c r="K75" s="170">
        <v>1</v>
      </c>
      <c r="L75" s="170">
        <v>2</v>
      </c>
      <c r="M75" s="256">
        <f>SUM(J75:L75)</f>
        <v>5</v>
      </c>
      <c r="N75" s="170">
        <v>0</v>
      </c>
      <c r="O75" s="170">
        <v>2</v>
      </c>
      <c r="P75" s="170">
        <v>2</v>
      </c>
      <c r="Q75" s="256">
        <f>SUM(N75:P75)</f>
        <v>4</v>
      </c>
      <c r="R75" s="256">
        <f>Q75+M75+I75+E75</f>
        <v>34</v>
      </c>
      <c r="S75" s="69"/>
    </row>
    <row r="76" spans="1:19">
      <c r="A76" s="180" t="s">
        <v>122</v>
      </c>
      <c r="B76" s="494">
        <v>1</v>
      </c>
      <c r="C76" s="494">
        <v>0</v>
      </c>
      <c r="D76" s="494">
        <v>1</v>
      </c>
      <c r="E76" s="256">
        <f t="shared" ref="E76:E82" si="22">SUM(B76:D76)</f>
        <v>2</v>
      </c>
      <c r="F76" s="171">
        <v>0</v>
      </c>
      <c r="G76" s="171">
        <v>1</v>
      </c>
      <c r="H76" s="171">
        <v>2</v>
      </c>
      <c r="I76" s="256">
        <f t="shared" ref="I76:I82" si="23">SUM(F76:H76)</f>
        <v>3</v>
      </c>
      <c r="J76" s="171">
        <v>2</v>
      </c>
      <c r="K76" s="171">
        <v>0</v>
      </c>
      <c r="L76" s="171">
        <v>0</v>
      </c>
      <c r="M76" s="256">
        <f t="shared" ref="M76:M82" si="24">SUM(J76:L76)</f>
        <v>2</v>
      </c>
      <c r="N76" s="171">
        <v>2</v>
      </c>
      <c r="O76" s="171">
        <v>0</v>
      </c>
      <c r="P76" s="171">
        <v>3</v>
      </c>
      <c r="Q76" s="256">
        <f t="shared" ref="Q76:Q82" si="25">SUM(N76:P76)</f>
        <v>5</v>
      </c>
      <c r="R76" s="256">
        <f>Q76+M76+I76+E76</f>
        <v>12</v>
      </c>
      <c r="S76" s="69"/>
    </row>
    <row r="77" spans="1:19" ht="13.5" thickBot="1">
      <c r="A77" s="182" t="s">
        <v>123</v>
      </c>
      <c r="B77" s="501">
        <v>0</v>
      </c>
      <c r="C77" s="501">
        <v>0</v>
      </c>
      <c r="D77" s="501">
        <v>1</v>
      </c>
      <c r="E77" s="256">
        <f t="shared" si="22"/>
        <v>1</v>
      </c>
      <c r="F77" s="172">
        <v>0</v>
      </c>
      <c r="G77" s="172">
        <v>0</v>
      </c>
      <c r="H77" s="172">
        <v>0</v>
      </c>
      <c r="I77" s="256">
        <f t="shared" si="23"/>
        <v>0</v>
      </c>
      <c r="J77" s="172">
        <v>0</v>
      </c>
      <c r="K77" s="172">
        <v>1</v>
      </c>
      <c r="L77" s="172">
        <v>3</v>
      </c>
      <c r="M77" s="256">
        <f t="shared" si="24"/>
        <v>4</v>
      </c>
      <c r="N77" s="172">
        <v>3</v>
      </c>
      <c r="O77" s="172">
        <v>1</v>
      </c>
      <c r="P77" s="172">
        <v>0</v>
      </c>
      <c r="Q77" s="256">
        <f t="shared" si="25"/>
        <v>4</v>
      </c>
      <c r="R77" s="256">
        <f>Q77+M77+I77+E77</f>
        <v>9</v>
      </c>
      <c r="S77" s="69"/>
    </row>
    <row r="78" spans="1:19" ht="14.25" thickTop="1" thickBot="1">
      <c r="A78" s="182" t="s">
        <v>124</v>
      </c>
      <c r="B78" s="501">
        <v>10</v>
      </c>
      <c r="C78" s="501">
        <v>5</v>
      </c>
      <c r="D78" s="501">
        <v>6</v>
      </c>
      <c r="E78" s="256">
        <f t="shared" si="22"/>
        <v>21</v>
      </c>
      <c r="F78" s="172">
        <v>14</v>
      </c>
      <c r="G78" s="172">
        <v>6</v>
      </c>
      <c r="H78" s="172">
        <v>4</v>
      </c>
      <c r="I78" s="256">
        <f t="shared" si="23"/>
        <v>24</v>
      </c>
      <c r="J78" s="172">
        <v>3</v>
      </c>
      <c r="K78" s="172">
        <v>6</v>
      </c>
      <c r="L78" s="172">
        <v>3</v>
      </c>
      <c r="M78" s="256">
        <f t="shared" si="24"/>
        <v>12</v>
      </c>
      <c r="N78" s="172">
        <v>4</v>
      </c>
      <c r="O78" s="172">
        <v>6</v>
      </c>
      <c r="P78" s="172">
        <v>8</v>
      </c>
      <c r="Q78" s="256">
        <f t="shared" si="25"/>
        <v>18</v>
      </c>
      <c r="R78" s="256">
        <f>Q78+M78+I78+E78</f>
        <v>75</v>
      </c>
      <c r="S78" s="69"/>
    </row>
    <row r="79" spans="1:19" ht="13.5" thickTop="1">
      <c r="A79" s="251" t="s">
        <v>125</v>
      </c>
      <c r="B79" s="504">
        <v>55</v>
      </c>
      <c r="C79" s="504">
        <v>56</v>
      </c>
      <c r="D79" s="504">
        <v>50</v>
      </c>
      <c r="E79" s="168"/>
      <c r="F79" s="191">
        <v>60</v>
      </c>
      <c r="G79" s="191">
        <v>53</v>
      </c>
      <c r="H79" s="254">
        <v>51</v>
      </c>
      <c r="I79" s="168"/>
      <c r="J79" s="191">
        <v>62</v>
      </c>
      <c r="K79" s="191">
        <v>68</v>
      </c>
      <c r="L79" s="191">
        <v>63</v>
      </c>
      <c r="M79" s="168"/>
      <c r="N79" s="191">
        <v>64</v>
      </c>
      <c r="O79" s="191">
        <v>67</v>
      </c>
      <c r="P79" s="191">
        <v>68</v>
      </c>
      <c r="Q79" s="168"/>
      <c r="R79" s="168"/>
      <c r="S79" s="69"/>
    </row>
    <row r="80" spans="1:19">
      <c r="A80" s="252" t="s">
        <v>126</v>
      </c>
      <c r="B80" s="505">
        <v>17</v>
      </c>
      <c r="C80" s="505">
        <v>18</v>
      </c>
      <c r="D80" s="505">
        <v>10</v>
      </c>
      <c r="E80" s="256">
        <f t="shared" si="22"/>
        <v>45</v>
      </c>
      <c r="F80" s="192">
        <v>10</v>
      </c>
      <c r="G80" s="192">
        <v>16</v>
      </c>
      <c r="H80" s="255">
        <v>11</v>
      </c>
      <c r="I80" s="256">
        <f t="shared" si="23"/>
        <v>37</v>
      </c>
      <c r="J80" s="192">
        <v>6</v>
      </c>
      <c r="K80" s="192">
        <v>14</v>
      </c>
      <c r="L80" s="192">
        <v>7</v>
      </c>
      <c r="M80" s="256">
        <f t="shared" si="24"/>
        <v>27</v>
      </c>
      <c r="N80" s="192">
        <v>13</v>
      </c>
      <c r="O80" s="192">
        <v>14</v>
      </c>
      <c r="P80" s="192">
        <v>18</v>
      </c>
      <c r="Q80" s="256">
        <f t="shared" si="25"/>
        <v>45</v>
      </c>
      <c r="R80" s="256">
        <f>Q80+M80+I80+E80</f>
        <v>154</v>
      </c>
      <c r="S80" s="69"/>
    </row>
    <row r="81" spans="1:19">
      <c r="A81" s="252" t="s">
        <v>127</v>
      </c>
      <c r="B81" s="505">
        <v>9</v>
      </c>
      <c r="C81" s="496">
        <v>7</v>
      </c>
      <c r="D81" s="498">
        <v>7</v>
      </c>
      <c r="E81" s="256">
        <f t="shared" si="22"/>
        <v>23</v>
      </c>
      <c r="F81" s="192">
        <v>2</v>
      </c>
      <c r="G81" s="192">
        <v>6</v>
      </c>
      <c r="H81" s="255">
        <v>6</v>
      </c>
      <c r="I81" s="256">
        <f t="shared" si="23"/>
        <v>14</v>
      </c>
      <c r="J81" s="192">
        <v>4</v>
      </c>
      <c r="K81" s="192">
        <v>7</v>
      </c>
      <c r="L81" s="192">
        <v>5</v>
      </c>
      <c r="M81" s="256">
        <f t="shared" si="24"/>
        <v>16</v>
      </c>
      <c r="N81" s="192">
        <v>10</v>
      </c>
      <c r="O81" s="192">
        <v>10</v>
      </c>
      <c r="P81" s="192">
        <v>7</v>
      </c>
      <c r="Q81" s="256">
        <f t="shared" si="25"/>
        <v>27</v>
      </c>
      <c r="R81" s="256">
        <f>Q81+M81+I81+E81</f>
        <v>80</v>
      </c>
      <c r="S81" s="69"/>
    </row>
    <row r="82" spans="1:19">
      <c r="A82" s="252" t="s">
        <v>128</v>
      </c>
      <c r="B82" s="505">
        <v>5</v>
      </c>
      <c r="C82" s="496">
        <v>10</v>
      </c>
      <c r="D82" s="498">
        <v>7</v>
      </c>
      <c r="E82" s="256">
        <f t="shared" si="22"/>
        <v>22</v>
      </c>
      <c r="F82" s="192">
        <v>12</v>
      </c>
      <c r="G82" s="192">
        <v>19</v>
      </c>
      <c r="H82" s="255">
        <v>8</v>
      </c>
      <c r="I82" s="256">
        <f t="shared" si="23"/>
        <v>39</v>
      </c>
      <c r="J82" s="192">
        <v>8</v>
      </c>
      <c r="K82" s="192">
        <v>2</v>
      </c>
      <c r="L82" s="192">
        <v>6</v>
      </c>
      <c r="M82" s="256">
        <f t="shared" si="24"/>
        <v>16</v>
      </c>
      <c r="N82" s="192">
        <v>3</v>
      </c>
      <c r="O82" s="192">
        <v>3</v>
      </c>
      <c r="P82" s="192">
        <v>13</v>
      </c>
      <c r="Q82" s="256">
        <f t="shared" si="25"/>
        <v>19</v>
      </c>
      <c r="R82" s="256">
        <f>Q82+M82+I82+E82</f>
        <v>96</v>
      </c>
      <c r="S82" s="169" t="e">
        <f>R82/D84</f>
        <v>#DIV/0!</v>
      </c>
    </row>
    <row r="83" spans="1:19" ht="13.5" thickBot="1">
      <c r="A83" s="253" t="s">
        <v>129</v>
      </c>
      <c r="B83" s="506">
        <v>1</v>
      </c>
      <c r="C83" s="495">
        <v>1</v>
      </c>
      <c r="D83" s="497">
        <v>1</v>
      </c>
      <c r="E83" s="262"/>
      <c r="F83" s="194">
        <v>1</v>
      </c>
      <c r="G83" s="194">
        <v>1</v>
      </c>
      <c r="H83" s="200">
        <v>1</v>
      </c>
      <c r="I83" s="262"/>
      <c r="J83" s="194">
        <v>2</v>
      </c>
      <c r="K83" s="194">
        <v>1</v>
      </c>
      <c r="L83" s="194">
        <v>0</v>
      </c>
      <c r="M83" s="262"/>
      <c r="N83" s="194">
        <v>5</v>
      </c>
      <c r="O83" s="194">
        <v>3</v>
      </c>
      <c r="P83" s="194">
        <v>2</v>
      </c>
      <c r="Q83" s="262"/>
      <c r="R83" s="262"/>
      <c r="S83" s="169" t="e">
        <f>R83/D84</f>
        <v>#DIV/0!</v>
      </c>
    </row>
    <row r="84" spans="1:19" ht="13.5" thickTop="1">
      <c r="A84"/>
      <c r="B84" s="69"/>
      <c r="C84" s="69"/>
      <c r="D84" s="185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</row>
  </sheetData>
  <mergeCells count="28">
    <mergeCell ref="N44:Q44"/>
    <mergeCell ref="B44:E44"/>
    <mergeCell ref="N45:Q45"/>
    <mergeCell ref="N40:Q40"/>
    <mergeCell ref="N41:Q41"/>
    <mergeCell ref="F40:I40"/>
    <mergeCell ref="J41:M41"/>
    <mergeCell ref="N1:Q1"/>
    <mergeCell ref="J42:M42"/>
    <mergeCell ref="B45:E45"/>
    <mergeCell ref="J43:M43"/>
    <mergeCell ref="F42:I42"/>
    <mergeCell ref="B42:E42"/>
    <mergeCell ref="F45:I45"/>
    <mergeCell ref="J44:M44"/>
    <mergeCell ref="J45:M45"/>
    <mergeCell ref="F43:I43"/>
    <mergeCell ref="N43:Q43"/>
    <mergeCell ref="B43:E43"/>
    <mergeCell ref="N42:Q42"/>
    <mergeCell ref="F44:I44"/>
    <mergeCell ref="J40:M40"/>
    <mergeCell ref="B1:E1"/>
    <mergeCell ref="F1:I1"/>
    <mergeCell ref="F41:I41"/>
    <mergeCell ref="B41:E41"/>
    <mergeCell ref="J1:M1"/>
    <mergeCell ref="B40:E40"/>
  </mergeCells>
  <phoneticPr fontId="0" type="noConversion"/>
  <pageMargins left="0.78740157480314965" right="0.78740157480314965" top="0.78740157480314965" bottom="0.78740157480314965" header="0" footer="0"/>
  <pageSetup paperSize="9" orientation="landscape" horizontalDpi="4294967294" r:id="rId1"/>
  <headerFooter alignWithMargins="0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84"/>
  <sheetViews>
    <sheetView topLeftCell="A34" zoomScale="85" zoomScaleNormal="85" workbookViewId="0">
      <selection activeCell="I32" sqref="I32"/>
    </sheetView>
  </sheetViews>
  <sheetFormatPr defaultRowHeight="12.75"/>
  <cols>
    <col min="1" max="1" width="45" style="17" customWidth="1"/>
    <col min="2" max="4" width="12" style="12" customWidth="1"/>
    <col min="5" max="5" width="11.42578125" style="150" customWidth="1"/>
    <col min="6" max="8" width="11.85546875" style="12" customWidth="1"/>
    <col min="9" max="9" width="11.42578125" style="150" customWidth="1"/>
    <col min="10" max="12" width="12.140625" style="12" customWidth="1"/>
    <col min="13" max="13" width="11.42578125" style="150" customWidth="1"/>
    <col min="14" max="16" width="12.85546875" style="12" customWidth="1"/>
    <col min="17" max="18" width="11.42578125" style="150" customWidth="1"/>
  </cols>
  <sheetData>
    <row r="1" spans="1:18">
      <c r="A1" s="32" t="s">
        <v>222</v>
      </c>
      <c r="B1" s="588" t="s">
        <v>225</v>
      </c>
      <c r="C1" s="589"/>
      <c r="D1" s="589"/>
      <c r="E1" s="590"/>
      <c r="F1" s="588" t="s">
        <v>226</v>
      </c>
      <c r="G1" s="585"/>
      <c r="H1" s="585"/>
      <c r="I1" s="585"/>
      <c r="J1" s="588" t="s">
        <v>227</v>
      </c>
      <c r="K1" s="585"/>
      <c r="L1" s="585"/>
      <c r="M1" s="585"/>
      <c r="N1" s="588" t="s">
        <v>224</v>
      </c>
      <c r="O1" s="589"/>
      <c r="P1" s="589"/>
      <c r="Q1" s="590"/>
      <c r="R1" s="211"/>
    </row>
    <row r="2" spans="1:18">
      <c r="A2" s="5" t="s">
        <v>0</v>
      </c>
      <c r="B2" s="54" t="s">
        <v>1</v>
      </c>
      <c r="C2" s="54" t="s">
        <v>2</v>
      </c>
      <c r="D2" s="54" t="s">
        <v>3</v>
      </c>
      <c r="E2" s="226" t="s">
        <v>152</v>
      </c>
      <c r="F2" s="54" t="s">
        <v>10</v>
      </c>
      <c r="G2" s="54" t="s">
        <v>11</v>
      </c>
      <c r="H2" s="54" t="s">
        <v>12</v>
      </c>
      <c r="I2" s="226" t="s">
        <v>165</v>
      </c>
      <c r="J2" s="54" t="s">
        <v>7</v>
      </c>
      <c r="K2" s="54" t="s">
        <v>8</v>
      </c>
      <c r="L2" s="54" t="s">
        <v>9</v>
      </c>
      <c r="M2" s="226" t="s">
        <v>164</v>
      </c>
      <c r="N2" s="54" t="s">
        <v>4</v>
      </c>
      <c r="O2" s="54" t="s">
        <v>5</v>
      </c>
      <c r="P2" s="54" t="s">
        <v>6</v>
      </c>
      <c r="Q2" s="226" t="s">
        <v>163</v>
      </c>
      <c r="R2" s="114" t="s">
        <v>166</v>
      </c>
    </row>
    <row r="3" spans="1:18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</row>
    <row r="4" spans="1:18">
      <c r="A4" s="6" t="s">
        <v>47</v>
      </c>
      <c r="B4" s="99">
        <f>'Target 2017'!C6</f>
        <v>15900.000000000002</v>
      </c>
      <c r="C4" s="99">
        <f>'Target 2017'!D6</f>
        <v>17666.666666666668</v>
      </c>
      <c r="D4" s="99">
        <f>'Target 2017'!E6</f>
        <v>19433.333333333336</v>
      </c>
      <c r="E4" s="228">
        <f>SUM(B4:D4)</f>
        <v>53000.000000000007</v>
      </c>
      <c r="F4" s="99">
        <f>'Target 2017'!L6</f>
        <v>15833.333333333334</v>
      </c>
      <c r="G4" s="99">
        <f>'Target 2017'!M6</f>
        <v>17500.000000000004</v>
      </c>
      <c r="H4" s="99">
        <f>'Target 2017'!N6</f>
        <v>16666.666666666668</v>
      </c>
      <c r="I4" s="228">
        <f>SUM(F4:H4)</f>
        <v>50000</v>
      </c>
      <c r="J4" s="99">
        <f>'Target 2017'!I6</f>
        <v>0</v>
      </c>
      <c r="K4" s="99">
        <f>'Target 2017'!J6</f>
        <v>0</v>
      </c>
      <c r="L4" s="99">
        <f>'Target 2017'!K6</f>
        <v>0</v>
      </c>
      <c r="M4" s="228">
        <f>SUM(J4:L4)</f>
        <v>0</v>
      </c>
      <c r="N4" s="99">
        <f>'Target 2017'!F6</f>
        <v>0</v>
      </c>
      <c r="O4" s="99">
        <f>'Target 2017'!G6</f>
        <v>0</v>
      </c>
      <c r="P4" s="99">
        <f>'Target 2017'!H6</f>
        <v>0</v>
      </c>
      <c r="Q4" s="228"/>
      <c r="R4" s="116">
        <f>E4+Q4+M4+I4</f>
        <v>103000</v>
      </c>
    </row>
    <row r="5" spans="1:18">
      <c r="A5" s="7" t="s">
        <v>46</v>
      </c>
      <c r="B5" s="94">
        <f>B4</f>
        <v>15900.000000000002</v>
      </c>
      <c r="C5" s="94">
        <f>C4+B5</f>
        <v>33566.666666666672</v>
      </c>
      <c r="D5" s="94">
        <f>D4+C5</f>
        <v>53000.000000000007</v>
      </c>
      <c r="E5" s="229"/>
      <c r="F5" s="94">
        <f>F4</f>
        <v>15833.333333333334</v>
      </c>
      <c r="G5" s="94">
        <f>G4+F5</f>
        <v>33333.333333333336</v>
      </c>
      <c r="H5" s="94">
        <f>H4+G5</f>
        <v>50000</v>
      </c>
      <c r="I5" s="229"/>
      <c r="J5" s="94">
        <f>J4</f>
        <v>0</v>
      </c>
      <c r="K5" s="94">
        <f>K4+J5</f>
        <v>0</v>
      </c>
      <c r="L5" s="94">
        <f>L4+K5</f>
        <v>0</v>
      </c>
      <c r="M5" s="229"/>
      <c r="N5" s="94">
        <f>N4</f>
        <v>0</v>
      </c>
      <c r="O5" s="94">
        <f>O4+N5</f>
        <v>0</v>
      </c>
      <c r="P5" s="94">
        <f>P4+O5</f>
        <v>0</v>
      </c>
      <c r="Q5" s="229"/>
      <c r="R5" s="118"/>
    </row>
    <row r="6" spans="1:18">
      <c r="A6" s="31" t="s">
        <v>48</v>
      </c>
      <c r="B6" s="91">
        <f>SUMIF(I!A:A,$A$1,I!I:I)</f>
        <v>11223.575000000001</v>
      </c>
      <c r="C6" s="29">
        <f>SUMIF(II!A:A,$A$1,II!I:I)</f>
        <v>4449.2294000000002</v>
      </c>
      <c r="D6" s="29">
        <f>SUMIF(III!A:A,$A$1,III!I:I)</f>
        <v>3995.9047999999998</v>
      </c>
      <c r="E6" s="228">
        <f>SUM(B6:D6)</f>
        <v>19668.709200000001</v>
      </c>
      <c r="F6" s="29">
        <f>SUMIF(X!A:A,$A$1,X!I:I)</f>
        <v>0</v>
      </c>
      <c r="G6" s="29">
        <f>SUMIF(XI!A:A,$A$1,XI!I:I)</f>
        <v>0</v>
      </c>
      <c r="H6" s="29">
        <f>SUMIF(XII!A:A,$A$1,XII!I:I)</f>
        <v>0</v>
      </c>
      <c r="I6" s="228">
        <f>SUM(F6:H6)</f>
        <v>0</v>
      </c>
      <c r="J6" s="29">
        <f>SUMIF(VII!A:A,$A$1,VII!I:I)</f>
        <v>0</v>
      </c>
      <c r="K6" s="29">
        <f>SUMIF(VIII!A:A,$A$1,VIII!I:I)</f>
        <v>0</v>
      </c>
      <c r="L6" s="29">
        <f>SUMIF(IX!A:A,$A$1,IX!I:I)</f>
        <v>0</v>
      </c>
      <c r="M6" s="228">
        <f>SUM(J6:L6)</f>
        <v>0</v>
      </c>
      <c r="N6" s="29">
        <f>SUMIF(IV!A:A,$A$1,IV!I:I)</f>
        <v>0</v>
      </c>
      <c r="O6" s="29">
        <f>SUMIF(V!A:A,$A$1,V!I:I)</f>
        <v>0</v>
      </c>
      <c r="P6" s="29">
        <f>SUMIF(VI!A:A,$A$1,VI!I:I)</f>
        <v>0</v>
      </c>
      <c r="Q6" s="228">
        <f>SUM(N6:P6)</f>
        <v>0</v>
      </c>
      <c r="R6" s="116">
        <f>E6+Q6+M6+I6</f>
        <v>19668.709200000001</v>
      </c>
    </row>
    <row r="7" spans="1:18">
      <c r="A7" s="7" t="s">
        <v>49</v>
      </c>
      <c r="B7" s="94">
        <f>B6</f>
        <v>11223.575000000001</v>
      </c>
      <c r="C7" s="94">
        <f>C6+B7</f>
        <v>15672.804400000001</v>
      </c>
      <c r="D7" s="94">
        <f>D6+C7</f>
        <v>19668.709200000001</v>
      </c>
      <c r="E7" s="229"/>
      <c r="F7" s="94">
        <f>F6</f>
        <v>0</v>
      </c>
      <c r="G7" s="94">
        <f>G6+F7</f>
        <v>0</v>
      </c>
      <c r="H7" s="94">
        <f>H6+G7</f>
        <v>0</v>
      </c>
      <c r="I7" s="229"/>
      <c r="J7" s="94">
        <f>J6</f>
        <v>0</v>
      </c>
      <c r="K7" s="94">
        <f>K6+J7</f>
        <v>0</v>
      </c>
      <c r="L7" s="94">
        <f>L6+K7</f>
        <v>0</v>
      </c>
      <c r="M7" s="229"/>
      <c r="N7" s="94">
        <f>N6</f>
        <v>0</v>
      </c>
      <c r="O7" s="94">
        <f>O6+N7</f>
        <v>0</v>
      </c>
      <c r="P7" s="94">
        <f>P6+O7</f>
        <v>0</v>
      </c>
      <c r="Q7" s="229"/>
      <c r="R7" s="118"/>
    </row>
    <row r="8" spans="1:18">
      <c r="A8" s="26" t="s">
        <v>50</v>
      </c>
      <c r="B8" s="100">
        <f t="shared" ref="B8:D9" si="0">B6/B4</f>
        <v>0.70588522012578614</v>
      </c>
      <c r="C8" s="100">
        <f t="shared" si="0"/>
        <v>0.25184317358490566</v>
      </c>
      <c r="D8" s="100">
        <f t="shared" si="0"/>
        <v>0.20562117324185245</v>
      </c>
      <c r="E8" s="230"/>
      <c r="F8" s="100">
        <f t="shared" ref="F8:H9" si="1">F6/F4</f>
        <v>0</v>
      </c>
      <c r="G8" s="100">
        <f t="shared" si="1"/>
        <v>0</v>
      </c>
      <c r="H8" s="100">
        <f t="shared" si="1"/>
        <v>0</v>
      </c>
      <c r="I8" s="230"/>
      <c r="J8" s="100" t="e">
        <f t="shared" ref="J8:L9" si="2">J6/J4</f>
        <v>#DIV/0!</v>
      </c>
      <c r="K8" s="100" t="e">
        <f t="shared" si="2"/>
        <v>#DIV/0!</v>
      </c>
      <c r="L8" s="100" t="e">
        <f t="shared" si="2"/>
        <v>#DIV/0!</v>
      </c>
      <c r="M8" s="230"/>
      <c r="N8" s="100" t="e">
        <f t="shared" ref="N8:P9" si="3">N6/N4</f>
        <v>#DIV/0!</v>
      </c>
      <c r="O8" s="100" t="e">
        <f t="shared" si="3"/>
        <v>#DIV/0!</v>
      </c>
      <c r="P8" s="100" t="e">
        <f t="shared" si="3"/>
        <v>#DIV/0!</v>
      </c>
      <c r="Q8" s="230"/>
      <c r="R8" s="122"/>
    </row>
    <row r="9" spans="1:18">
      <c r="A9" s="26" t="s">
        <v>51</v>
      </c>
      <c r="B9" s="100">
        <f t="shared" si="0"/>
        <v>0.70588522012578614</v>
      </c>
      <c r="C9" s="100">
        <f t="shared" si="0"/>
        <v>0.46691572194637532</v>
      </c>
      <c r="D9" s="100">
        <f t="shared" si="0"/>
        <v>0.37110772075471693</v>
      </c>
      <c r="E9" s="230"/>
      <c r="F9" s="100">
        <f t="shared" si="1"/>
        <v>0</v>
      </c>
      <c r="G9" s="100">
        <f t="shared" si="1"/>
        <v>0</v>
      </c>
      <c r="H9" s="100">
        <f t="shared" si="1"/>
        <v>0</v>
      </c>
      <c r="I9" s="230"/>
      <c r="J9" s="100" t="e">
        <f>J7/J5</f>
        <v>#DIV/0!</v>
      </c>
      <c r="K9" s="100" t="e">
        <f t="shared" si="2"/>
        <v>#DIV/0!</v>
      </c>
      <c r="L9" s="100" t="e">
        <f t="shared" si="2"/>
        <v>#DIV/0!</v>
      </c>
      <c r="M9" s="230"/>
      <c r="N9" s="100" t="e">
        <f t="shared" si="3"/>
        <v>#DIV/0!</v>
      </c>
      <c r="O9" s="100" t="e">
        <f>O7/O5</f>
        <v>#DIV/0!</v>
      </c>
      <c r="P9" s="100" t="e">
        <f t="shared" si="3"/>
        <v>#DIV/0!</v>
      </c>
      <c r="Q9" s="230"/>
      <c r="R9" s="123"/>
    </row>
    <row r="10" spans="1:18">
      <c r="A10" s="7" t="s">
        <v>59</v>
      </c>
      <c r="B10" s="101">
        <f>B7-B5</f>
        <v>-4676.4250000000011</v>
      </c>
      <c r="C10" s="101">
        <f>C7-C5</f>
        <v>-17893.862266666671</v>
      </c>
      <c r="D10" s="101">
        <f>D7-D5</f>
        <v>-33331.290800000002</v>
      </c>
      <c r="E10" s="229"/>
      <c r="F10" s="101">
        <f>F7-F5</f>
        <v>-15833.333333333334</v>
      </c>
      <c r="G10" s="101">
        <f>G7-G5</f>
        <v>-33333.333333333336</v>
      </c>
      <c r="H10" s="101">
        <f>H7-H5</f>
        <v>-50000</v>
      </c>
      <c r="I10" s="229"/>
      <c r="J10" s="101">
        <f>J7-J5</f>
        <v>0</v>
      </c>
      <c r="K10" s="101">
        <f>K7-K5</f>
        <v>0</v>
      </c>
      <c r="L10" s="101">
        <f>L7-L5</f>
        <v>0</v>
      </c>
      <c r="M10" s="229"/>
      <c r="N10" s="101">
        <f>N7-N5</f>
        <v>0</v>
      </c>
      <c r="O10" s="101">
        <f>O7-O5</f>
        <v>0</v>
      </c>
      <c r="P10" s="101">
        <f>P7-P5</f>
        <v>0</v>
      </c>
      <c r="Q10" s="229"/>
      <c r="R10" s="118"/>
    </row>
    <row r="11" spans="1:18">
      <c r="A11" s="6" t="s">
        <v>52</v>
      </c>
      <c r="B11" s="99">
        <f>'Target 2017'!C16</f>
        <v>43500</v>
      </c>
      <c r="C11" s="99">
        <f>'Target 2017'!D16</f>
        <v>48333.333333333336</v>
      </c>
      <c r="D11" s="99">
        <f>'Target 2017'!E16</f>
        <v>53166.666666666664</v>
      </c>
      <c r="E11" s="228">
        <f>SUM(B11:D11)</f>
        <v>145000</v>
      </c>
      <c r="F11" s="99">
        <f>'Target 2017'!L16</f>
        <v>0</v>
      </c>
      <c r="G11" s="99">
        <f>'Target 2017'!M16</f>
        <v>0</v>
      </c>
      <c r="H11" s="99">
        <f>'Target 2017'!N16</f>
        <v>0</v>
      </c>
      <c r="I11" s="228">
        <f>SUM(F11:H11)</f>
        <v>0</v>
      </c>
      <c r="J11" s="99">
        <f>'Target 2017'!I16</f>
        <v>0</v>
      </c>
      <c r="K11" s="99">
        <f>'Target 2017'!J16</f>
        <v>0</v>
      </c>
      <c r="L11" s="99">
        <f>'Target 2017'!K16</f>
        <v>0</v>
      </c>
      <c r="M11" s="228">
        <f>SUM(J11:L11)</f>
        <v>0</v>
      </c>
      <c r="N11" s="99"/>
      <c r="O11" s="99">
        <f>'Target 2017'!K15</f>
        <v>57500</v>
      </c>
      <c r="P11" s="99">
        <f>'Target 2017'!L15</f>
        <v>41166.666666666664</v>
      </c>
      <c r="Q11" s="228">
        <f>SUM(N11:P11)</f>
        <v>98666.666666666657</v>
      </c>
      <c r="R11" s="116">
        <f>E11+Q11+M11+I11</f>
        <v>243666.66666666666</v>
      </c>
    </row>
    <row r="12" spans="1:18">
      <c r="A12" s="7" t="s">
        <v>53</v>
      </c>
      <c r="B12" s="94">
        <f>B11</f>
        <v>43500</v>
      </c>
      <c r="C12" s="94">
        <f>C11+B12</f>
        <v>91833.333333333343</v>
      </c>
      <c r="D12" s="94">
        <f>D11+C12</f>
        <v>145000</v>
      </c>
      <c r="E12" s="229"/>
      <c r="F12" s="94">
        <f>F11</f>
        <v>0</v>
      </c>
      <c r="G12" s="94">
        <f>G11+F12</f>
        <v>0</v>
      </c>
      <c r="H12" s="94">
        <f>H11+G12</f>
        <v>0</v>
      </c>
      <c r="I12" s="229"/>
      <c r="J12" s="94">
        <f>J11</f>
        <v>0</v>
      </c>
      <c r="K12" s="94">
        <f>K11+J12</f>
        <v>0</v>
      </c>
      <c r="L12" s="94">
        <f>L11+K12</f>
        <v>0</v>
      </c>
      <c r="M12" s="229"/>
      <c r="N12" s="94">
        <f>N11</f>
        <v>0</v>
      </c>
      <c r="O12" s="94">
        <f>O11+N12</f>
        <v>57500</v>
      </c>
      <c r="P12" s="94">
        <f>P11+O12</f>
        <v>98666.666666666657</v>
      </c>
      <c r="Q12" s="229"/>
      <c r="R12" s="118"/>
    </row>
    <row r="13" spans="1:18">
      <c r="A13" s="31" t="s">
        <v>54</v>
      </c>
      <c r="B13" s="91">
        <f>SUMIF(I!A:A,$A$1,I!G:G)</f>
        <v>32397.93</v>
      </c>
      <c r="C13" s="29">
        <f>SUMIF(II!A:A,$A$1,II!G:G)</f>
        <v>7701.63</v>
      </c>
      <c r="D13" s="29">
        <f>SUMIF(III!A:A,$A$1,III!G:G)</f>
        <v>7832.41</v>
      </c>
      <c r="E13" s="228">
        <f>SUM(B13:D13)</f>
        <v>47931.97</v>
      </c>
      <c r="F13" s="29">
        <f>SUMIF(X!A:A,$A$1,X!G:G)</f>
        <v>0</v>
      </c>
      <c r="G13" s="29">
        <f>SUMIF(XI!A:A,$A$1,XI!G:G)</f>
        <v>0</v>
      </c>
      <c r="H13" s="29">
        <f>SUMIF(XII!A:A,$A$1,XII!G:G)</f>
        <v>0</v>
      </c>
      <c r="I13" s="228">
        <f>SUM(F13:H13)</f>
        <v>0</v>
      </c>
      <c r="J13" s="29">
        <f>SUMIF(VII!A:A,$A$1,VII!G:G)</f>
        <v>0</v>
      </c>
      <c r="K13" s="29">
        <f>SUMIF(VIII!A:A,$A$1,VIII!G:G)</f>
        <v>0</v>
      </c>
      <c r="L13" s="29">
        <f>SUMIF(IX!A:A,$A$1,IX!G:G)</f>
        <v>0</v>
      </c>
      <c r="M13" s="228">
        <f>SUM(J13:L13)</f>
        <v>0</v>
      </c>
      <c r="N13" s="29">
        <f>SUMIF(IV!A:A,$A$1,IV!G:G)</f>
        <v>0</v>
      </c>
      <c r="O13" s="29">
        <f>SUMIF(V!A:A,$A$1,V!G:G)</f>
        <v>0</v>
      </c>
      <c r="P13" s="29">
        <f>SUMIF(VI!A:A,$A$1,VI!G:G)</f>
        <v>0</v>
      </c>
      <c r="Q13" s="228">
        <f>SUM(N13:P13)</f>
        <v>0</v>
      </c>
      <c r="R13" s="116">
        <f>E13+Q13+M13+I13</f>
        <v>47931.97</v>
      </c>
    </row>
    <row r="14" spans="1:18">
      <c r="A14" s="7" t="s">
        <v>55</v>
      </c>
      <c r="B14" s="94">
        <f>B13</f>
        <v>32397.93</v>
      </c>
      <c r="C14" s="94">
        <f>C13+B14</f>
        <v>40099.56</v>
      </c>
      <c r="D14" s="94">
        <f>D13+C14</f>
        <v>47931.97</v>
      </c>
      <c r="E14" s="229"/>
      <c r="F14" s="94">
        <f>F13</f>
        <v>0</v>
      </c>
      <c r="G14" s="94">
        <f>G13+F14</f>
        <v>0</v>
      </c>
      <c r="H14" s="94">
        <f>H13+G14</f>
        <v>0</v>
      </c>
      <c r="I14" s="229"/>
      <c r="J14" s="94">
        <f>J13</f>
        <v>0</v>
      </c>
      <c r="K14" s="94">
        <f>K13+J14</f>
        <v>0</v>
      </c>
      <c r="L14" s="94">
        <f>L13+K14</f>
        <v>0</v>
      </c>
      <c r="M14" s="229"/>
      <c r="N14" s="94">
        <f>N13</f>
        <v>0</v>
      </c>
      <c r="O14" s="94">
        <f>O13+N14</f>
        <v>0</v>
      </c>
      <c r="P14" s="94">
        <f>P13+O14</f>
        <v>0</v>
      </c>
      <c r="Q14" s="229"/>
      <c r="R14" s="118"/>
    </row>
    <row r="15" spans="1:18">
      <c r="A15" s="26" t="s">
        <v>56</v>
      </c>
      <c r="B15" s="27">
        <f t="shared" ref="B15:D16" si="4">B13/B11</f>
        <v>0.74478</v>
      </c>
      <c r="C15" s="27">
        <f t="shared" si="4"/>
        <v>0.15934406896551723</v>
      </c>
      <c r="D15" s="27">
        <f t="shared" si="4"/>
        <v>0.14731805642633231</v>
      </c>
      <c r="E15" s="230"/>
      <c r="F15" s="27" t="e">
        <f t="shared" ref="F15:H16" si="5">F13/F11</f>
        <v>#DIV/0!</v>
      </c>
      <c r="G15" s="27" t="e">
        <f t="shared" si="5"/>
        <v>#DIV/0!</v>
      </c>
      <c r="H15" s="27" t="e">
        <f t="shared" si="5"/>
        <v>#DIV/0!</v>
      </c>
      <c r="I15" s="230"/>
      <c r="J15" s="27" t="e">
        <f t="shared" ref="J15:L16" si="6">J13/J11</f>
        <v>#DIV/0!</v>
      </c>
      <c r="K15" s="27" t="e">
        <f t="shared" si="6"/>
        <v>#DIV/0!</v>
      </c>
      <c r="L15" s="27" t="e">
        <f t="shared" si="6"/>
        <v>#DIV/0!</v>
      </c>
      <c r="M15" s="230"/>
      <c r="N15" s="27" t="e">
        <f t="shared" ref="N15:P16" si="7">N13/N11</f>
        <v>#DIV/0!</v>
      </c>
      <c r="O15" s="27">
        <f t="shared" si="7"/>
        <v>0</v>
      </c>
      <c r="P15" s="27">
        <f t="shared" si="7"/>
        <v>0</v>
      </c>
      <c r="Q15" s="230"/>
      <c r="R15" s="122"/>
    </row>
    <row r="16" spans="1:18">
      <c r="A16" s="26" t="s">
        <v>57</v>
      </c>
      <c r="B16" s="27">
        <f t="shared" si="4"/>
        <v>0.74478</v>
      </c>
      <c r="C16" s="27">
        <f t="shared" si="4"/>
        <v>0.43665582577132478</v>
      </c>
      <c r="D16" s="27">
        <f t="shared" si="4"/>
        <v>0.33056531034482761</v>
      </c>
      <c r="E16" s="230"/>
      <c r="F16" s="27" t="e">
        <f t="shared" si="5"/>
        <v>#DIV/0!</v>
      </c>
      <c r="G16" s="27" t="e">
        <f t="shared" si="5"/>
        <v>#DIV/0!</v>
      </c>
      <c r="H16" s="27" t="e">
        <f t="shared" si="5"/>
        <v>#DIV/0!</v>
      </c>
      <c r="I16" s="230"/>
      <c r="J16" s="27" t="e">
        <f t="shared" si="6"/>
        <v>#DIV/0!</v>
      </c>
      <c r="K16" s="27" t="e">
        <f t="shared" si="6"/>
        <v>#DIV/0!</v>
      </c>
      <c r="L16" s="27" t="e">
        <f t="shared" si="6"/>
        <v>#DIV/0!</v>
      </c>
      <c r="M16" s="230"/>
      <c r="N16" s="27" t="e">
        <f t="shared" si="7"/>
        <v>#DIV/0!</v>
      </c>
      <c r="O16" s="27">
        <f>O14/O12</f>
        <v>0</v>
      </c>
      <c r="P16" s="27">
        <f t="shared" si="7"/>
        <v>0</v>
      </c>
      <c r="Q16" s="230"/>
      <c r="R16" s="123"/>
    </row>
    <row r="17" spans="1:18">
      <c r="A17" s="7" t="s">
        <v>58</v>
      </c>
      <c r="B17" s="25">
        <f>B14-B12</f>
        <v>-11102.07</v>
      </c>
      <c r="C17" s="25">
        <f>C14-C12</f>
        <v>-51733.773333333345</v>
      </c>
      <c r="D17" s="25">
        <f>D14-D12</f>
        <v>-97068.03</v>
      </c>
      <c r="E17" s="229"/>
      <c r="F17" s="25">
        <f>F14-F12</f>
        <v>0</v>
      </c>
      <c r="G17" s="25">
        <f>G14-G12</f>
        <v>0</v>
      </c>
      <c r="H17" s="25">
        <f>H14-H12</f>
        <v>0</v>
      </c>
      <c r="I17" s="229"/>
      <c r="J17" s="25">
        <f>J14-J12</f>
        <v>0</v>
      </c>
      <c r="K17" s="25">
        <f>K14-K12</f>
        <v>0</v>
      </c>
      <c r="L17" s="25">
        <f>L14-L12</f>
        <v>0</v>
      </c>
      <c r="M17" s="229"/>
      <c r="N17" s="25">
        <f>N14-N12</f>
        <v>0</v>
      </c>
      <c r="O17" s="25">
        <f>O14-O12</f>
        <v>-57500</v>
      </c>
      <c r="P17" s="25">
        <f>P14-P12</f>
        <v>-98666.666666666657</v>
      </c>
      <c r="Q17" s="229"/>
      <c r="R17" s="124"/>
    </row>
    <row r="18" spans="1:18">
      <c r="A18" s="10" t="s">
        <v>43</v>
      </c>
      <c r="B18" s="11">
        <f t="shared" ref="B18:D19" si="8">B6/B13</f>
        <v>0.34642876875158385</v>
      </c>
      <c r="C18" s="11">
        <f t="shared" si="8"/>
        <v>0.57769970772420909</v>
      </c>
      <c r="D18" s="11">
        <f t="shared" si="8"/>
        <v>0.51017564197992693</v>
      </c>
      <c r="E18" s="231"/>
      <c r="F18" s="11" t="e">
        <f t="shared" ref="F18:H19" si="9">F6/F13</f>
        <v>#DIV/0!</v>
      </c>
      <c r="G18" s="11" t="e">
        <f>G6/G13</f>
        <v>#DIV/0!</v>
      </c>
      <c r="H18" s="11" t="e">
        <f t="shared" si="9"/>
        <v>#DIV/0!</v>
      </c>
      <c r="I18" s="231"/>
      <c r="J18" s="11" t="e">
        <f t="shared" ref="J18:L19" si="10">J6/J13</f>
        <v>#DIV/0!</v>
      </c>
      <c r="K18" s="11" t="e">
        <f t="shared" si="10"/>
        <v>#DIV/0!</v>
      </c>
      <c r="L18" s="11" t="e">
        <f t="shared" si="10"/>
        <v>#DIV/0!</v>
      </c>
      <c r="M18" s="231"/>
      <c r="N18" s="11" t="e">
        <f t="shared" ref="N18:P19" si="11">N6/N13</f>
        <v>#DIV/0!</v>
      </c>
      <c r="O18" s="11" t="e">
        <f t="shared" si="11"/>
        <v>#DIV/0!</v>
      </c>
      <c r="P18" s="11" t="e">
        <f t="shared" si="11"/>
        <v>#DIV/0!</v>
      </c>
      <c r="Q18" s="231"/>
      <c r="R18" s="126"/>
    </row>
    <row r="19" spans="1:18">
      <c r="A19" s="10" t="s">
        <v>44</v>
      </c>
      <c r="B19" s="11">
        <f t="shared" si="8"/>
        <v>0.34642876875158385</v>
      </c>
      <c r="C19" s="11">
        <f t="shared" si="8"/>
        <v>0.39084729109247091</v>
      </c>
      <c r="D19" s="11">
        <f t="shared" si="8"/>
        <v>0.41034635547005477</v>
      </c>
      <c r="E19" s="231"/>
      <c r="F19" s="11" t="e">
        <f t="shared" si="9"/>
        <v>#DIV/0!</v>
      </c>
      <c r="G19" s="11" t="e">
        <f t="shared" si="9"/>
        <v>#DIV/0!</v>
      </c>
      <c r="H19" s="11" t="e">
        <f t="shared" si="9"/>
        <v>#DIV/0!</v>
      </c>
      <c r="I19" s="231"/>
      <c r="J19" s="11" t="e">
        <f t="shared" si="10"/>
        <v>#DIV/0!</v>
      </c>
      <c r="K19" s="11" t="e">
        <f t="shared" si="10"/>
        <v>#DIV/0!</v>
      </c>
      <c r="L19" s="11" t="e">
        <f t="shared" si="10"/>
        <v>#DIV/0!</v>
      </c>
      <c r="M19" s="231"/>
      <c r="N19" s="11" t="e">
        <f t="shared" si="11"/>
        <v>#DIV/0!</v>
      </c>
      <c r="O19" s="11" t="e">
        <f t="shared" si="11"/>
        <v>#DIV/0!</v>
      </c>
      <c r="P19" s="11" t="e">
        <f t="shared" si="11"/>
        <v>#DIV/0!</v>
      </c>
      <c r="Q19" s="231"/>
      <c r="R19" s="126"/>
    </row>
    <row r="20" spans="1:18">
      <c r="A20" s="71"/>
      <c r="B20" s="71"/>
      <c r="C20" s="104"/>
      <c r="D20" s="104"/>
      <c r="E20" s="232"/>
      <c r="F20" s="104"/>
      <c r="G20" s="104"/>
      <c r="H20" s="104"/>
      <c r="I20" s="232"/>
      <c r="J20" s="104"/>
      <c r="K20" s="104"/>
      <c r="L20" s="104"/>
      <c r="M20" s="232"/>
      <c r="N20" s="104"/>
      <c r="O20" s="104"/>
      <c r="P20" s="104"/>
      <c r="Q20" s="232"/>
      <c r="R20" s="127"/>
    </row>
    <row r="21" spans="1:18" ht="15.75">
      <c r="A21" s="56"/>
      <c r="B21" s="443" t="s">
        <v>33</v>
      </c>
      <c r="C21" s="444"/>
      <c r="D21" s="444"/>
      <c r="E21" s="444"/>
      <c r="F21" s="444"/>
      <c r="G21" s="444"/>
      <c r="H21" s="444"/>
      <c r="I21" s="233"/>
      <c r="J21" s="444"/>
      <c r="K21" s="444"/>
      <c r="L21" s="444"/>
      <c r="M21" s="233"/>
      <c r="N21" s="444"/>
      <c r="O21" s="444"/>
      <c r="P21" s="103"/>
      <c r="Q21" s="233"/>
      <c r="R21" s="131"/>
    </row>
    <row r="22" spans="1:18" ht="15.75">
      <c r="A22" s="73" t="s">
        <v>89</v>
      </c>
      <c r="B22" s="78">
        <v>0</v>
      </c>
      <c r="C22" s="78">
        <v>0</v>
      </c>
      <c r="D22" s="78">
        <v>0</v>
      </c>
      <c r="E22" s="234"/>
      <c r="F22" s="78">
        <v>0</v>
      </c>
      <c r="G22" s="78">
        <v>0</v>
      </c>
      <c r="H22" s="78">
        <v>0</v>
      </c>
      <c r="I22" s="234"/>
      <c r="J22" s="78">
        <v>0</v>
      </c>
      <c r="K22" s="78">
        <v>0</v>
      </c>
      <c r="L22" s="78">
        <v>0</v>
      </c>
      <c r="M22" s="234"/>
      <c r="N22" s="78">
        <v>0</v>
      </c>
      <c r="O22" s="78">
        <v>0</v>
      </c>
      <c r="P22" s="78">
        <v>0</v>
      </c>
      <c r="Q22" s="234"/>
      <c r="R22" s="131"/>
    </row>
    <row r="23" spans="1:18">
      <c r="A23" s="20" t="s">
        <v>61</v>
      </c>
      <c r="B23" s="79">
        <f>B5</f>
        <v>15900.000000000002</v>
      </c>
      <c r="C23" s="79">
        <f>C5</f>
        <v>33566.666666666672</v>
      </c>
      <c r="D23" s="79">
        <f>D5</f>
        <v>53000.000000000007</v>
      </c>
      <c r="E23" s="235"/>
      <c r="F23" s="79">
        <f>F5</f>
        <v>15833.333333333334</v>
      </c>
      <c r="G23" s="79">
        <f>G5</f>
        <v>33333.333333333336</v>
      </c>
      <c r="H23" s="79">
        <f>H5</f>
        <v>50000</v>
      </c>
      <c r="I23" s="235"/>
      <c r="J23" s="79">
        <f>J5</f>
        <v>0</v>
      </c>
      <c r="K23" s="79">
        <f>K5</f>
        <v>0</v>
      </c>
      <c r="L23" s="79">
        <f>L5</f>
        <v>0</v>
      </c>
      <c r="M23" s="235"/>
      <c r="N23" s="79">
        <f>N5</f>
        <v>0</v>
      </c>
      <c r="O23" s="79">
        <f>O5</f>
        <v>0</v>
      </c>
      <c r="P23" s="79">
        <f>P5</f>
        <v>0</v>
      </c>
      <c r="Q23" s="235"/>
      <c r="R23" s="133"/>
    </row>
    <row r="24" spans="1:18">
      <c r="A24" s="40" t="s">
        <v>62</v>
      </c>
      <c r="B24" s="55">
        <f>B7</f>
        <v>11223.575000000001</v>
      </c>
      <c r="C24" s="55">
        <f>C7</f>
        <v>15672.804400000001</v>
      </c>
      <c r="D24" s="55">
        <f>D7</f>
        <v>19668.709200000001</v>
      </c>
      <c r="E24" s="236"/>
      <c r="F24" s="55">
        <f>F7</f>
        <v>0</v>
      </c>
      <c r="G24" s="55">
        <f>G7</f>
        <v>0</v>
      </c>
      <c r="H24" s="55">
        <f>H7</f>
        <v>0</v>
      </c>
      <c r="I24" s="236"/>
      <c r="J24" s="55">
        <f>J7</f>
        <v>0</v>
      </c>
      <c r="K24" s="55">
        <f>K7</f>
        <v>0</v>
      </c>
      <c r="L24" s="55">
        <f>L7</f>
        <v>0</v>
      </c>
      <c r="M24" s="236"/>
      <c r="N24" s="55">
        <f>N7</f>
        <v>0</v>
      </c>
      <c r="O24" s="55">
        <f>O7</f>
        <v>0</v>
      </c>
      <c r="P24" s="55">
        <f>P7</f>
        <v>0</v>
      </c>
      <c r="Q24" s="236"/>
      <c r="R24" s="133"/>
    </row>
    <row r="25" spans="1:18">
      <c r="A25" s="40" t="s">
        <v>63</v>
      </c>
      <c r="B25" s="97">
        <f>B24/B23</f>
        <v>0.70588522012578614</v>
      </c>
      <c r="C25" s="97">
        <f>C24/C23</f>
        <v>0.46691572194637532</v>
      </c>
      <c r="D25" s="97">
        <f>D24/D23</f>
        <v>0.37110772075471693</v>
      </c>
      <c r="E25" s="237"/>
      <c r="F25" s="97">
        <f>F24/F23</f>
        <v>0</v>
      </c>
      <c r="G25" s="97">
        <f>G24/G23</f>
        <v>0</v>
      </c>
      <c r="H25" s="97">
        <f>H24/H23</f>
        <v>0</v>
      </c>
      <c r="I25" s="237"/>
      <c r="J25" s="97" t="e">
        <f>J24/J23</f>
        <v>#DIV/0!</v>
      </c>
      <c r="K25" s="97" t="e">
        <f>K24/K23</f>
        <v>#DIV/0!</v>
      </c>
      <c r="L25" s="97" t="e">
        <f>L24/L23</f>
        <v>#DIV/0!</v>
      </c>
      <c r="M25" s="237"/>
      <c r="N25" s="97" t="e">
        <f>N24/N23</f>
        <v>#DIV/0!</v>
      </c>
      <c r="O25" s="97" t="e">
        <f>O24/O23</f>
        <v>#DIV/0!</v>
      </c>
      <c r="P25" s="97" t="e">
        <f>P24/P23</f>
        <v>#DIV/0!</v>
      </c>
      <c r="Q25" s="237"/>
      <c r="R25" s="133"/>
    </row>
    <row r="26" spans="1:18">
      <c r="A26" s="39" t="s">
        <v>71</v>
      </c>
      <c r="B26" s="58">
        <f>B22*0.2</f>
        <v>0</v>
      </c>
      <c r="C26" s="58">
        <f>C22*0.2</f>
        <v>0</v>
      </c>
      <c r="D26" s="58">
        <f>D22*0.2</f>
        <v>0</v>
      </c>
      <c r="E26" s="238"/>
      <c r="F26" s="58">
        <f>F22*0.2</f>
        <v>0</v>
      </c>
      <c r="G26" s="58">
        <f>G22*0.2</f>
        <v>0</v>
      </c>
      <c r="H26" s="58">
        <f>H22*0.2</f>
        <v>0</v>
      </c>
      <c r="I26" s="238"/>
      <c r="J26" s="58">
        <f>J22*0.2</f>
        <v>0</v>
      </c>
      <c r="K26" s="58">
        <f>K22*0.2</f>
        <v>0</v>
      </c>
      <c r="L26" s="58">
        <f>L22*0.2</f>
        <v>0</v>
      </c>
      <c r="M26" s="238"/>
      <c r="N26" s="58">
        <f>N22*0.2</f>
        <v>0</v>
      </c>
      <c r="O26" s="58">
        <f>O22*0.2</f>
        <v>0</v>
      </c>
      <c r="P26" s="58">
        <f>P22*0.2</f>
        <v>0</v>
      </c>
      <c r="Q26" s="238"/>
      <c r="R26" s="136"/>
    </row>
    <row r="27" spans="1:18">
      <c r="A27" s="40" t="s">
        <v>64</v>
      </c>
      <c r="B27" s="82">
        <f>IF(B25&lt;80%,0,IF(B25&lt;90%,0.5,IF(B25&lt;95%,0.75,1)))</f>
        <v>0</v>
      </c>
      <c r="C27" s="82">
        <f>IF(C25&lt;80%,0,IF(C25&lt;90%,0.5,IF(C25&lt;95%,0.75,1)))</f>
        <v>0</v>
      </c>
      <c r="D27" s="82">
        <f>IF(D25&lt;80%,0,IF(D25&lt;90%,0.5,IF(D25&lt;95%,0.75,1)))</f>
        <v>0</v>
      </c>
      <c r="E27" s="236"/>
      <c r="F27" s="82">
        <f>IF(F25&lt;80%,0,IF(F25&lt;90%,0.5,IF(F25&lt;95%,0.75,1)))</f>
        <v>0</v>
      </c>
      <c r="G27" s="82">
        <f>IF(G25&lt;80%,0,IF(G25&lt;90%,0.5,IF(G25&lt;95%,0.75,1)))</f>
        <v>0</v>
      </c>
      <c r="H27" s="82">
        <f>IF(H25&lt;80%,0,IF(H25&lt;90%,0.5,IF(H25&lt;95%,0.75,1)))</f>
        <v>0</v>
      </c>
      <c r="I27" s="236"/>
      <c r="J27" s="82" t="e">
        <f>IF(J25&lt;80%,0,IF(J25&lt;90%,0.5,IF(J25&lt;95%,0.75,1)))</f>
        <v>#DIV/0!</v>
      </c>
      <c r="K27" s="82" t="e">
        <f>IF(K25&lt;80%,0,IF(K25&lt;90%,0.5,IF(K25&lt;95%,0.75,1)))</f>
        <v>#DIV/0!</v>
      </c>
      <c r="L27" s="82" t="e">
        <f>IF(L25&lt;80%,0,IF(L25&lt;90%,0.5,IF(L25&lt;95%,0.75,1)))</f>
        <v>#DIV/0!</v>
      </c>
      <c r="M27" s="236"/>
      <c r="N27" s="82" t="e">
        <f>IF(N25&lt;80%,0,IF(N25&lt;90%,0.5,IF(N25&lt;95%,0.75,1)))</f>
        <v>#DIV/0!</v>
      </c>
      <c r="O27" s="82" t="e">
        <f>IF(O25&lt;80%,0,IF(O25&lt;90%,0.5,IF(O25&lt;95%,0.75,1)))</f>
        <v>#DIV/0!</v>
      </c>
      <c r="P27" s="82" t="e">
        <f>IF(P25&lt;80%,0,IF(P25&lt;90%,0.5,IF(P25&lt;95%,0.75,1)))</f>
        <v>#DIV/0!</v>
      </c>
      <c r="Q27" s="236"/>
      <c r="R27" s="133"/>
    </row>
    <row r="28" spans="1:18">
      <c r="A28" s="59" t="s">
        <v>65</v>
      </c>
      <c r="B28" s="77">
        <f>B27*B26</f>
        <v>0</v>
      </c>
      <c r="C28" s="77">
        <f>C27*C26</f>
        <v>0</v>
      </c>
      <c r="D28" s="77">
        <f>D27*D26</f>
        <v>0</v>
      </c>
      <c r="E28" s="239"/>
      <c r="F28" s="77">
        <f>F27*F26</f>
        <v>0</v>
      </c>
      <c r="G28" s="77">
        <f>G27*G26</f>
        <v>0</v>
      </c>
      <c r="H28" s="77">
        <f>H27*H26</f>
        <v>0</v>
      </c>
      <c r="I28" s="239"/>
      <c r="J28" s="77" t="e">
        <f>J27*J26</f>
        <v>#DIV/0!</v>
      </c>
      <c r="K28" s="77" t="e">
        <f>K27*K26</f>
        <v>#DIV/0!</v>
      </c>
      <c r="L28" s="77" t="e">
        <f>L27*L26</f>
        <v>#DIV/0!</v>
      </c>
      <c r="M28" s="239"/>
      <c r="N28" s="77" t="e">
        <f>N27*N26</f>
        <v>#DIV/0!</v>
      </c>
      <c r="O28" s="77" t="e">
        <f>O27*O26</f>
        <v>#DIV/0!</v>
      </c>
      <c r="P28" s="77" t="e">
        <f>P27*P26</f>
        <v>#DIV/0!</v>
      </c>
      <c r="Q28" s="239"/>
      <c r="R28" s="137"/>
    </row>
    <row r="29" spans="1:18">
      <c r="A29" s="20" t="s">
        <v>60</v>
      </c>
      <c r="B29" s="42">
        <f>B12</f>
        <v>43500</v>
      </c>
      <c r="C29" s="42">
        <f>C12</f>
        <v>91833.333333333343</v>
      </c>
      <c r="D29" s="42">
        <f>D12</f>
        <v>145000</v>
      </c>
      <c r="E29" s="235"/>
      <c r="F29" s="42">
        <f>F12</f>
        <v>0</v>
      </c>
      <c r="G29" s="42">
        <f>G12</f>
        <v>0</v>
      </c>
      <c r="H29" s="42">
        <f>H12</f>
        <v>0</v>
      </c>
      <c r="I29" s="235"/>
      <c r="J29" s="42">
        <f>J12</f>
        <v>0</v>
      </c>
      <c r="K29" s="42">
        <f>K12</f>
        <v>0</v>
      </c>
      <c r="L29" s="42">
        <f>L12</f>
        <v>0</v>
      </c>
      <c r="M29" s="235"/>
      <c r="N29" s="42">
        <f>N12</f>
        <v>0</v>
      </c>
      <c r="O29" s="42">
        <f>O12</f>
        <v>57500</v>
      </c>
      <c r="P29" s="42">
        <f>P12</f>
        <v>98666.666666666657</v>
      </c>
      <c r="Q29" s="235"/>
      <c r="R29" s="133"/>
    </row>
    <row r="30" spans="1:18">
      <c r="A30" s="40" t="s">
        <v>66</v>
      </c>
      <c r="B30" s="41">
        <f>B14</f>
        <v>32397.93</v>
      </c>
      <c r="C30" s="41">
        <f>C14</f>
        <v>40099.56</v>
      </c>
      <c r="D30" s="41">
        <f>D14</f>
        <v>47931.97</v>
      </c>
      <c r="E30" s="236"/>
      <c r="F30" s="41">
        <f>F14</f>
        <v>0</v>
      </c>
      <c r="G30" s="41">
        <f>G14</f>
        <v>0</v>
      </c>
      <c r="H30" s="41">
        <f>H14</f>
        <v>0</v>
      </c>
      <c r="I30" s="236"/>
      <c r="J30" s="41">
        <f>J14</f>
        <v>0</v>
      </c>
      <c r="K30" s="41">
        <f>K14</f>
        <v>0</v>
      </c>
      <c r="L30" s="41">
        <f>L14</f>
        <v>0</v>
      </c>
      <c r="M30" s="236"/>
      <c r="N30" s="41">
        <f>N14</f>
        <v>0</v>
      </c>
      <c r="O30" s="41">
        <f>O14</f>
        <v>0</v>
      </c>
      <c r="P30" s="41">
        <f>P14</f>
        <v>0</v>
      </c>
      <c r="Q30" s="236"/>
      <c r="R30" s="133"/>
    </row>
    <row r="31" spans="1:18">
      <c r="A31" s="40" t="s">
        <v>67</v>
      </c>
      <c r="B31" s="97">
        <f>B30/B29</f>
        <v>0.74478</v>
      </c>
      <c r="C31" s="97">
        <f>C30/C29</f>
        <v>0.43665582577132478</v>
      </c>
      <c r="D31" s="97">
        <f>D30/D29</f>
        <v>0.33056531034482761</v>
      </c>
      <c r="E31" s="237"/>
      <c r="F31" s="97" t="e">
        <f>F30/F29</f>
        <v>#DIV/0!</v>
      </c>
      <c r="G31" s="97" t="e">
        <f>G30/G29</f>
        <v>#DIV/0!</v>
      </c>
      <c r="H31" s="97" t="e">
        <f>H30/H29</f>
        <v>#DIV/0!</v>
      </c>
      <c r="I31" s="237"/>
      <c r="J31" s="97" t="e">
        <f>J30/J29</f>
        <v>#DIV/0!</v>
      </c>
      <c r="K31" s="97" t="e">
        <f>K30/K29</f>
        <v>#DIV/0!</v>
      </c>
      <c r="L31" s="97" t="e">
        <f>L30/L29</f>
        <v>#DIV/0!</v>
      </c>
      <c r="M31" s="237"/>
      <c r="N31" s="97" t="e">
        <f>N30/N29</f>
        <v>#DIV/0!</v>
      </c>
      <c r="O31" s="97">
        <f>O30/O29</f>
        <v>0</v>
      </c>
      <c r="P31" s="97">
        <f>P30/P29</f>
        <v>0</v>
      </c>
      <c r="Q31" s="237"/>
      <c r="R31" s="133"/>
    </row>
    <row r="32" spans="1:18">
      <c r="A32" s="88" t="s">
        <v>72</v>
      </c>
      <c r="B32" s="87">
        <f>B22*0.2</f>
        <v>0</v>
      </c>
      <c r="C32" s="87">
        <f>C22*0.2</f>
        <v>0</v>
      </c>
      <c r="D32" s="87">
        <f>D22*0.2</f>
        <v>0</v>
      </c>
      <c r="E32" s="236"/>
      <c r="F32" s="87">
        <f>F22*0.2</f>
        <v>0</v>
      </c>
      <c r="G32" s="87">
        <f>G22*0.2</f>
        <v>0</v>
      </c>
      <c r="H32" s="87">
        <f>H22*0.2</f>
        <v>0</v>
      </c>
      <c r="I32" s="236"/>
      <c r="J32" s="87">
        <f>J22*0.2</f>
        <v>0</v>
      </c>
      <c r="K32" s="87">
        <f>K22*0.2</f>
        <v>0</v>
      </c>
      <c r="L32" s="87">
        <f>L22*0.2</f>
        <v>0</v>
      </c>
      <c r="M32" s="236"/>
      <c r="N32" s="87">
        <f>N22*0.2</f>
        <v>0</v>
      </c>
      <c r="O32" s="87">
        <f>O22*0.2</f>
        <v>0</v>
      </c>
      <c r="P32" s="87">
        <f>P22*0.2</f>
        <v>0</v>
      </c>
      <c r="Q32" s="236"/>
      <c r="R32" s="133"/>
    </row>
    <row r="33" spans="1:18">
      <c r="A33" s="40" t="s">
        <v>68</v>
      </c>
      <c r="B33" s="58">
        <f>IF(B31&lt;80%,0,IF(B31&lt;90%,0.5,IF(B31&lt;95%,0.75,1)))</f>
        <v>0</v>
      </c>
      <c r="C33" s="58">
        <f>IF(C31&lt;80%,0,IF(C31&lt;90%,0.5,IF(C31&lt;95%,0.75,1)))</f>
        <v>0</v>
      </c>
      <c r="D33" s="58">
        <f>IF(D31&lt;80%,0,IF(D31&lt;90%,0.5,IF(D31&lt;95%,0.75,1)))</f>
        <v>0</v>
      </c>
      <c r="E33" s="238"/>
      <c r="F33" s="58" t="e">
        <f>IF(F31&lt;80%,0,IF(F31&lt;90%,0.5,IF(F31&lt;95%,0.75,1)))</f>
        <v>#DIV/0!</v>
      </c>
      <c r="G33" s="58" t="e">
        <f>IF(G31&lt;80%,0,IF(G31&lt;90%,0.5,IF(G31&lt;95%,0.75,1)))</f>
        <v>#DIV/0!</v>
      </c>
      <c r="H33" s="58" t="e">
        <f>IF(H31&lt;80%,0,IF(H31&lt;90%,0.5,IF(H31&lt;95%,0.75,1)))</f>
        <v>#DIV/0!</v>
      </c>
      <c r="I33" s="238"/>
      <c r="J33" s="58" t="e">
        <f>IF(J31&lt;80%,0,IF(J31&lt;90%,0.5,IF(J31&lt;95%,0.75,1)))</f>
        <v>#DIV/0!</v>
      </c>
      <c r="K33" s="58" t="e">
        <f>IF(K31&lt;80%,0,IF(K31&lt;90%,0.5,IF(K31&lt;95%,0.75,1)))</f>
        <v>#DIV/0!</v>
      </c>
      <c r="L33" s="58" t="e">
        <f>IF(L31&lt;80%,0,IF(L31&lt;90%,0.5,IF(L31&lt;95%,0.75,1)))</f>
        <v>#DIV/0!</v>
      </c>
      <c r="M33" s="238"/>
      <c r="N33" s="58" t="e">
        <f>IF(N31&lt;80%,0,IF(N31&lt;90%,0.5,IF(N31&lt;95%,0.75,1)))</f>
        <v>#DIV/0!</v>
      </c>
      <c r="O33" s="58">
        <f>IF(O31&lt;80%,0,IF(O31&lt;90%,0.5,IF(O31&lt;95%,0.75,1)))</f>
        <v>0</v>
      </c>
      <c r="P33" s="58">
        <f>IF(P31&lt;80%,0,IF(P31&lt;90%,0.5,IF(P31&lt;95%,0.75,1)))</f>
        <v>0</v>
      </c>
      <c r="Q33" s="238"/>
      <c r="R33" s="133"/>
    </row>
    <row r="34" spans="1:18">
      <c r="A34" s="59" t="s">
        <v>69</v>
      </c>
      <c r="B34" s="77">
        <f>B33*B32</f>
        <v>0</v>
      </c>
      <c r="C34" s="77">
        <f>C33*C32</f>
        <v>0</v>
      </c>
      <c r="D34" s="77">
        <f>D33*D32</f>
        <v>0</v>
      </c>
      <c r="E34" s="239"/>
      <c r="F34" s="77" t="e">
        <f>F33*F32</f>
        <v>#DIV/0!</v>
      </c>
      <c r="G34" s="77" t="e">
        <f>G33*G32</f>
        <v>#DIV/0!</v>
      </c>
      <c r="H34" s="77" t="e">
        <f>H33*H32</f>
        <v>#DIV/0!</v>
      </c>
      <c r="I34" s="239"/>
      <c r="J34" s="77" t="e">
        <f>J33*J32</f>
        <v>#DIV/0!</v>
      </c>
      <c r="K34" s="77" t="e">
        <f>K33*K32</f>
        <v>#DIV/0!</v>
      </c>
      <c r="L34" s="77" t="e">
        <f>L33*L32</f>
        <v>#DIV/0!</v>
      </c>
      <c r="M34" s="239"/>
      <c r="N34" s="77" t="e">
        <f>N33*N32</f>
        <v>#DIV/0!</v>
      </c>
      <c r="O34" s="77">
        <f>O33*O32</f>
        <v>0</v>
      </c>
      <c r="P34" s="77">
        <f>P33*P32</f>
        <v>0</v>
      </c>
      <c r="Q34" s="239"/>
      <c r="R34" s="137"/>
    </row>
    <row r="35" spans="1:18">
      <c r="A35" s="20" t="s">
        <v>45</v>
      </c>
      <c r="B35" s="98">
        <v>1</v>
      </c>
      <c r="C35" s="98">
        <v>1</v>
      </c>
      <c r="D35" s="98">
        <v>1</v>
      </c>
      <c r="E35" s="235"/>
      <c r="F35" s="98">
        <v>1</v>
      </c>
      <c r="G35" s="98">
        <v>1</v>
      </c>
      <c r="H35" s="98">
        <v>1</v>
      </c>
      <c r="I35" s="235"/>
      <c r="J35" s="98">
        <v>1</v>
      </c>
      <c r="K35" s="98">
        <v>1</v>
      </c>
      <c r="L35" s="98">
        <v>1</v>
      </c>
      <c r="M35" s="235"/>
      <c r="N35" s="98">
        <v>1</v>
      </c>
      <c r="O35" s="98">
        <v>1</v>
      </c>
      <c r="P35" s="98">
        <v>1</v>
      </c>
      <c r="Q35" s="235"/>
      <c r="R35" s="138"/>
    </row>
    <row r="36" spans="1:18">
      <c r="A36" s="52" t="s">
        <v>70</v>
      </c>
      <c r="B36" s="83">
        <f>B22*0.1</f>
        <v>0</v>
      </c>
      <c r="C36" s="83">
        <f>C22*0.1</f>
        <v>0</v>
      </c>
      <c r="D36" s="83">
        <f>D22*0.1</f>
        <v>0</v>
      </c>
      <c r="E36" s="240"/>
      <c r="F36" s="83">
        <f>F22*0.1</f>
        <v>0</v>
      </c>
      <c r="G36" s="83">
        <f>G22*0.1</f>
        <v>0</v>
      </c>
      <c r="H36" s="83">
        <f>H22*0.1</f>
        <v>0</v>
      </c>
      <c r="I36" s="240"/>
      <c r="J36" s="83">
        <f>J22*0.1</f>
        <v>0</v>
      </c>
      <c r="K36" s="83">
        <f>K22*0.1</f>
        <v>0</v>
      </c>
      <c r="L36" s="83">
        <f>L22*0.1</f>
        <v>0</v>
      </c>
      <c r="M36" s="240"/>
      <c r="N36" s="83">
        <f>N22*0.1</f>
        <v>0</v>
      </c>
      <c r="O36" s="83">
        <f>O22*0.1</f>
        <v>0</v>
      </c>
      <c r="P36" s="83">
        <f>P22*0.1</f>
        <v>0</v>
      </c>
      <c r="Q36" s="240"/>
      <c r="R36" s="136"/>
    </row>
    <row r="37" spans="1:18">
      <c r="A37" s="40" t="s">
        <v>73</v>
      </c>
      <c r="B37" s="107"/>
      <c r="C37" s="105"/>
      <c r="D37" s="105"/>
      <c r="E37" s="236"/>
      <c r="F37" s="105"/>
      <c r="G37" s="105"/>
      <c r="H37" s="105"/>
      <c r="I37" s="236"/>
      <c r="J37" s="105"/>
      <c r="K37" s="105"/>
      <c r="L37" s="105"/>
      <c r="M37" s="236"/>
      <c r="N37" s="105"/>
      <c r="O37" s="105"/>
      <c r="P37" s="105"/>
      <c r="Q37" s="236"/>
      <c r="R37" s="133"/>
    </row>
    <row r="38" spans="1:18">
      <c r="A38" s="66" t="s">
        <v>74</v>
      </c>
      <c r="B38" s="81">
        <f>B37*B36</f>
        <v>0</v>
      </c>
      <c r="C38" s="81">
        <f>C37*C36</f>
        <v>0</v>
      </c>
      <c r="D38" s="81">
        <f>D37*D36</f>
        <v>0</v>
      </c>
      <c r="E38" s="239"/>
      <c r="F38" s="81">
        <f>F37*F36</f>
        <v>0</v>
      </c>
      <c r="G38" s="81">
        <f>G37*G36</f>
        <v>0</v>
      </c>
      <c r="H38" s="81">
        <f>H37*H36</f>
        <v>0</v>
      </c>
      <c r="I38" s="239"/>
      <c r="J38" s="81">
        <f>J37*J36</f>
        <v>0</v>
      </c>
      <c r="K38" s="81">
        <f>K37*K36</f>
        <v>0</v>
      </c>
      <c r="L38" s="81">
        <f>L37*L36</f>
        <v>0</v>
      </c>
      <c r="M38" s="239"/>
      <c r="N38" s="81">
        <f>N37*N36</f>
        <v>0</v>
      </c>
      <c r="O38" s="81">
        <f>O37*O36</f>
        <v>0</v>
      </c>
      <c r="P38" s="81">
        <f>P37*P36</f>
        <v>0</v>
      </c>
      <c r="Q38" s="239"/>
      <c r="R38" s="140"/>
    </row>
    <row r="39" spans="1:18">
      <c r="A39" s="56" t="s">
        <v>78</v>
      </c>
      <c r="B39" s="84">
        <f>B34+B28+B38</f>
        <v>0</v>
      </c>
      <c r="C39" s="84">
        <f>C34+C28+C38</f>
        <v>0</v>
      </c>
      <c r="D39" s="84">
        <f>D34+D28+D38</f>
        <v>0</v>
      </c>
      <c r="E39" s="241"/>
      <c r="F39" s="84" t="e">
        <f>F34+F28+F38</f>
        <v>#DIV/0!</v>
      </c>
      <c r="G39" s="84" t="e">
        <f>G34+G28+G38</f>
        <v>#DIV/0!</v>
      </c>
      <c r="H39" s="84" t="e">
        <f>H34+H28+H38</f>
        <v>#DIV/0!</v>
      </c>
      <c r="I39" s="241"/>
      <c r="J39" s="84" t="e">
        <f>J34+J28+J38</f>
        <v>#DIV/0!</v>
      </c>
      <c r="K39" s="84" t="e">
        <f>K34+K28+K38</f>
        <v>#DIV/0!</v>
      </c>
      <c r="L39" s="84" t="e">
        <f>L34+L28+L38</f>
        <v>#DIV/0!</v>
      </c>
      <c r="M39" s="241"/>
      <c r="N39" s="84" t="e">
        <f>N34+N28+N38</f>
        <v>#DIV/0!</v>
      </c>
      <c r="O39" s="84" t="e">
        <f>O34+O28+O38</f>
        <v>#DIV/0!</v>
      </c>
      <c r="P39" s="84" t="e">
        <f>P34+P28+P38</f>
        <v>#DIV/0!</v>
      </c>
      <c r="Q39" s="241"/>
      <c r="R39" s="141"/>
    </row>
    <row r="40" spans="1:18">
      <c r="A40" s="132" t="s">
        <v>162</v>
      </c>
      <c r="B40" s="586">
        <f>D5</f>
        <v>53000.000000000007</v>
      </c>
      <c r="C40" s="587"/>
      <c r="D40" s="587"/>
      <c r="E40" s="574"/>
      <c r="F40" s="586">
        <f>H5</f>
        <v>50000</v>
      </c>
      <c r="G40" s="587"/>
      <c r="H40" s="587"/>
      <c r="I40" s="574"/>
      <c r="J40" s="586">
        <f>L5</f>
        <v>0</v>
      </c>
      <c r="K40" s="587"/>
      <c r="L40" s="587"/>
      <c r="M40" s="574"/>
      <c r="N40" s="586">
        <f>P5</f>
        <v>0</v>
      </c>
      <c r="O40" s="587"/>
      <c r="P40" s="587"/>
      <c r="Q40" s="574"/>
      <c r="R40" s="136"/>
    </row>
    <row r="41" spans="1:18">
      <c r="A41" s="134" t="s">
        <v>80</v>
      </c>
      <c r="B41" s="580">
        <f>D7</f>
        <v>19668.709200000001</v>
      </c>
      <c r="C41" s="581"/>
      <c r="D41" s="581"/>
      <c r="E41" s="574"/>
      <c r="F41" s="580">
        <f>H7</f>
        <v>0</v>
      </c>
      <c r="G41" s="581"/>
      <c r="H41" s="581"/>
      <c r="I41" s="574"/>
      <c r="J41" s="580">
        <f>L7</f>
        <v>0</v>
      </c>
      <c r="K41" s="581"/>
      <c r="L41" s="581"/>
      <c r="M41" s="574"/>
      <c r="N41" s="580">
        <f>P7</f>
        <v>0</v>
      </c>
      <c r="O41" s="581"/>
      <c r="P41" s="581"/>
      <c r="Q41" s="574"/>
      <c r="R41" s="136"/>
    </row>
    <row r="42" spans="1:18">
      <c r="A42" s="134" t="s">
        <v>79</v>
      </c>
      <c r="B42" s="582">
        <f>B41/B40</f>
        <v>0.37110772075471693</v>
      </c>
      <c r="C42" s="583"/>
      <c r="D42" s="583"/>
      <c r="E42" s="574"/>
      <c r="F42" s="582">
        <f>F41/F40</f>
        <v>0</v>
      </c>
      <c r="G42" s="583"/>
      <c r="H42" s="583"/>
      <c r="I42" s="574"/>
      <c r="J42" s="582" t="e">
        <f>J41/J40</f>
        <v>#DIV/0!</v>
      </c>
      <c r="K42" s="583"/>
      <c r="L42" s="583"/>
      <c r="M42" s="574"/>
      <c r="N42" s="582" t="e">
        <f>N41/N40</f>
        <v>#DIV/0!</v>
      </c>
      <c r="O42" s="583"/>
      <c r="P42" s="583"/>
      <c r="Q42" s="574"/>
      <c r="R42" s="142"/>
    </row>
    <row r="43" spans="1:18">
      <c r="A43" s="134" t="s">
        <v>76</v>
      </c>
      <c r="B43" s="572">
        <f>D22</f>
        <v>0</v>
      </c>
      <c r="C43" s="573"/>
      <c r="D43" s="573"/>
      <c r="E43" s="574"/>
      <c r="F43" s="572">
        <f>H22</f>
        <v>0</v>
      </c>
      <c r="G43" s="573"/>
      <c r="H43" s="573"/>
      <c r="I43" s="574"/>
      <c r="J43" s="572">
        <f>L22</f>
        <v>0</v>
      </c>
      <c r="K43" s="573"/>
      <c r="L43" s="573"/>
      <c r="M43" s="574"/>
      <c r="N43" s="572">
        <f>P22</f>
        <v>0</v>
      </c>
      <c r="O43" s="573"/>
      <c r="P43" s="573"/>
      <c r="Q43" s="574"/>
      <c r="R43" s="136"/>
    </row>
    <row r="44" spans="1:18">
      <c r="A44" s="88" t="s">
        <v>77</v>
      </c>
      <c r="B44" s="575">
        <f>IF(B42&lt;100%,0,IF(B42&lt;110%,0.5,IF(B42&lt;120%,0.7,1)))</f>
        <v>0</v>
      </c>
      <c r="C44" s="576"/>
      <c r="D44" s="576"/>
      <c r="E44" s="577"/>
      <c r="F44" s="575">
        <f>IF(F42&lt;100%,0,IF(F42&lt;110%,0.5,IF(F42&lt;120%,0.7,1)))</f>
        <v>0</v>
      </c>
      <c r="G44" s="576"/>
      <c r="H44" s="576"/>
      <c r="I44" s="577"/>
      <c r="J44" s="575" t="e">
        <f>IF(J42&lt;100%,0,IF(J42&lt;110%,0.5,IF(J42&lt;120%,0.7,1)))</f>
        <v>#DIV/0!</v>
      </c>
      <c r="K44" s="576"/>
      <c r="L44" s="576"/>
      <c r="M44" s="577"/>
      <c r="N44" s="575" t="e">
        <f>IF(N42&lt;100%,0,IF(N42&lt;110%,0.5,IF(N42&lt;120%,0.7,1)))</f>
        <v>#DIV/0!</v>
      </c>
      <c r="O44" s="576"/>
      <c r="P44" s="576"/>
      <c r="Q44" s="577"/>
      <c r="R44" s="143"/>
    </row>
    <row r="45" spans="1:18">
      <c r="A45" s="56" t="s">
        <v>75</v>
      </c>
      <c r="B45" s="578">
        <f>B44*B43</f>
        <v>0</v>
      </c>
      <c r="C45" s="579"/>
      <c r="D45" s="579"/>
      <c r="E45" s="577"/>
      <c r="F45" s="578">
        <f>F44*F43</f>
        <v>0</v>
      </c>
      <c r="G45" s="579"/>
      <c r="H45" s="579"/>
      <c r="I45" s="577"/>
      <c r="J45" s="578" t="e">
        <f>J44*J43</f>
        <v>#DIV/0!</v>
      </c>
      <c r="K45" s="579"/>
      <c r="L45" s="579"/>
      <c r="M45" s="577"/>
      <c r="N45" s="578" t="e">
        <f>N44*N43</f>
        <v>#DIV/0!</v>
      </c>
      <c r="O45" s="579"/>
      <c r="P45" s="579"/>
      <c r="Q45" s="577"/>
      <c r="R45" s="144"/>
    </row>
    <row r="46" spans="1:18">
      <c r="A46" s="63"/>
      <c r="B46" s="64"/>
      <c r="C46" s="64"/>
      <c r="D46" s="64"/>
      <c r="E46" s="146"/>
      <c r="F46" s="64"/>
      <c r="G46" s="64"/>
      <c r="H46" s="64"/>
      <c r="I46" s="146"/>
      <c r="J46" s="64"/>
      <c r="K46" s="64"/>
      <c r="L46" s="64"/>
      <c r="M46" s="146"/>
      <c r="N46" s="64"/>
      <c r="O46" s="64"/>
      <c r="P46" s="64"/>
      <c r="Q46" s="146"/>
      <c r="R46" s="147"/>
    </row>
    <row r="47" spans="1:18">
      <c r="A47" s="208" t="s">
        <v>27</v>
      </c>
      <c r="B47" s="114" t="s">
        <v>1</v>
      </c>
      <c r="C47" s="114" t="s">
        <v>2</v>
      </c>
      <c r="D47" s="114" t="s">
        <v>3</v>
      </c>
      <c r="E47" s="223" t="s">
        <v>152</v>
      </c>
      <c r="F47" s="114" t="s">
        <v>10</v>
      </c>
      <c r="G47" s="114" t="s">
        <v>11</v>
      </c>
      <c r="H47" s="114" t="s">
        <v>12</v>
      </c>
      <c r="I47" s="223" t="s">
        <v>165</v>
      </c>
      <c r="J47" s="114" t="s">
        <v>7</v>
      </c>
      <c r="K47" s="114" t="s">
        <v>8</v>
      </c>
      <c r="L47" s="114" t="s">
        <v>9</v>
      </c>
      <c r="M47" s="223" t="s">
        <v>164</v>
      </c>
      <c r="N47" s="114" t="s">
        <v>4</v>
      </c>
      <c r="O47" s="114" t="s">
        <v>5</v>
      </c>
      <c r="P47" s="114" t="s">
        <v>6</v>
      </c>
      <c r="Q47" s="223" t="s">
        <v>163</v>
      </c>
      <c r="R47" s="114" t="s">
        <v>166</v>
      </c>
    </row>
    <row r="48" spans="1:18">
      <c r="A48" s="148" t="s">
        <v>36</v>
      </c>
      <c r="B48" s="115"/>
      <c r="C48" s="115"/>
      <c r="D48" s="115"/>
      <c r="E48" s="224">
        <f>SUM(B48:D48)</f>
        <v>0</v>
      </c>
      <c r="F48" s="115"/>
      <c r="G48" s="115"/>
      <c r="H48" s="115"/>
      <c r="I48" s="224">
        <f>SUM(F48:H48)</f>
        <v>0</v>
      </c>
      <c r="J48" s="115"/>
      <c r="K48" s="115"/>
      <c r="L48" s="115"/>
      <c r="M48" s="224">
        <f>SUM(J48:L48)</f>
        <v>0</v>
      </c>
      <c r="N48" s="115"/>
      <c r="O48" s="115"/>
      <c r="P48" s="115"/>
      <c r="Q48" s="224">
        <f>SUM(N48:P48)</f>
        <v>0</v>
      </c>
      <c r="R48" s="116">
        <f t="shared" ref="R48:R61" si="12">E48+Q48+M48+I48</f>
        <v>0</v>
      </c>
    </row>
    <row r="49" spans="1:18">
      <c r="A49" s="148" t="s">
        <v>37</v>
      </c>
      <c r="B49" s="115"/>
      <c r="C49" s="115"/>
      <c r="D49" s="115"/>
      <c r="E49" s="224">
        <f t="shared" ref="E49:E61" si="13">SUM(B49:D49)</f>
        <v>0</v>
      </c>
      <c r="F49" s="115"/>
      <c r="G49" s="115"/>
      <c r="H49" s="115"/>
      <c r="I49" s="224">
        <f t="shared" ref="I49:I61" si="14">SUM(F49:H49)</f>
        <v>0</v>
      </c>
      <c r="J49" s="115"/>
      <c r="K49" s="115"/>
      <c r="L49" s="115"/>
      <c r="M49" s="224">
        <f t="shared" ref="M49:M61" si="15">SUM(J49:L49)</f>
        <v>0</v>
      </c>
      <c r="N49" s="115"/>
      <c r="O49" s="115"/>
      <c r="P49" s="115"/>
      <c r="Q49" s="224">
        <f t="shared" ref="Q49:Q61" si="16">SUM(N49:P49)</f>
        <v>0</v>
      </c>
      <c r="R49" s="116">
        <f t="shared" si="12"/>
        <v>0</v>
      </c>
    </row>
    <row r="50" spans="1:18">
      <c r="A50" s="148" t="s">
        <v>81</v>
      </c>
      <c r="B50" s="115"/>
      <c r="C50" s="115"/>
      <c r="D50" s="115"/>
      <c r="E50" s="224">
        <f t="shared" si="13"/>
        <v>0</v>
      </c>
      <c r="F50" s="115"/>
      <c r="G50" s="115"/>
      <c r="H50" s="115"/>
      <c r="I50" s="224">
        <f t="shared" si="14"/>
        <v>0</v>
      </c>
      <c r="J50" s="115"/>
      <c r="K50" s="115"/>
      <c r="L50" s="115"/>
      <c r="M50" s="224">
        <f t="shared" si="15"/>
        <v>0</v>
      </c>
      <c r="N50" s="115"/>
      <c r="O50" s="115"/>
      <c r="P50" s="115"/>
      <c r="Q50" s="224">
        <f t="shared" si="16"/>
        <v>0</v>
      </c>
      <c r="R50" s="116">
        <f t="shared" si="12"/>
        <v>0</v>
      </c>
    </row>
    <row r="51" spans="1:18">
      <c r="A51" s="148" t="s">
        <v>38</v>
      </c>
      <c r="B51" s="115"/>
      <c r="C51" s="115"/>
      <c r="D51" s="115"/>
      <c r="E51" s="224">
        <f t="shared" si="13"/>
        <v>0</v>
      </c>
      <c r="F51" s="115"/>
      <c r="G51" s="115"/>
      <c r="H51" s="115"/>
      <c r="I51" s="224">
        <f t="shared" si="14"/>
        <v>0</v>
      </c>
      <c r="J51" s="115"/>
      <c r="K51" s="115"/>
      <c r="L51" s="115"/>
      <c r="M51" s="224">
        <f t="shared" si="15"/>
        <v>0</v>
      </c>
      <c r="N51" s="115"/>
      <c r="O51" s="115"/>
      <c r="P51" s="115"/>
      <c r="Q51" s="224">
        <f t="shared" si="16"/>
        <v>0</v>
      </c>
      <c r="R51" s="116">
        <f t="shared" si="12"/>
        <v>0</v>
      </c>
    </row>
    <row r="52" spans="1:18">
      <c r="A52" s="148" t="s">
        <v>23</v>
      </c>
      <c r="B52" s="115"/>
      <c r="C52" s="115"/>
      <c r="D52" s="115"/>
      <c r="E52" s="224">
        <f t="shared" si="13"/>
        <v>0</v>
      </c>
      <c r="F52" s="115"/>
      <c r="G52" s="115"/>
      <c r="H52" s="115"/>
      <c r="I52" s="224">
        <f t="shared" si="14"/>
        <v>0</v>
      </c>
      <c r="J52" s="115"/>
      <c r="K52" s="115"/>
      <c r="L52" s="115"/>
      <c r="M52" s="224">
        <f t="shared" si="15"/>
        <v>0</v>
      </c>
      <c r="N52" s="115"/>
      <c r="O52" s="115"/>
      <c r="P52" s="115"/>
      <c r="Q52" s="224">
        <f t="shared" si="16"/>
        <v>0</v>
      </c>
      <c r="R52" s="116">
        <f t="shared" si="12"/>
        <v>0</v>
      </c>
    </row>
    <row r="53" spans="1:18">
      <c r="A53" s="148" t="s">
        <v>29</v>
      </c>
      <c r="B53" s="115"/>
      <c r="C53" s="115"/>
      <c r="D53" s="115"/>
      <c r="E53" s="224">
        <f t="shared" si="13"/>
        <v>0</v>
      </c>
      <c r="F53" s="115"/>
      <c r="G53" s="115"/>
      <c r="H53" s="115"/>
      <c r="I53" s="224">
        <f t="shared" si="14"/>
        <v>0</v>
      </c>
      <c r="J53" s="115"/>
      <c r="K53" s="115"/>
      <c r="L53" s="115"/>
      <c r="M53" s="224">
        <f t="shared" si="15"/>
        <v>0</v>
      </c>
      <c r="N53" s="115"/>
      <c r="O53" s="115"/>
      <c r="P53" s="115"/>
      <c r="Q53" s="224">
        <f t="shared" si="16"/>
        <v>0</v>
      </c>
      <c r="R53" s="116">
        <f t="shared" si="12"/>
        <v>0</v>
      </c>
    </row>
    <row r="54" spans="1:18">
      <c r="A54" s="148" t="s">
        <v>24</v>
      </c>
      <c r="B54" s="115"/>
      <c r="C54" s="115"/>
      <c r="D54" s="115"/>
      <c r="E54" s="224">
        <f t="shared" si="13"/>
        <v>0</v>
      </c>
      <c r="F54" s="115"/>
      <c r="G54" s="115"/>
      <c r="H54" s="115"/>
      <c r="I54" s="224">
        <f t="shared" si="14"/>
        <v>0</v>
      </c>
      <c r="J54" s="115"/>
      <c r="K54" s="115"/>
      <c r="L54" s="115"/>
      <c r="M54" s="224">
        <f t="shared" si="15"/>
        <v>0</v>
      </c>
      <c r="N54" s="115"/>
      <c r="O54" s="115"/>
      <c r="P54" s="115"/>
      <c r="Q54" s="224">
        <f t="shared" si="16"/>
        <v>0</v>
      </c>
      <c r="R54" s="116">
        <f t="shared" si="12"/>
        <v>0</v>
      </c>
    </row>
    <row r="55" spans="1:18">
      <c r="A55" s="148" t="s">
        <v>28</v>
      </c>
      <c r="B55" s="115"/>
      <c r="C55" s="115"/>
      <c r="D55" s="115"/>
      <c r="E55" s="224">
        <f t="shared" si="13"/>
        <v>0</v>
      </c>
      <c r="F55" s="115"/>
      <c r="G55" s="115"/>
      <c r="H55" s="115"/>
      <c r="I55" s="224">
        <f t="shared" si="14"/>
        <v>0</v>
      </c>
      <c r="J55" s="115"/>
      <c r="K55" s="115"/>
      <c r="L55" s="115"/>
      <c r="M55" s="224">
        <f t="shared" si="15"/>
        <v>0</v>
      </c>
      <c r="N55" s="115"/>
      <c r="O55" s="115"/>
      <c r="P55" s="115"/>
      <c r="Q55" s="224">
        <f t="shared" si="16"/>
        <v>0</v>
      </c>
      <c r="R55" s="116">
        <f t="shared" si="12"/>
        <v>0</v>
      </c>
    </row>
    <row r="56" spans="1:18">
      <c r="A56" s="148" t="s">
        <v>200</v>
      </c>
      <c r="B56" s="115"/>
      <c r="C56" s="115"/>
      <c r="D56" s="115"/>
      <c r="E56" s="224"/>
      <c r="F56" s="115"/>
      <c r="G56" s="115"/>
      <c r="H56" s="115"/>
      <c r="I56" s="224"/>
      <c r="J56" s="115"/>
      <c r="K56" s="115"/>
      <c r="L56" s="115"/>
      <c r="M56" s="224"/>
      <c r="N56" s="115"/>
      <c r="O56" s="115"/>
      <c r="P56" s="115"/>
      <c r="Q56" s="224"/>
      <c r="R56" s="116">
        <f t="shared" si="12"/>
        <v>0</v>
      </c>
    </row>
    <row r="57" spans="1:18">
      <c r="A57" s="148" t="s">
        <v>221</v>
      </c>
      <c r="B57" s="115"/>
      <c r="C57" s="115"/>
      <c r="D57" s="115"/>
      <c r="E57" s="224"/>
      <c r="F57" s="115"/>
      <c r="G57" s="115"/>
      <c r="H57" s="115"/>
      <c r="I57" s="224"/>
      <c r="J57" s="115"/>
      <c r="K57" s="115"/>
      <c r="L57" s="115"/>
      <c r="M57" s="224"/>
      <c r="N57" s="115"/>
      <c r="O57" s="115"/>
      <c r="P57" s="115"/>
      <c r="Q57" s="224"/>
      <c r="R57" s="116">
        <f t="shared" si="12"/>
        <v>0</v>
      </c>
    </row>
    <row r="58" spans="1:18">
      <c r="A58" s="148" t="s">
        <v>25</v>
      </c>
      <c r="B58" s="115"/>
      <c r="C58" s="115"/>
      <c r="D58" s="115"/>
      <c r="E58" s="224">
        <f t="shared" si="13"/>
        <v>0</v>
      </c>
      <c r="F58" s="115"/>
      <c r="G58" s="115"/>
      <c r="H58" s="115"/>
      <c r="I58" s="224">
        <f t="shared" si="14"/>
        <v>0</v>
      </c>
      <c r="J58" s="115"/>
      <c r="K58" s="115"/>
      <c r="L58" s="115"/>
      <c r="M58" s="224">
        <f t="shared" si="15"/>
        <v>0</v>
      </c>
      <c r="N58" s="115"/>
      <c r="O58" s="115"/>
      <c r="P58" s="115"/>
      <c r="Q58" s="224">
        <f t="shared" si="16"/>
        <v>0</v>
      </c>
      <c r="R58" s="116">
        <f t="shared" si="12"/>
        <v>0</v>
      </c>
    </row>
    <row r="59" spans="1:18">
      <c r="A59" s="148" t="s">
        <v>82</v>
      </c>
      <c r="B59" s="115"/>
      <c r="C59" s="115"/>
      <c r="D59" s="115"/>
      <c r="E59" s="224">
        <f t="shared" si="13"/>
        <v>0</v>
      </c>
      <c r="F59" s="115"/>
      <c r="G59" s="115"/>
      <c r="H59" s="115"/>
      <c r="I59" s="224">
        <f t="shared" si="14"/>
        <v>0</v>
      </c>
      <c r="J59" s="115"/>
      <c r="K59" s="115"/>
      <c r="L59" s="115"/>
      <c r="M59" s="224">
        <f t="shared" si="15"/>
        <v>0</v>
      </c>
      <c r="N59" s="115"/>
      <c r="O59" s="115"/>
      <c r="P59" s="115"/>
      <c r="Q59" s="224">
        <f t="shared" si="16"/>
        <v>0</v>
      </c>
      <c r="R59" s="116">
        <f t="shared" si="12"/>
        <v>0</v>
      </c>
    </row>
    <row r="60" spans="1:18">
      <c r="A60" s="148" t="s">
        <v>35</v>
      </c>
      <c r="B60" s="115"/>
      <c r="C60" s="115"/>
      <c r="D60" s="115"/>
      <c r="E60" s="224">
        <f t="shared" si="13"/>
        <v>0</v>
      </c>
      <c r="F60" s="115"/>
      <c r="G60" s="115"/>
      <c r="H60" s="115"/>
      <c r="I60" s="224">
        <f t="shared" si="14"/>
        <v>0</v>
      </c>
      <c r="J60" s="115"/>
      <c r="K60" s="115"/>
      <c r="L60" s="115"/>
      <c r="M60" s="224">
        <f t="shared" si="15"/>
        <v>0</v>
      </c>
      <c r="N60" s="115"/>
      <c r="O60" s="115"/>
      <c r="P60" s="115"/>
      <c r="Q60" s="224">
        <f t="shared" si="16"/>
        <v>0</v>
      </c>
      <c r="R60" s="116">
        <f t="shared" si="12"/>
        <v>0</v>
      </c>
    </row>
    <row r="61" spans="1:18">
      <c r="A61" s="148" t="s">
        <v>26</v>
      </c>
      <c r="B61" s="115">
        <f>SUM(B48:B60)</f>
        <v>0</v>
      </c>
      <c r="C61" s="115">
        <f>SUM(C48:C60)</f>
        <v>0</v>
      </c>
      <c r="D61" s="115">
        <f>SUM(D48:D60)</f>
        <v>0</v>
      </c>
      <c r="E61" s="224">
        <f t="shared" si="13"/>
        <v>0</v>
      </c>
      <c r="F61" s="115">
        <f>SUM(F48:F60)</f>
        <v>0</v>
      </c>
      <c r="G61" s="115">
        <f>SUM(G48:G60)</f>
        <v>0</v>
      </c>
      <c r="H61" s="115">
        <f>SUM(H48:H60)</f>
        <v>0</v>
      </c>
      <c r="I61" s="224">
        <f t="shared" si="14"/>
        <v>0</v>
      </c>
      <c r="J61" s="115">
        <f>SUM(J48:J60)</f>
        <v>0</v>
      </c>
      <c r="K61" s="115">
        <f>SUM(K48:K60)</f>
        <v>0</v>
      </c>
      <c r="L61" s="115">
        <f>SUM(L48:L60)</f>
        <v>0</v>
      </c>
      <c r="M61" s="224">
        <f t="shared" si="15"/>
        <v>0</v>
      </c>
      <c r="N61" s="115">
        <f>SUM(N48:N60)</f>
        <v>0</v>
      </c>
      <c r="O61" s="115">
        <f>SUM(O48:O60)</f>
        <v>0</v>
      </c>
      <c r="P61" s="115">
        <f>SUM(P48:P60)</f>
        <v>0</v>
      </c>
      <c r="Q61" s="224">
        <f t="shared" si="16"/>
        <v>0</v>
      </c>
      <c r="R61" s="116">
        <f t="shared" si="12"/>
        <v>0</v>
      </c>
    </row>
    <row r="62" spans="1:18" ht="13.5" thickBot="1">
      <c r="A62" s="149"/>
      <c r="B62" s="150"/>
      <c r="C62" s="150"/>
      <c r="D62" s="150"/>
      <c r="F62" s="150"/>
      <c r="G62" s="150"/>
      <c r="H62" s="150"/>
      <c r="J62" s="150"/>
      <c r="K62" s="150"/>
      <c r="L62" s="150"/>
      <c r="N62" s="150"/>
      <c r="O62" s="150"/>
      <c r="P62" s="150"/>
    </row>
    <row r="63" spans="1:18" ht="13.5" thickBot="1">
      <c r="A63" s="177" t="s">
        <v>109</v>
      </c>
      <c r="B63" s="178" t="s">
        <v>1</v>
      </c>
      <c r="C63" s="178" t="s">
        <v>2</v>
      </c>
      <c r="D63" s="178" t="s">
        <v>3</v>
      </c>
      <c r="E63" s="167" t="s">
        <v>173</v>
      </c>
      <c r="F63" s="178" t="s">
        <v>110</v>
      </c>
      <c r="G63" s="178" t="s">
        <v>11</v>
      </c>
      <c r="H63" s="178" t="s">
        <v>12</v>
      </c>
      <c r="I63" s="178" t="s">
        <v>165</v>
      </c>
      <c r="J63" s="178" t="s">
        <v>7</v>
      </c>
      <c r="K63" s="178" t="s">
        <v>8</v>
      </c>
      <c r="L63" s="178" t="s">
        <v>9</v>
      </c>
      <c r="M63" s="178" t="s">
        <v>164</v>
      </c>
      <c r="N63" s="178" t="s">
        <v>4</v>
      </c>
      <c r="O63" s="178" t="s">
        <v>5</v>
      </c>
      <c r="P63" s="178" t="s">
        <v>6</v>
      </c>
      <c r="Q63" s="178" t="s">
        <v>163</v>
      </c>
      <c r="R63" s="167" t="s">
        <v>111</v>
      </c>
    </row>
    <row r="64" spans="1:18" ht="13.5" thickTop="1">
      <c r="A64" s="179" t="s">
        <v>112</v>
      </c>
      <c r="B64" s="170"/>
      <c r="C64" s="170"/>
      <c r="D64" s="170"/>
      <c r="E64" s="256">
        <f>SUM(B64:D64)</f>
        <v>0</v>
      </c>
      <c r="F64" s="170"/>
      <c r="G64" s="170"/>
      <c r="H64" s="170"/>
      <c r="I64" s="256">
        <f>SUM(F64:H64)</f>
        <v>0</v>
      </c>
      <c r="J64" s="450"/>
      <c r="K64" s="450"/>
      <c r="L64" s="450"/>
      <c r="M64" s="256">
        <f>SUM(J64:L64)</f>
        <v>0</v>
      </c>
      <c r="N64" s="170"/>
      <c r="O64" s="170"/>
      <c r="P64" s="170"/>
      <c r="Q64" s="256">
        <f>SUM(N64:P64)</f>
        <v>0</v>
      </c>
      <c r="R64" s="256">
        <f>E64+Q64+M64+I64</f>
        <v>0</v>
      </c>
    </row>
    <row r="65" spans="1:18">
      <c r="A65" s="180" t="s">
        <v>113</v>
      </c>
      <c r="B65" s="171"/>
      <c r="C65" s="171"/>
      <c r="D65" s="171"/>
      <c r="E65" s="256">
        <f>SUM(B65:D65)</f>
        <v>0</v>
      </c>
      <c r="F65" s="171"/>
      <c r="G65" s="171"/>
      <c r="H65" s="171"/>
      <c r="I65" s="256">
        <f>SUM(F65:H65)</f>
        <v>0</v>
      </c>
      <c r="J65" s="448"/>
      <c r="K65" s="448"/>
      <c r="L65" s="448"/>
      <c r="M65" s="256">
        <f>SUM(J65:L65)</f>
        <v>0</v>
      </c>
      <c r="N65" s="171"/>
      <c r="O65" s="171"/>
      <c r="P65" s="171"/>
      <c r="Q65" s="256">
        <f>SUM(N65:P65)</f>
        <v>0</v>
      </c>
      <c r="R65" s="256">
        <f>E65+Q65+M65+I65</f>
        <v>0</v>
      </c>
    </row>
    <row r="66" spans="1:18">
      <c r="A66" s="180" t="s">
        <v>114</v>
      </c>
      <c r="B66" s="171"/>
      <c r="C66" s="171"/>
      <c r="D66" s="171"/>
      <c r="E66" s="257"/>
      <c r="F66" s="171"/>
      <c r="G66" s="171"/>
      <c r="H66" s="171"/>
      <c r="I66" s="257"/>
      <c r="J66" s="448"/>
      <c r="K66" s="448"/>
      <c r="L66" s="448"/>
      <c r="M66" s="257"/>
      <c r="N66" s="171"/>
      <c r="O66" s="171"/>
      <c r="P66" s="171"/>
      <c r="Q66" s="257"/>
      <c r="R66" s="257"/>
    </row>
    <row r="67" spans="1:18">
      <c r="A67" s="180" t="s">
        <v>115</v>
      </c>
      <c r="B67" s="171"/>
      <c r="C67" s="171"/>
      <c r="D67" s="171"/>
      <c r="E67" s="257"/>
      <c r="F67" s="171"/>
      <c r="G67" s="171"/>
      <c r="H67" s="171"/>
      <c r="I67" s="257"/>
      <c r="J67" s="448"/>
      <c r="K67" s="448"/>
      <c r="L67" s="448"/>
      <c r="M67" s="257"/>
      <c r="N67" s="171"/>
      <c r="O67" s="171"/>
      <c r="P67" s="171"/>
      <c r="Q67" s="257"/>
      <c r="R67" s="257"/>
    </row>
    <row r="68" spans="1:18">
      <c r="A68" s="180" t="s">
        <v>172</v>
      </c>
      <c r="B68" s="171"/>
      <c r="C68" s="171"/>
      <c r="D68" s="171"/>
      <c r="E68" s="257"/>
      <c r="F68" s="171"/>
      <c r="G68" s="171"/>
      <c r="H68" s="171"/>
      <c r="I68" s="257"/>
      <c r="J68" s="448"/>
      <c r="K68" s="448"/>
      <c r="L68" s="448"/>
      <c r="M68" s="257"/>
      <c r="N68" s="171"/>
      <c r="O68" s="171"/>
      <c r="P68" s="171"/>
      <c r="Q68" s="257"/>
      <c r="R68" s="257"/>
    </row>
    <row r="69" spans="1:18">
      <c r="A69" s="180" t="s">
        <v>116</v>
      </c>
      <c r="B69" s="181"/>
      <c r="C69" s="181"/>
      <c r="D69" s="181"/>
      <c r="E69" s="258"/>
      <c r="F69" s="181"/>
      <c r="G69" s="181"/>
      <c r="H69" s="181"/>
      <c r="I69" s="258"/>
      <c r="J69" s="452"/>
      <c r="K69" s="452"/>
      <c r="L69" s="452"/>
      <c r="M69" s="258"/>
      <c r="N69" s="181"/>
      <c r="O69" s="181"/>
      <c r="P69" s="181"/>
      <c r="Q69" s="258"/>
      <c r="R69" s="258"/>
    </row>
    <row r="70" spans="1:18" ht="13.5" thickBot="1">
      <c r="A70" s="182" t="s">
        <v>117</v>
      </c>
      <c r="B70" s="172"/>
      <c r="C70" s="172"/>
      <c r="D70" s="172"/>
      <c r="E70" s="256">
        <f>SUM(B70:D70)</f>
        <v>0</v>
      </c>
      <c r="F70" s="172"/>
      <c r="G70" s="172"/>
      <c r="H70" s="172"/>
      <c r="I70" s="256">
        <f>SUM(F70:H70)</f>
        <v>0</v>
      </c>
      <c r="J70" s="453"/>
      <c r="K70" s="453"/>
      <c r="L70" s="453"/>
      <c r="M70" s="256">
        <f>SUM(J70:L70)</f>
        <v>0</v>
      </c>
      <c r="N70" s="172"/>
      <c r="O70" s="172"/>
      <c r="P70" s="172"/>
      <c r="Q70" s="256">
        <f>SUM(N70:P70)</f>
        <v>0</v>
      </c>
      <c r="R70" s="256">
        <f>E70+Q70+M70+I70</f>
        <v>0</v>
      </c>
    </row>
    <row r="71" spans="1:18" ht="13.5" thickTop="1">
      <c r="A71" s="183" t="s">
        <v>174</v>
      </c>
      <c r="B71" s="173"/>
      <c r="C71" s="173"/>
      <c r="D71" s="173"/>
      <c r="E71" s="256">
        <f>SUM(B71:D71)</f>
        <v>0</v>
      </c>
      <c r="F71" s="173"/>
      <c r="G71" s="173"/>
      <c r="H71" s="173"/>
      <c r="I71" s="256">
        <f>SUM(F71:H71)</f>
        <v>0</v>
      </c>
      <c r="J71" s="455"/>
      <c r="K71" s="455"/>
      <c r="L71" s="455"/>
      <c r="M71" s="256">
        <f>SUM(J71:L71)</f>
        <v>0</v>
      </c>
      <c r="N71" s="173"/>
      <c r="O71" s="173"/>
      <c r="P71" s="173"/>
      <c r="Q71" s="256">
        <f>SUM(N71:P71)</f>
        <v>0</v>
      </c>
      <c r="R71" s="256">
        <f>E71+Q71+M71+I71</f>
        <v>0</v>
      </c>
    </row>
    <row r="72" spans="1:18">
      <c r="A72" s="180" t="s">
        <v>118</v>
      </c>
      <c r="B72" s="171"/>
      <c r="C72" s="171"/>
      <c r="D72" s="171"/>
      <c r="E72" s="259"/>
      <c r="F72" s="171"/>
      <c r="G72" s="171"/>
      <c r="H72" s="171"/>
      <c r="I72" s="259"/>
      <c r="J72" s="448"/>
      <c r="K72" s="448"/>
      <c r="L72" s="448"/>
      <c r="M72" s="259"/>
      <c r="N72" s="171"/>
      <c r="O72" s="171"/>
      <c r="P72" s="171"/>
      <c r="Q72" s="259"/>
      <c r="R72" s="259"/>
    </row>
    <row r="73" spans="1:18">
      <c r="A73" s="180" t="s">
        <v>119</v>
      </c>
      <c r="B73" s="171"/>
      <c r="C73" s="171"/>
      <c r="D73" s="171"/>
      <c r="E73" s="260"/>
      <c r="F73" s="171"/>
      <c r="G73" s="171"/>
      <c r="H73" s="171"/>
      <c r="I73" s="260"/>
      <c r="J73" s="448"/>
      <c r="K73" s="448"/>
      <c r="L73" s="448"/>
      <c r="M73" s="260"/>
      <c r="N73" s="171"/>
      <c r="O73" s="171"/>
      <c r="P73" s="171"/>
      <c r="Q73" s="260"/>
      <c r="R73" s="260"/>
    </row>
    <row r="74" spans="1:18" ht="13.5" thickBot="1">
      <c r="A74" s="184" t="s">
        <v>120</v>
      </c>
      <c r="B74" s="174"/>
      <c r="C74" s="174"/>
      <c r="D74" s="174"/>
      <c r="E74" s="261"/>
      <c r="F74" s="174"/>
      <c r="G74" s="174"/>
      <c r="H74" s="174"/>
      <c r="I74" s="261"/>
      <c r="J74" s="456"/>
      <c r="K74" s="456"/>
      <c r="L74" s="456"/>
      <c r="M74" s="261"/>
      <c r="N74" s="174"/>
      <c r="O74" s="174"/>
      <c r="P74" s="174"/>
      <c r="Q74" s="261"/>
      <c r="R74" s="261"/>
    </row>
    <row r="75" spans="1:18" ht="13.5" thickTop="1">
      <c r="A75" s="179" t="s">
        <v>121</v>
      </c>
      <c r="B75" s="170"/>
      <c r="C75" s="170"/>
      <c r="D75" s="170"/>
      <c r="E75" s="256">
        <f>SUM(B75:D75)</f>
        <v>0</v>
      </c>
      <c r="F75" s="170"/>
      <c r="G75" s="170"/>
      <c r="H75" s="170"/>
      <c r="I75" s="256">
        <f>SUM(F75:H75)</f>
        <v>0</v>
      </c>
      <c r="J75" s="450"/>
      <c r="K75" s="450"/>
      <c r="L75" s="450"/>
      <c r="M75" s="256">
        <f>SUM(J75:L75)</f>
        <v>0</v>
      </c>
      <c r="N75" s="170"/>
      <c r="O75" s="170"/>
      <c r="P75" s="170"/>
      <c r="Q75" s="256">
        <f>SUM(N75:P75)</f>
        <v>0</v>
      </c>
      <c r="R75" s="256">
        <f>E75+Q75+M75+I75</f>
        <v>0</v>
      </c>
    </row>
    <row r="76" spans="1:18">
      <c r="A76" s="180" t="s">
        <v>122</v>
      </c>
      <c r="B76" s="171"/>
      <c r="C76" s="171"/>
      <c r="D76" s="171"/>
      <c r="E76" s="256">
        <f t="shared" ref="E76:E82" si="17">SUM(B76:D76)</f>
        <v>0</v>
      </c>
      <c r="F76" s="171"/>
      <c r="G76" s="171"/>
      <c r="H76" s="171"/>
      <c r="I76" s="256">
        <f t="shared" ref="I76:I82" si="18">SUM(F76:H76)</f>
        <v>0</v>
      </c>
      <c r="J76" s="448"/>
      <c r="K76" s="448"/>
      <c r="L76" s="448"/>
      <c r="M76" s="256">
        <f t="shared" ref="M76:M82" si="19">SUM(J76:L76)</f>
        <v>0</v>
      </c>
      <c r="N76" s="171"/>
      <c r="O76" s="171"/>
      <c r="P76" s="171"/>
      <c r="Q76" s="256">
        <f t="shared" ref="Q76:Q82" si="20">SUM(N76:P76)</f>
        <v>0</v>
      </c>
      <c r="R76" s="256">
        <f>E76+Q76+M76+I76</f>
        <v>0</v>
      </c>
    </row>
    <row r="77" spans="1:18" ht="13.5" thickBot="1">
      <c r="A77" s="182" t="s">
        <v>123</v>
      </c>
      <c r="B77" s="172"/>
      <c r="C77" s="172"/>
      <c r="D77" s="172"/>
      <c r="E77" s="256">
        <f t="shared" si="17"/>
        <v>0</v>
      </c>
      <c r="F77" s="172"/>
      <c r="G77" s="172"/>
      <c r="H77" s="172"/>
      <c r="I77" s="256">
        <f t="shared" si="18"/>
        <v>0</v>
      </c>
      <c r="J77" s="453"/>
      <c r="K77" s="453"/>
      <c r="L77" s="453"/>
      <c r="M77" s="256">
        <f t="shared" si="19"/>
        <v>0</v>
      </c>
      <c r="N77" s="172"/>
      <c r="O77" s="172"/>
      <c r="P77" s="172"/>
      <c r="Q77" s="256">
        <f t="shared" si="20"/>
        <v>0</v>
      </c>
      <c r="R77" s="256">
        <f>E77+Q77+M77+I77</f>
        <v>0</v>
      </c>
    </row>
    <row r="78" spans="1:18" ht="14.25" thickTop="1" thickBot="1">
      <c r="A78" s="182" t="s">
        <v>124</v>
      </c>
      <c r="B78" s="172"/>
      <c r="C78" s="172"/>
      <c r="D78" s="172"/>
      <c r="E78" s="256">
        <f t="shared" si="17"/>
        <v>0</v>
      </c>
      <c r="F78" s="172"/>
      <c r="G78" s="172"/>
      <c r="H78" s="172"/>
      <c r="I78" s="256">
        <f t="shared" si="18"/>
        <v>0</v>
      </c>
      <c r="J78" s="453"/>
      <c r="K78" s="453"/>
      <c r="L78" s="453"/>
      <c r="M78" s="256">
        <f t="shared" si="19"/>
        <v>0</v>
      </c>
      <c r="N78" s="172"/>
      <c r="O78" s="172"/>
      <c r="P78" s="172"/>
      <c r="Q78" s="256">
        <f t="shared" si="20"/>
        <v>0</v>
      </c>
      <c r="R78" s="256">
        <f>E78+Q78+M78+I78</f>
        <v>0</v>
      </c>
    </row>
    <row r="79" spans="1:18" ht="13.5" thickTop="1">
      <c r="A79" s="251" t="s">
        <v>125</v>
      </c>
      <c r="B79" s="191"/>
      <c r="C79" s="191"/>
      <c r="D79" s="191"/>
      <c r="E79" s="168"/>
      <c r="F79" s="191"/>
      <c r="G79" s="191"/>
      <c r="H79" s="191"/>
      <c r="I79" s="168"/>
      <c r="J79" s="457"/>
      <c r="K79" s="457"/>
      <c r="L79" s="451"/>
      <c r="M79" s="168"/>
      <c r="N79" s="191"/>
      <c r="O79" s="191"/>
      <c r="P79" s="191"/>
      <c r="Q79" s="168"/>
      <c r="R79" s="168"/>
    </row>
    <row r="80" spans="1:18">
      <c r="A80" s="252" t="s">
        <v>126</v>
      </c>
      <c r="B80" s="192"/>
      <c r="C80" s="192"/>
      <c r="D80" s="192"/>
      <c r="E80" s="256">
        <f t="shared" si="17"/>
        <v>0</v>
      </c>
      <c r="F80" s="192"/>
      <c r="G80" s="192"/>
      <c r="H80" s="192"/>
      <c r="I80" s="256">
        <f t="shared" si="18"/>
        <v>0</v>
      </c>
      <c r="J80" s="458"/>
      <c r="K80" s="458"/>
      <c r="L80" s="449"/>
      <c r="M80" s="256">
        <f t="shared" si="19"/>
        <v>0</v>
      </c>
      <c r="N80" s="192"/>
      <c r="O80" s="192"/>
      <c r="P80" s="192"/>
      <c r="Q80" s="256">
        <f t="shared" si="20"/>
        <v>0</v>
      </c>
      <c r="R80" s="256">
        <f>E80+Q80+M80+I80</f>
        <v>0</v>
      </c>
    </row>
    <row r="81" spans="1:18">
      <c r="A81" s="252" t="s">
        <v>127</v>
      </c>
      <c r="B81" s="192"/>
      <c r="C81" s="192"/>
      <c r="D81" s="192"/>
      <c r="E81" s="256">
        <f t="shared" si="17"/>
        <v>0</v>
      </c>
      <c r="F81" s="192"/>
      <c r="G81" s="175"/>
      <c r="H81" s="203"/>
      <c r="I81" s="256">
        <f t="shared" si="18"/>
        <v>0</v>
      </c>
      <c r="J81" s="458"/>
      <c r="K81" s="458"/>
      <c r="L81" s="449"/>
      <c r="M81" s="256">
        <f t="shared" si="19"/>
        <v>0</v>
      </c>
      <c r="N81" s="192"/>
      <c r="O81" s="192"/>
      <c r="P81" s="192"/>
      <c r="Q81" s="256">
        <f t="shared" si="20"/>
        <v>0</v>
      </c>
      <c r="R81" s="256">
        <f>E81+Q81+M81+I81</f>
        <v>0</v>
      </c>
    </row>
    <row r="82" spans="1:18">
      <c r="A82" s="252" t="s">
        <v>128</v>
      </c>
      <c r="B82" s="192"/>
      <c r="C82" s="192"/>
      <c r="D82" s="192"/>
      <c r="E82" s="256">
        <f t="shared" si="17"/>
        <v>0</v>
      </c>
      <c r="F82" s="192"/>
      <c r="G82" s="175"/>
      <c r="H82" s="203"/>
      <c r="I82" s="256">
        <f t="shared" si="18"/>
        <v>0</v>
      </c>
      <c r="J82" s="458"/>
      <c r="K82" s="458"/>
      <c r="L82" s="449"/>
      <c r="M82" s="256">
        <f t="shared" si="19"/>
        <v>0</v>
      </c>
      <c r="N82" s="192"/>
      <c r="O82" s="192"/>
      <c r="P82" s="192"/>
      <c r="Q82" s="256">
        <f t="shared" si="20"/>
        <v>0</v>
      </c>
      <c r="R82" s="256">
        <f>E82+Q82+M82+I82</f>
        <v>0</v>
      </c>
    </row>
    <row r="83" spans="1:18" ht="13.5" thickBot="1">
      <c r="A83" s="253" t="s">
        <v>129</v>
      </c>
      <c r="B83" s="194"/>
      <c r="C83" s="194"/>
      <c r="D83" s="194"/>
      <c r="E83" s="262"/>
      <c r="F83" s="194"/>
      <c r="G83" s="176"/>
      <c r="H83" s="204"/>
      <c r="I83" s="262"/>
      <c r="J83" s="459"/>
      <c r="K83" s="459"/>
      <c r="L83" s="454"/>
      <c r="M83" s="262"/>
      <c r="N83" s="194"/>
      <c r="O83" s="194"/>
      <c r="P83" s="194"/>
      <c r="Q83" s="262"/>
      <c r="R83" s="262"/>
    </row>
    <row r="84" spans="1:18" ht="13.5" thickTop="1">
      <c r="A84"/>
      <c r="B84" s="69"/>
      <c r="C84" s="69"/>
      <c r="D84" s="69"/>
      <c r="E84" s="69"/>
      <c r="F84" s="69"/>
      <c r="G84" s="69"/>
      <c r="H84" s="185">
        <f>SUM(R82:R83)</f>
        <v>0</v>
      </c>
      <c r="I84" s="69"/>
      <c r="J84" s="69"/>
      <c r="K84" s="69"/>
      <c r="L84" s="69"/>
      <c r="M84" s="69"/>
      <c r="N84" s="69"/>
      <c r="O84" s="69"/>
      <c r="P84" s="69"/>
      <c r="Q84" s="69"/>
      <c r="R84" s="69"/>
    </row>
  </sheetData>
  <mergeCells count="28">
    <mergeCell ref="N45:Q45"/>
    <mergeCell ref="B45:E45"/>
    <mergeCell ref="F45:I45"/>
    <mergeCell ref="J45:M45"/>
    <mergeCell ref="N43:Q43"/>
    <mergeCell ref="B43:E43"/>
    <mergeCell ref="F43:I43"/>
    <mergeCell ref="J43:M43"/>
    <mergeCell ref="N44:Q44"/>
    <mergeCell ref="B44:E44"/>
    <mergeCell ref="F44:I44"/>
    <mergeCell ref="J44:M44"/>
    <mergeCell ref="N41:Q41"/>
    <mergeCell ref="B41:E41"/>
    <mergeCell ref="F41:I41"/>
    <mergeCell ref="J41:M41"/>
    <mergeCell ref="N42:Q42"/>
    <mergeCell ref="B42:E42"/>
    <mergeCell ref="F42:I42"/>
    <mergeCell ref="J42:M42"/>
    <mergeCell ref="N1:Q1"/>
    <mergeCell ref="B1:E1"/>
    <mergeCell ref="F1:I1"/>
    <mergeCell ref="J1:M1"/>
    <mergeCell ref="N40:Q40"/>
    <mergeCell ref="B40:E40"/>
    <mergeCell ref="F40:I40"/>
    <mergeCell ref="J40:M40"/>
  </mergeCells>
  <pageMargins left="0.7" right="0.7" top="0.75" bottom="0.75" header="0.3" footer="0.3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G81"/>
  <sheetViews>
    <sheetView tabSelected="1" topLeftCell="B55" zoomScale="85" zoomScaleNormal="85" workbookViewId="0">
      <selection activeCell="R66" sqref="R66"/>
    </sheetView>
  </sheetViews>
  <sheetFormatPr defaultRowHeight="12.75"/>
  <cols>
    <col min="1" max="1" width="43" style="17" customWidth="1"/>
    <col min="2" max="2" width="11.7109375" style="12" customWidth="1"/>
    <col min="3" max="3" width="13.140625" style="12" customWidth="1"/>
    <col min="4" max="15" width="12.7109375" style="12" customWidth="1"/>
    <col min="16" max="18" width="13.5703125" style="12" customWidth="1"/>
    <col min="19" max="21" width="16.140625" customWidth="1"/>
  </cols>
  <sheetData>
    <row r="1" spans="1:33" ht="15.75" customHeight="1">
      <c r="A1" s="32"/>
      <c r="B1" s="588" t="s">
        <v>237</v>
      </c>
      <c r="C1" s="591"/>
      <c r="D1" s="591"/>
      <c r="E1" s="591"/>
      <c r="F1" s="591"/>
      <c r="G1" s="591"/>
      <c r="H1" s="591"/>
      <c r="I1" s="591"/>
      <c r="J1" s="591"/>
      <c r="K1" s="591"/>
      <c r="L1" s="591"/>
      <c r="M1" s="591"/>
      <c r="N1" s="591"/>
      <c r="O1" s="591"/>
      <c r="P1" s="591"/>
      <c r="Q1" s="591"/>
      <c r="R1" s="592"/>
    </row>
    <row r="2" spans="1:33" ht="15.75" customHeight="1" thickBot="1">
      <c r="A2" s="290" t="s">
        <v>0</v>
      </c>
      <c r="B2" s="291" t="s">
        <v>1</v>
      </c>
      <c r="C2" s="291" t="s">
        <v>2</v>
      </c>
      <c r="D2" s="291" t="s">
        <v>3</v>
      </c>
      <c r="E2" s="291" t="s">
        <v>175</v>
      </c>
      <c r="F2" s="291" t="s">
        <v>4</v>
      </c>
      <c r="G2" s="291" t="s">
        <v>5</v>
      </c>
      <c r="H2" s="291" t="s">
        <v>6</v>
      </c>
      <c r="I2" s="291"/>
      <c r="J2" s="291" t="s">
        <v>7</v>
      </c>
      <c r="K2" s="291" t="s">
        <v>8</v>
      </c>
      <c r="L2" s="291" t="s">
        <v>9</v>
      </c>
      <c r="M2" s="291"/>
      <c r="N2" s="291" t="s">
        <v>10</v>
      </c>
      <c r="O2" s="291" t="s">
        <v>11</v>
      </c>
      <c r="P2" s="291" t="s">
        <v>12</v>
      </c>
      <c r="Q2" s="291"/>
      <c r="R2" s="291" t="s">
        <v>13</v>
      </c>
    </row>
    <row r="3" spans="1:33" s="278" customFormat="1">
      <c r="A3" s="356" t="s">
        <v>231</v>
      </c>
      <c r="B3" s="294">
        <v>212824.02840000001</v>
      </c>
      <c r="C3" s="294">
        <v>244670.31039999999</v>
      </c>
      <c r="D3" s="294">
        <v>266979.06680000003</v>
      </c>
      <c r="E3" s="294">
        <v>724473.40560000006</v>
      </c>
      <c r="F3" s="294">
        <v>237100.8952</v>
      </c>
      <c r="G3" s="294">
        <v>203286.91540000003</v>
      </c>
      <c r="H3" s="294">
        <v>270048.90110000002</v>
      </c>
      <c r="I3" s="294">
        <v>710436.7117000001</v>
      </c>
      <c r="J3" s="294">
        <v>182390.5226</v>
      </c>
      <c r="K3" s="294">
        <v>188332.88149999999</v>
      </c>
      <c r="L3" s="294">
        <v>229144.72520000004</v>
      </c>
      <c r="M3" s="294">
        <v>599868.12930000003</v>
      </c>
      <c r="N3" s="294">
        <v>216579.7641</v>
      </c>
      <c r="O3" s="294">
        <v>203842.25319999998</v>
      </c>
      <c r="P3" s="294">
        <v>212873.0809</v>
      </c>
      <c r="Q3" s="294">
        <f>SUM(N3:P3)</f>
        <v>633295.09819999989</v>
      </c>
      <c r="R3" s="295">
        <f>SUM(N3:P3,J3:L3,F3:H3,B3:D3)</f>
        <v>2668073.3448000001</v>
      </c>
    </row>
    <row r="4" spans="1:33" s="278" customFormat="1">
      <c r="A4" s="355" t="s">
        <v>238</v>
      </c>
      <c r="B4" s="279">
        <f>B3</f>
        <v>212824.02840000001</v>
      </c>
      <c r="C4" s="280">
        <f>C3+B4</f>
        <v>457494.33880000003</v>
      </c>
      <c r="D4" s="280">
        <f>D3+C4</f>
        <v>724473.40560000006</v>
      </c>
      <c r="E4" s="281"/>
      <c r="F4" s="279">
        <f>F3+D4</f>
        <v>961574.30080000008</v>
      </c>
      <c r="G4" s="279">
        <f>G3+F4</f>
        <v>1164861.2162000001</v>
      </c>
      <c r="H4" s="279">
        <f>H3+G4</f>
        <v>1434910.1173</v>
      </c>
      <c r="I4" s="280"/>
      <c r="J4" s="279">
        <f>J3+H4</f>
        <v>1617300.6399000001</v>
      </c>
      <c r="K4" s="279">
        <f>K3+J4</f>
        <v>1805633.5214</v>
      </c>
      <c r="L4" s="279">
        <f>L3+K4</f>
        <v>2034778.2466</v>
      </c>
      <c r="M4" s="279"/>
      <c r="N4" s="279">
        <f>N3+L4</f>
        <v>2251358.0107</v>
      </c>
      <c r="O4" s="279">
        <f>O3+N4</f>
        <v>2455200.2639000001</v>
      </c>
      <c r="P4" s="279">
        <f>P3+O4</f>
        <v>2668073.3448000001</v>
      </c>
      <c r="Q4" s="279"/>
      <c r="R4" s="296"/>
      <c r="S4" s="288" t="s">
        <v>179</v>
      </c>
      <c r="T4" s="282" t="s">
        <v>180</v>
      </c>
      <c r="U4" s="283" t="s">
        <v>171</v>
      </c>
    </row>
    <row r="5" spans="1:33" s="271" customFormat="1" ht="13.5" thickBot="1">
      <c r="A5" s="297" t="s">
        <v>239</v>
      </c>
      <c r="B5" s="298">
        <f>B9/B4</f>
        <v>1.07078321988947</v>
      </c>
      <c r="C5" s="298">
        <f>C9/C4</f>
        <v>1.0023719744879169</v>
      </c>
      <c r="D5" s="298">
        <f>D9/D4</f>
        <v>1.0796098611131681</v>
      </c>
      <c r="E5" s="298"/>
      <c r="F5" s="298">
        <f>F9/F4</f>
        <v>1.0728593841804137</v>
      </c>
      <c r="G5" s="298">
        <f>G9/G4</f>
        <v>1.1058494395600427</v>
      </c>
      <c r="H5" s="298">
        <f>H9/H4</f>
        <v>1.0583309592641896</v>
      </c>
      <c r="I5" s="298"/>
      <c r="J5" s="298">
        <f>J9/J4</f>
        <v>1.0897167728252253</v>
      </c>
      <c r="K5" s="298">
        <f>K9/K4</f>
        <v>1.0793845741127255</v>
      </c>
      <c r="L5" s="298">
        <f>L9/L4</f>
        <v>1.0818957413066732</v>
      </c>
      <c r="M5" s="298"/>
      <c r="N5" s="298">
        <f>N9/N4</f>
        <v>1.1179357420002005</v>
      </c>
      <c r="O5" s="298">
        <f>O9/O4</f>
        <v>1.1266459537626801</v>
      </c>
      <c r="P5" s="298">
        <f>P9/P4</f>
        <v>1.1258784775368216</v>
      </c>
      <c r="Q5" s="298"/>
      <c r="R5" s="299">
        <f>R8/R3</f>
        <v>1.1258784775368216</v>
      </c>
      <c r="S5" s="289">
        <f>S6/R3</f>
        <v>1.045398547770837</v>
      </c>
      <c r="T5" s="272">
        <f>T6/R3</f>
        <v>1.100419523969302</v>
      </c>
      <c r="U5" s="272">
        <f>U6/R3</f>
        <v>1.1554405001677672</v>
      </c>
    </row>
    <row r="6" spans="1:33" ht="15.75" customHeight="1">
      <c r="A6" s="304" t="s">
        <v>47</v>
      </c>
      <c r="B6" s="305">
        <f>'Target 2017'!B35</f>
        <v>220200</v>
      </c>
      <c r="C6" s="305">
        <f>'Target 2017'!C35</f>
        <v>244666.66666666666</v>
      </c>
      <c r="D6" s="305">
        <f>'Target 2017'!D35</f>
        <v>256900</v>
      </c>
      <c r="E6" s="305">
        <f>SUM(B6:D6)</f>
        <v>721766.66666666663</v>
      </c>
      <c r="F6" s="305">
        <f>'Target 2017'!E35</f>
        <v>244666.66666666666</v>
      </c>
      <c r="G6" s="305">
        <f>'Target 2017'!F35</f>
        <v>256900</v>
      </c>
      <c r="H6" s="305">
        <f>'Target 2017'!G35</f>
        <v>269133.33333333337</v>
      </c>
      <c r="I6" s="305">
        <f>SUM(F6:H6)</f>
        <v>770700</v>
      </c>
      <c r="J6" s="305">
        <f>'Target 2017'!H35</f>
        <v>220200</v>
      </c>
      <c r="K6" s="305">
        <f>'Target 2017'!I35</f>
        <v>220200</v>
      </c>
      <c r="L6" s="305">
        <f>'Target 2017'!J35</f>
        <v>244666.66666666666</v>
      </c>
      <c r="M6" s="305">
        <f>SUM(J6:L6)</f>
        <v>685066.66666666663</v>
      </c>
      <c r="N6" s="305">
        <f>'Target 2017'!K35</f>
        <v>256900</v>
      </c>
      <c r="O6" s="305">
        <f>'Target 2017'!L35</f>
        <v>256900</v>
      </c>
      <c r="P6" s="305">
        <f>'Target 2017'!M35</f>
        <v>244666.66666666666</v>
      </c>
      <c r="Q6" s="305">
        <f>SUM(N6:P6)</f>
        <v>758466.66666666663</v>
      </c>
      <c r="R6" s="306">
        <f>B6+C6+D6+F6+G6+H6+J6+K6+L6+N6+O6+P6</f>
        <v>2935999.9999999995</v>
      </c>
      <c r="S6" s="300">
        <f>DH!R6*0.95</f>
        <v>2789199.9999999995</v>
      </c>
      <c r="T6" s="275">
        <f>R6</f>
        <v>2935999.9999999995</v>
      </c>
      <c r="U6" s="273">
        <f>'Target 2017'!H39</f>
        <v>3082799.9999999995</v>
      </c>
    </row>
    <row r="7" spans="1:33" ht="15.75" customHeight="1">
      <c r="A7" s="307" t="s">
        <v>46</v>
      </c>
      <c r="B7" s="94">
        <f>B6</f>
        <v>220200</v>
      </c>
      <c r="C7" s="94">
        <f>C6+B7</f>
        <v>464866.66666666663</v>
      </c>
      <c r="D7" s="94">
        <f>D6+C7</f>
        <v>721766.66666666663</v>
      </c>
      <c r="E7" s="308"/>
      <c r="F7" s="94">
        <f>F6+D7</f>
        <v>966433.33333333326</v>
      </c>
      <c r="G7" s="94">
        <f>G6+F7</f>
        <v>1223333.3333333333</v>
      </c>
      <c r="H7" s="94">
        <f>H6+G7</f>
        <v>1492466.6666666665</v>
      </c>
      <c r="I7" s="94"/>
      <c r="J7" s="94">
        <f>J6+H7</f>
        <v>1712666.6666666665</v>
      </c>
      <c r="K7" s="94">
        <f>K6+J7</f>
        <v>1932866.6666666665</v>
      </c>
      <c r="L7" s="94">
        <f>L6+K7</f>
        <v>2177533.333333333</v>
      </c>
      <c r="M7" s="94"/>
      <c r="N7" s="94">
        <f>N6+L7</f>
        <v>2434433.333333333</v>
      </c>
      <c r="O7" s="94">
        <f>O6+N7</f>
        <v>2691333.333333333</v>
      </c>
      <c r="P7" s="94">
        <f>P6+O7</f>
        <v>2935999.9999999995</v>
      </c>
      <c r="Q7" s="94"/>
      <c r="R7" s="309"/>
      <c r="S7" s="301"/>
      <c r="T7" s="112"/>
      <c r="U7" s="201"/>
    </row>
    <row r="8" spans="1:33" s="197" customFormat="1" ht="15.75" customHeight="1">
      <c r="A8" s="310" t="s">
        <v>48</v>
      </c>
      <c r="B8" s="29">
        <f>TOMEK!N6+MIRU!N6+'PIOTR L'!N6+BARTEK!N6+PIOTR!N6+KRZYSZTOF!N6+Artur!B6</f>
        <v>227888.39840000001</v>
      </c>
      <c r="C8" s="29">
        <f>TOMEK!O6+MIRU!O6+'PIOTR L'!O6+BARTEK!O6+PIOTR!O6+KRZYSZTOF!O6+Artur!C6</f>
        <v>230691.10530000002</v>
      </c>
      <c r="D8" s="29">
        <f>TOMEK!P6+MIRU!P6+'PIOTR L'!P6+BARTEK!P6+PIOTR!P6+KRZYSZTOF!P6+Artur!D6</f>
        <v>323569.12910000002</v>
      </c>
      <c r="E8" s="311">
        <f>SUM(B8:D8)</f>
        <v>782148.63280000002</v>
      </c>
      <c r="F8" s="29">
        <f>TOMEK!J6+MIRU!J6+'PIOTR L'!J6+BARTEK!J6+PIOTR!J6+KRZYSZTOF!J6++Artur!N6</f>
        <v>249485.37940000001</v>
      </c>
      <c r="G8" s="29">
        <f>TOMEK!K6+MIRU!K6+'PIOTR L'!K6+BARTEK!K6+PIOTR!K6+KRZYSZTOF!K6+Artur!O6</f>
        <v>256527.11089999997</v>
      </c>
      <c r="H8" s="29">
        <f>TOMEK!L6+MIRU!L6+'PIOTR L'!L6+BARTEK!L6+PIOTR!L6+KRZYSZTOF!L6+Artur!P6</f>
        <v>230448.6778</v>
      </c>
      <c r="I8" s="29">
        <f>SUM(F8:H8)</f>
        <v>736461.16809999989</v>
      </c>
      <c r="J8" s="29">
        <f>TOMEK!F6+MIRU!F6+Artur!J6+BARTEK!F6+PIOTR!F6+KRZYSZTOF!F6+'PIOTR L'!F6</f>
        <v>243789.83309999999</v>
      </c>
      <c r="K8" s="29">
        <f>TOMEK!G6+MIRU!G6+Artur!K6+BARTEK!G6+PIOTR!G6+KRZYSZTOF!G6+'PIOTR L'!G6</f>
        <v>186573.33550000002</v>
      </c>
      <c r="L8" s="29">
        <f>TOMEK!H6+MIRU!H6+Artur!L6+BARTEK!H6+PIOTR!H6+KRZYSZTOF!H6+'PIOTR L'!H6</f>
        <v>252444.9499999999</v>
      </c>
      <c r="M8" s="29">
        <f>SUM(J8:L8)</f>
        <v>682808.11859999993</v>
      </c>
      <c r="N8" s="29">
        <f>TOMEK!B6+MIRU!B6+Artur!F6+BARTEK!B6+PIOTR!B6+KRZYSZTOF!B6+'PIOTR L'!B6</f>
        <v>315455.66869999998</v>
      </c>
      <c r="O8" s="29">
        <f>TOMEK!C6+MIRU!C6+Artur!G6+BARTEK!C6+PIOTR!C6+KRZYSZTOF!C6+'PIOTR L'!C6</f>
        <v>249267.8548</v>
      </c>
      <c r="P8" s="29">
        <f>TOMEK!D6+MIRU!D6+Artur!H6+BARTEK!D6+PIOTR!D6+KRZYSZTOF!D6+'PIOTR L'!D6</f>
        <v>237784.91239999997</v>
      </c>
      <c r="Q8" s="29">
        <f>SUM(N8:P8)</f>
        <v>802508.43589999992</v>
      </c>
      <c r="R8" s="312">
        <f>B8+C8+D8+F8+G8+H8+J8+K8+L8+N8+O8+P8</f>
        <v>3003926.3553999993</v>
      </c>
      <c r="S8" s="434">
        <v>1</v>
      </c>
      <c r="T8" s="435">
        <v>2</v>
      </c>
      <c r="U8" s="436">
        <v>3</v>
      </c>
      <c r="V8" s="437"/>
      <c r="W8" s="437">
        <v>4</v>
      </c>
      <c r="X8" s="437">
        <v>5</v>
      </c>
      <c r="Y8" s="437">
        <v>6</v>
      </c>
      <c r="Z8" s="437"/>
      <c r="AA8" s="437">
        <v>7</v>
      </c>
      <c r="AB8" s="437">
        <v>8</v>
      </c>
      <c r="AC8" s="437">
        <v>9</v>
      </c>
      <c r="AD8" s="437"/>
      <c r="AE8" s="437">
        <v>10</v>
      </c>
      <c r="AF8" s="437">
        <v>11</v>
      </c>
      <c r="AG8" s="437">
        <v>12</v>
      </c>
    </row>
    <row r="9" spans="1:33" ht="15.75" customHeight="1">
      <c r="A9" s="307" t="s">
        <v>49</v>
      </c>
      <c r="B9" s="8">
        <f>B8</f>
        <v>227888.39840000001</v>
      </c>
      <c r="C9" s="8">
        <f>C8+B9</f>
        <v>458579.5037</v>
      </c>
      <c r="D9" s="8">
        <f>D8+C9</f>
        <v>782148.63280000002</v>
      </c>
      <c r="E9" s="94"/>
      <c r="F9" s="8">
        <f>F8+D9</f>
        <v>1031634.0122</v>
      </c>
      <c r="G9" s="8">
        <f>G8+F9</f>
        <v>1288161.1231</v>
      </c>
      <c r="H9" s="8">
        <f>H8+G9</f>
        <v>1518609.8008999999</v>
      </c>
      <c r="I9" s="8"/>
      <c r="J9" s="8">
        <f>J8+H9</f>
        <v>1762399.6339999998</v>
      </c>
      <c r="K9" s="8">
        <f>K8+J9</f>
        <v>1948972.9694999999</v>
      </c>
      <c r="L9" s="8">
        <f>L8+K9</f>
        <v>2201417.9194999998</v>
      </c>
      <c r="M9" s="8"/>
      <c r="N9" s="8">
        <f>N8+L9</f>
        <v>2516873.5881999996</v>
      </c>
      <c r="O9" s="8">
        <f>O8+N9</f>
        <v>2766141.4429999995</v>
      </c>
      <c r="P9" s="8">
        <f>P8+O9</f>
        <v>3003926.3553999993</v>
      </c>
      <c r="Q9" s="8"/>
      <c r="R9" s="313"/>
      <c r="S9" s="302"/>
      <c r="T9" s="112"/>
      <c r="U9" s="112"/>
    </row>
    <row r="10" spans="1:33" ht="15.75" customHeight="1">
      <c r="A10" s="314" t="s">
        <v>50</v>
      </c>
      <c r="B10" s="27">
        <f>B8/B6</f>
        <v>1.0349155240690282</v>
      </c>
      <c r="C10" s="27">
        <f>C8/C6</f>
        <v>0.94287917697547696</v>
      </c>
      <c r="D10" s="27">
        <f>D8/D6</f>
        <v>1.259513931880109</v>
      </c>
      <c r="E10" s="27"/>
      <c r="F10" s="27">
        <f>F8/F6</f>
        <v>1.0196950111716623</v>
      </c>
      <c r="G10" s="27">
        <f>G8/G6</f>
        <v>0.99854850486570634</v>
      </c>
      <c r="H10" s="27">
        <f>H8/H6</f>
        <v>0.85626211716621248</v>
      </c>
      <c r="I10" s="27"/>
      <c r="J10" s="27">
        <f>J8/J6</f>
        <v>1.1071291239782015</v>
      </c>
      <c r="K10" s="27">
        <f>K8/K6</f>
        <v>0.84729035195277025</v>
      </c>
      <c r="L10" s="27">
        <f>L8/L6</f>
        <v>1.0317913487738415</v>
      </c>
      <c r="M10" s="27"/>
      <c r="N10" s="27">
        <f>N8/N6</f>
        <v>1.2279317582717009</v>
      </c>
      <c r="O10" s="27">
        <f>O8/O6</f>
        <v>0.97029137718956793</v>
      </c>
      <c r="P10" s="27">
        <f>P8/P6</f>
        <v>0.9718729389645776</v>
      </c>
      <c r="Q10" s="27"/>
      <c r="R10" s="313"/>
      <c r="S10" s="302"/>
      <c r="T10" s="112"/>
      <c r="U10" s="112"/>
    </row>
    <row r="11" spans="1:33" ht="15.75" customHeight="1">
      <c r="A11" s="307" t="s">
        <v>59</v>
      </c>
      <c r="B11" s="25">
        <f>B9-B7</f>
        <v>7688.3984000000055</v>
      </c>
      <c r="C11" s="25">
        <f>C9-C7</f>
        <v>-6287.1629666666267</v>
      </c>
      <c r="D11" s="25">
        <f>D9-D7</f>
        <v>60381.966133333393</v>
      </c>
      <c r="E11" s="25"/>
      <c r="F11" s="25">
        <f>F9-F7</f>
        <v>65200.678866666742</v>
      </c>
      <c r="G11" s="25">
        <f>G9-G7</f>
        <v>64827.789766666712</v>
      </c>
      <c r="H11" s="25">
        <f>H9-H7</f>
        <v>26143.134233333403</v>
      </c>
      <c r="I11" s="25"/>
      <c r="J11" s="25">
        <f>J9-J7</f>
        <v>49732.967333333334</v>
      </c>
      <c r="K11" s="25">
        <f>K9-K7</f>
        <v>16106.302833333379</v>
      </c>
      <c r="L11" s="25">
        <f>L9-L7</f>
        <v>23884.586166666821</v>
      </c>
      <c r="M11" s="25"/>
      <c r="N11" s="25">
        <f>N9-N7</f>
        <v>82440.254866666626</v>
      </c>
      <c r="O11" s="25">
        <f>O9-O7</f>
        <v>74808.109666666482</v>
      </c>
      <c r="P11" s="25">
        <f>P9-P7</f>
        <v>67926.355399999768</v>
      </c>
      <c r="Q11" s="25"/>
      <c r="R11" s="315"/>
      <c r="S11" s="302"/>
      <c r="T11" s="112"/>
      <c r="U11" s="112"/>
    </row>
    <row r="12" spans="1:33" s="199" customFormat="1" ht="15.75" customHeight="1" thickBot="1">
      <c r="A12" s="316" t="s">
        <v>51</v>
      </c>
      <c r="B12" s="317">
        <f>B9/B7</f>
        <v>1.0349155240690282</v>
      </c>
      <c r="C12" s="317">
        <f>C9/C7</f>
        <v>0.9864753413882118</v>
      </c>
      <c r="D12" s="317">
        <f>D9/D7</f>
        <v>1.0836585685124465</v>
      </c>
      <c r="E12" s="317"/>
      <c r="F12" s="317">
        <f>F9/F7</f>
        <v>1.0674652628565517</v>
      </c>
      <c r="G12" s="317">
        <f>G9/G7</f>
        <v>1.0529927436784741</v>
      </c>
      <c r="H12" s="317">
        <f>H9/H7</f>
        <v>1.017516729061509</v>
      </c>
      <c r="I12" s="317"/>
      <c r="J12" s="317">
        <f>J9/J7</f>
        <v>1.029038322693655</v>
      </c>
      <c r="K12" s="317">
        <f>K9/K7</f>
        <v>1.0083328576725417</v>
      </c>
      <c r="L12" s="317">
        <f>L9/L7</f>
        <v>1.0109686431895417</v>
      </c>
      <c r="M12" s="317"/>
      <c r="N12" s="317">
        <f>N9/N7</f>
        <v>1.0338642482987144</v>
      </c>
      <c r="O12" s="317">
        <f>O9/O7</f>
        <v>1.0277959287837501</v>
      </c>
      <c r="P12" s="317">
        <f>P9/P7</f>
        <v>1.0231356796321525</v>
      </c>
      <c r="Q12" s="318"/>
      <c r="R12" s="319"/>
      <c r="S12" s="303"/>
      <c r="T12" s="274"/>
      <c r="U12" s="274"/>
    </row>
    <row r="13" spans="1:33" s="287" customFormat="1" ht="15.75" customHeight="1">
      <c r="A13" s="339" t="s">
        <v>182</v>
      </c>
      <c r="B13" s="340">
        <f>TOMEK!N4+MIRU!N4+'PIOTR L'!N4+BARTEK!N4+PIOTR!N4+KRZYSZTOF!N4</f>
        <v>209933.33333333334</v>
      </c>
      <c r="C13" s="340">
        <f>TOMEK!O4+MIRU!O4+'PIOTR L'!O4+BARTEK!O4+PIOTR!O4+KRZYSZTOF!O4+B13</f>
        <v>443600</v>
      </c>
      <c r="D13" s="340">
        <f>TOMEK!P4+MIRU!P4+'PIOTR L'!P4+BARTEK!P4+PIOTR!P4+KRZYSZTOF!P4+C13</f>
        <v>712000</v>
      </c>
      <c r="E13" s="341"/>
      <c r="F13" s="340">
        <f>TOMEK!J4+MIRU!J4+'PIOTR L'!J4+BARTEK!J4+PIOTR!J4+KRZYSZTOF!J4</f>
        <v>213899.99999999997</v>
      </c>
      <c r="G13" s="340">
        <f>TOMEK!K4+MIRU!K4+'PIOTR L'!K4+BARTEK!K4+PIOTR!K4+KRZYSZTOF!K4+F13</f>
        <v>461399.99999999994</v>
      </c>
      <c r="H13" s="340">
        <f>TOMEK!L4+MIRU!L4+'PIOTR L'!L4+BARTEK!L4+PIOTR!L4+KRZYSZTOF!L4+G13</f>
        <v>751000</v>
      </c>
      <c r="I13" s="341"/>
      <c r="J13" s="340">
        <f>TOMEK!F4+MIRU!F4+Artur!F4+BARTEK!F4+PIOTR!F4+KRZYSZTOF!F4</f>
        <v>208216.66666666666</v>
      </c>
      <c r="K13" s="340">
        <f>TOMEK!G4+MIRU!G4+Artur!G4+BARTEK!G4+PIOTR!G4+KRZYSZTOF!G4+J13</f>
        <v>447050</v>
      </c>
      <c r="L13" s="340">
        <f>TOMEK!H4+MIRU!H4+Artur!H4+BARTEK!H4+PIOTR!H4+KRZYSZTOF!H4+K13</f>
        <v>729000</v>
      </c>
      <c r="M13" s="341"/>
      <c r="N13" s="340">
        <f>TOMEK!B4+MIRU!B4+Artur!B4+BARTEK!B4+PIOTR!B4+KRZYSZTOF!B4</f>
        <v>234450</v>
      </c>
      <c r="O13" s="340">
        <f>TOMEK!C4+MIRU!C4+Artur!C4+BARTEK!C4+PIOTR!C4+KRZYSZTOF!C4+N13</f>
        <v>496066.66666666669</v>
      </c>
      <c r="P13" s="340">
        <f>TOMEK!D4+MIRU!D4+Artur!D4+BARTEK!D4+PIOTR!D4+KRZYSZTOF!D4+O13</f>
        <v>750000</v>
      </c>
      <c r="Q13" s="341">
        <f>SUM(N13:P13)</f>
        <v>1480516.6666666667</v>
      </c>
      <c r="R13" s="342"/>
      <c r="S13" s="320"/>
      <c r="T13" s="286"/>
      <c r="U13" s="286"/>
    </row>
    <row r="14" spans="1:33" s="287" customFormat="1" ht="15.75" customHeight="1" thickBot="1">
      <c r="A14" s="343" t="s">
        <v>183</v>
      </c>
      <c r="B14" s="344">
        <f>B8/B13</f>
        <v>1.0855274614163226</v>
      </c>
      <c r="C14" s="344">
        <f>(B8+C8)/C13</f>
        <v>1.0337680426059512</v>
      </c>
      <c r="D14" s="344">
        <f>(D8+C8+B8)/D13</f>
        <v>1.0985233606741573</v>
      </c>
      <c r="E14" s="344"/>
      <c r="F14" s="344">
        <f>F8/F13</f>
        <v>1.1663645600748014</v>
      </c>
      <c r="G14" s="344">
        <f>(F8+G8)/G13</f>
        <v>1.0966894024707412</v>
      </c>
      <c r="H14" s="344">
        <f>(H8+G8+F8)/H13</f>
        <v>0.98064070319573904</v>
      </c>
      <c r="I14" s="345"/>
      <c r="J14" s="344">
        <f>J8/J13</f>
        <v>1.1708468731289523</v>
      </c>
      <c r="K14" s="344">
        <f>(J8+K8)/K13</f>
        <v>0.96267345621295153</v>
      </c>
      <c r="L14" s="344">
        <f>(L8+K8+J8)/L13</f>
        <v>0.93663665102880644</v>
      </c>
      <c r="M14" s="345"/>
      <c r="N14" s="344">
        <f>N8/N13</f>
        <v>1.3455136220942632</v>
      </c>
      <c r="O14" s="344">
        <f>(N8+O8)/O13</f>
        <v>1.1384024798414192</v>
      </c>
      <c r="P14" s="344">
        <f>(P8+O8+N8)/P13</f>
        <v>1.0700112478666666</v>
      </c>
      <c r="Q14" s="346"/>
      <c r="R14" s="347"/>
      <c r="S14" s="320"/>
      <c r="T14" s="286"/>
      <c r="U14" s="286"/>
    </row>
    <row r="15" spans="1:33" ht="12" customHeight="1" thickBot="1">
      <c r="A15" s="321"/>
      <c r="B15" s="322"/>
      <c r="C15" s="322"/>
      <c r="D15" s="322"/>
      <c r="E15" s="322"/>
      <c r="F15" s="322"/>
      <c r="G15" s="322"/>
      <c r="H15" s="322"/>
      <c r="I15" s="322"/>
      <c r="J15" s="322"/>
      <c r="K15" s="322"/>
      <c r="L15" s="322"/>
      <c r="M15" s="322"/>
      <c r="N15" s="322"/>
      <c r="O15" s="322"/>
      <c r="P15" s="322"/>
      <c r="Q15" s="322"/>
      <c r="R15" s="323"/>
      <c r="S15" s="112"/>
      <c r="T15" s="112"/>
      <c r="U15" s="112"/>
    </row>
    <row r="16" spans="1:33" s="278" customFormat="1">
      <c r="A16" s="356" t="s">
        <v>230</v>
      </c>
      <c r="B16" s="325">
        <v>595271.39999999991</v>
      </c>
      <c r="C16" s="325">
        <v>696359.46</v>
      </c>
      <c r="D16" s="325">
        <v>766190.38</v>
      </c>
      <c r="E16" s="294">
        <v>2057821.2399999998</v>
      </c>
      <c r="F16" s="294">
        <v>682068.81</v>
      </c>
      <c r="G16" s="294">
        <v>533838.03</v>
      </c>
      <c r="H16" s="294">
        <v>776913.92999999993</v>
      </c>
      <c r="I16" s="294">
        <v>1992820.77</v>
      </c>
      <c r="J16" s="294">
        <v>525147.41</v>
      </c>
      <c r="K16" s="294">
        <v>587909.09</v>
      </c>
      <c r="L16" s="294">
        <v>689455.24</v>
      </c>
      <c r="M16" s="294">
        <v>1802511.74</v>
      </c>
      <c r="N16" s="294">
        <v>672593.27</v>
      </c>
      <c r="O16" s="294">
        <v>631951.31000000006</v>
      </c>
      <c r="P16" s="294">
        <v>608034.1</v>
      </c>
      <c r="Q16" s="294">
        <v>1912578.6800000002</v>
      </c>
      <c r="R16" s="295">
        <f>SUM(N16:P16,J16:L16,F16:H16,B16:D16)</f>
        <v>7765732.4299999997</v>
      </c>
      <c r="S16" s="288"/>
      <c r="T16" s="282"/>
      <c r="U16" s="282"/>
    </row>
    <row r="17" spans="1:21" s="278" customFormat="1">
      <c r="A17" s="355" t="s">
        <v>240</v>
      </c>
      <c r="B17" s="279">
        <f>B16</f>
        <v>595271.39999999991</v>
      </c>
      <c r="C17" s="279">
        <f>C16+B17</f>
        <v>1291630.8599999999</v>
      </c>
      <c r="D17" s="279">
        <f>D16+C17</f>
        <v>2057821.2399999998</v>
      </c>
      <c r="E17" s="281"/>
      <c r="F17" s="279">
        <f>F16+D17</f>
        <v>2739890.05</v>
      </c>
      <c r="G17" s="279">
        <f>G16+F17</f>
        <v>3273728.08</v>
      </c>
      <c r="H17" s="279">
        <f>H16+G17</f>
        <v>4050642.01</v>
      </c>
      <c r="I17" s="280"/>
      <c r="J17" s="279">
        <f>J16+H17</f>
        <v>4575789.42</v>
      </c>
      <c r="K17" s="279">
        <f>K16+J17</f>
        <v>5163698.51</v>
      </c>
      <c r="L17" s="279">
        <f>L16+K17</f>
        <v>5853153.75</v>
      </c>
      <c r="M17" s="279"/>
      <c r="N17" s="279">
        <f>N16+L17</f>
        <v>6525747.0199999996</v>
      </c>
      <c r="O17" s="279">
        <f>O16+N17</f>
        <v>7157698.3300000001</v>
      </c>
      <c r="P17" s="279">
        <f>P16+O17</f>
        <v>7765732.4299999997</v>
      </c>
      <c r="Q17" s="279"/>
      <c r="R17" s="296"/>
      <c r="S17" s="288" t="s">
        <v>179</v>
      </c>
      <c r="T17" s="282" t="s">
        <v>180</v>
      </c>
      <c r="U17" s="283" t="s">
        <v>171</v>
      </c>
    </row>
    <row r="18" spans="1:21" s="270" customFormat="1" ht="13.5" thickBot="1">
      <c r="A18" s="297" t="s">
        <v>241</v>
      </c>
      <c r="B18" s="298">
        <f>B22/B17</f>
        <v>1.1228174913157261</v>
      </c>
      <c r="C18" s="298">
        <f>C22/C17</f>
        <v>1.0158307536876288</v>
      </c>
      <c r="D18" s="298">
        <f>D22/D17</f>
        <v>1.0786713718631851</v>
      </c>
      <c r="E18" s="298"/>
      <c r="F18" s="298">
        <f>F22/F17</f>
        <v>1.0848954030107889</v>
      </c>
      <c r="G18" s="298">
        <f>G22/G17</f>
        <v>1.1447868694091416</v>
      </c>
      <c r="H18" s="298">
        <f>H22/H17</f>
        <v>1.0981825816791941</v>
      </c>
      <c r="I18" s="298"/>
      <c r="J18" s="298">
        <f>J22/J17</f>
        <v>1.1348172049403444</v>
      </c>
      <c r="K18" s="298">
        <f>K22/K17</f>
        <v>1.1167908368066206</v>
      </c>
      <c r="L18" s="298">
        <f>L22/L17</f>
        <v>1.1191767583416035</v>
      </c>
      <c r="M18" s="298"/>
      <c r="N18" s="298">
        <f>N22/N17</f>
        <v>1.1387350623959676</v>
      </c>
      <c r="O18" s="298">
        <f>O22/O17</f>
        <v>1.142767195945795</v>
      </c>
      <c r="P18" s="298">
        <f>P22/P17</f>
        <v>1.1435472699514577</v>
      </c>
      <c r="Q18" s="298">
        <f>Q21/Q16</f>
        <v>1.2181294834364671</v>
      </c>
      <c r="R18" s="299">
        <f>R21/R16</f>
        <v>1.1435472699514577</v>
      </c>
      <c r="S18" s="289">
        <f>S19/R16</f>
        <v>1.0639241146246909</v>
      </c>
      <c r="T18" s="272">
        <f>T19/R16</f>
        <v>1.1199201206575695</v>
      </c>
      <c r="U18" s="272">
        <f>U19/R16</f>
        <v>1.1759161266904479</v>
      </c>
    </row>
    <row r="19" spans="1:21" ht="15.75" customHeight="1">
      <c r="A19" s="292" t="s">
        <v>52</v>
      </c>
      <c r="B19" s="324">
        <f>'Target 2017'!B36</f>
        <v>652275</v>
      </c>
      <c r="C19" s="324">
        <f>'Target 2017'!C36</f>
        <v>724750</v>
      </c>
      <c r="D19" s="324">
        <f>'Target 2017'!D36</f>
        <v>760987.5</v>
      </c>
      <c r="E19" s="324"/>
      <c r="F19" s="324">
        <f>'Target 2017'!E36</f>
        <v>724750</v>
      </c>
      <c r="G19" s="324">
        <f>'Target 2017'!F36</f>
        <v>760987.5</v>
      </c>
      <c r="H19" s="324">
        <f>'Target 2017'!G36</f>
        <v>797225.00000000012</v>
      </c>
      <c r="I19" s="324"/>
      <c r="J19" s="324">
        <f>'Target 2017'!H36</f>
        <v>652275</v>
      </c>
      <c r="K19" s="324">
        <f>'Target 2017'!I36</f>
        <v>652275</v>
      </c>
      <c r="L19" s="324">
        <f>'Target 2017'!J36</f>
        <v>724750</v>
      </c>
      <c r="M19" s="324"/>
      <c r="N19" s="324">
        <f>'Target 2017'!K36</f>
        <v>760987.5</v>
      </c>
      <c r="O19" s="324">
        <f>'Target 2017'!L36</f>
        <v>760987.5</v>
      </c>
      <c r="P19" s="324">
        <f>'Target 2017'!M36</f>
        <v>724750</v>
      </c>
      <c r="Q19" s="349"/>
      <c r="R19" s="293">
        <f>B19+C19+D19+F19+G19+H19+J19+K19+L19+N19+O19+P19</f>
        <v>8697000</v>
      </c>
      <c r="S19" s="275">
        <f>DH!R19*0.95</f>
        <v>8262150</v>
      </c>
      <c r="T19" s="275">
        <f>R19</f>
        <v>8697000</v>
      </c>
      <c r="U19" s="273">
        <f>'Target 2017'!H40</f>
        <v>9131850</v>
      </c>
    </row>
    <row r="20" spans="1:21" ht="15.75" customHeight="1">
      <c r="A20" s="7" t="s">
        <v>53</v>
      </c>
      <c r="B20" s="94">
        <f>B19</f>
        <v>652275</v>
      </c>
      <c r="C20" s="94">
        <f>C19+B20</f>
        <v>1377025</v>
      </c>
      <c r="D20" s="94">
        <f>D19+C20</f>
        <v>2138012.5</v>
      </c>
      <c r="E20" s="94"/>
      <c r="F20" s="94">
        <f>F19+D20</f>
        <v>2862762.5</v>
      </c>
      <c r="G20" s="94">
        <f>G19+F20</f>
        <v>3623750</v>
      </c>
      <c r="H20" s="94">
        <f>H19+G20</f>
        <v>4420975</v>
      </c>
      <c r="I20" s="94"/>
      <c r="J20" s="94">
        <f>J19+H20</f>
        <v>5073250</v>
      </c>
      <c r="K20" s="94">
        <f>K19+J20</f>
        <v>5725525</v>
      </c>
      <c r="L20" s="94">
        <f>L19+K20</f>
        <v>6450275</v>
      </c>
      <c r="M20" s="94"/>
      <c r="N20" s="94">
        <f>N19+L20</f>
        <v>7211262.5</v>
      </c>
      <c r="O20" s="94">
        <f>O19+N20</f>
        <v>7972250</v>
      </c>
      <c r="P20" s="94">
        <f>P19+O20</f>
        <v>8697000</v>
      </c>
      <c r="Q20" s="94"/>
      <c r="R20" s="95"/>
    </row>
    <row r="21" spans="1:21" ht="15.75" customHeight="1">
      <c r="A21" s="31" t="s">
        <v>54</v>
      </c>
      <c r="B21" s="29">
        <f>TOMEK!N13+MIRU!N13+'PIOTR L'!N13+BARTEK!N13+PIOTR!N13+KRZYSZTOF!N13+Artur!B13</f>
        <v>668381.14</v>
      </c>
      <c r="C21" s="29">
        <f>TOMEK!O13+MIRU!O13+'PIOTR L'!O13+BARTEK!O13+PIOTR!O13+KRZYSZTOF!O13+Artur!C13</f>
        <v>643697.21</v>
      </c>
      <c r="D21" s="29">
        <f>TOMEK!P13+MIRU!P13+'PIOTR L'!P13+BARTEK!P13+PIOTR!P13+KRZYSZTOF!P13+Artur!D13</f>
        <v>907634.51</v>
      </c>
      <c r="E21" s="29">
        <f>SUM(B21:D21)</f>
        <v>2219712.8600000003</v>
      </c>
      <c r="F21" s="29">
        <f>TOMEK!J13+MIRU!J13+'PIOTR L'!J13+BARTEK!J13+PIOTR!J13+KRZYSZTOF!J13+Artur!N13</f>
        <v>752781.26</v>
      </c>
      <c r="G21" s="29">
        <f>TOMEK!K13+MIRU!K13+'PIOTR L'!K13+BARTEK!K13+PIOTR!K13+KRZYSZTOF!K13</f>
        <v>775226.79999999993</v>
      </c>
      <c r="H21" s="29">
        <f>TOMEK!L13+MIRU!L13+'PIOTR L'!L13+BARTEK!L13+PIOTR!L13+KRZYSZTOF!L13+Artur!P13</f>
        <v>700623.58</v>
      </c>
      <c r="I21" s="29">
        <f>SUM(F21:H21)</f>
        <v>2228631.64</v>
      </c>
      <c r="J21" s="29">
        <f>TOMEK!F13+MIRU!F13+Artur!J13+BARTEK!F13+PIOTR!F13+KRZYSZTOF!F13+'PIOTR L'!F13</f>
        <v>744340.05999999994</v>
      </c>
      <c r="K21" s="29">
        <f>TOMEK!G13+MIRU!G13+Artur!K13+BARTEK!G13+PIOTR!G13+KRZYSZTOF!G13+'PIOTR L'!G13</f>
        <v>574086.62</v>
      </c>
      <c r="L21" s="29">
        <f>TOMEK!H13+MIRU!H13+Artur!L13+BARTEK!H13+PIOTR!H13+KRZYSZTOF!H13+'PIOTR L'!H13</f>
        <v>783942.46</v>
      </c>
      <c r="M21" s="29">
        <f>SUM(J21:L21)</f>
        <v>2102369.1399999997</v>
      </c>
      <c r="N21" s="29">
        <f>TOMEK!B13+MIRU!B13+Artur!F13+BARTEK!B13+PIOTR!B13+KRZYSZTOF!B13+'PIOTR L'!B13</f>
        <v>880383.3</v>
      </c>
      <c r="O21" s="29">
        <f>TOMEK!C13+MIRU!C13+Artur!G13+BARTEK!C13+PIOTR!C13+KRZYSZTOF!C13+'PIOTR L'!C13</f>
        <v>748485.91000000015</v>
      </c>
      <c r="P21" s="29">
        <f>TOMEK!D13+MIRU!D13+Artur!H13+BARTEK!D13+PIOTR!D13+KRZYSZTOF!D13+'PIOTR L'!D13</f>
        <v>700899.26950000005</v>
      </c>
      <c r="Q21" s="29">
        <f>SUM(N21:P21)</f>
        <v>2329768.4795000004</v>
      </c>
      <c r="R21" s="284">
        <f>B21+C21+D21+F21+G21+H21+J21+K21+L21+N21+O21+P21</f>
        <v>8880482.1195</v>
      </c>
    </row>
    <row r="22" spans="1:21" ht="15.75" customHeight="1">
      <c r="A22" s="7" t="s">
        <v>55</v>
      </c>
      <c r="B22" s="8">
        <f>B21</f>
        <v>668381.14</v>
      </c>
      <c r="C22" s="8">
        <f>C21+B22</f>
        <v>1312078.3500000001</v>
      </c>
      <c r="D22" s="8">
        <f>D21+C22</f>
        <v>2219712.8600000003</v>
      </c>
      <c r="E22" s="8"/>
      <c r="F22" s="8">
        <f>F21+D22</f>
        <v>2972494.12</v>
      </c>
      <c r="G22" s="8">
        <f>G21+F22</f>
        <v>3747720.92</v>
      </c>
      <c r="H22" s="8">
        <f>H21+G22</f>
        <v>4448344.5</v>
      </c>
      <c r="I22" s="8"/>
      <c r="J22" s="8">
        <f>J21+H22</f>
        <v>5192684.5599999996</v>
      </c>
      <c r="K22" s="8">
        <f>K21+J22</f>
        <v>5766771.1799999997</v>
      </c>
      <c r="L22" s="8">
        <f>L21+K22</f>
        <v>6550713.6399999997</v>
      </c>
      <c r="M22" s="8"/>
      <c r="N22" s="8">
        <f>N21+L22</f>
        <v>7431096.9399999995</v>
      </c>
      <c r="O22" s="8">
        <f>O21+N22</f>
        <v>8179582.8499999996</v>
      </c>
      <c r="P22" s="8">
        <f>P21+O22</f>
        <v>8880482.1195</v>
      </c>
      <c r="Q22" s="8"/>
      <c r="R22" s="9"/>
    </row>
    <row r="23" spans="1:21" ht="15.75" customHeight="1">
      <c r="A23" s="26" t="s">
        <v>56</v>
      </c>
      <c r="B23" s="27">
        <f t="shared" ref="B23:D24" si="0">B21/B19</f>
        <v>1.024692254033958</v>
      </c>
      <c r="C23" s="27">
        <f t="shared" si="0"/>
        <v>0.88816448430493267</v>
      </c>
      <c r="D23" s="27">
        <f t="shared" si="0"/>
        <v>1.1927062008245866</v>
      </c>
      <c r="E23" s="27"/>
      <c r="F23" s="27">
        <f t="shared" ref="F23:H24" si="1">F21/F19</f>
        <v>1.0386771438427045</v>
      </c>
      <c r="G23" s="27">
        <f t="shared" si="1"/>
        <v>1.0187116082721464</v>
      </c>
      <c r="H23" s="27">
        <f t="shared" si="1"/>
        <v>0.87882790931042032</v>
      </c>
      <c r="I23" s="27"/>
      <c r="J23" s="27">
        <f t="shared" ref="J23:L24" si="2">J21/J19</f>
        <v>1.1411445479284044</v>
      </c>
      <c r="K23" s="27">
        <f t="shared" si="2"/>
        <v>0.88012973055843013</v>
      </c>
      <c r="L23" s="27">
        <f t="shared" si="2"/>
        <v>1.0816729354949983</v>
      </c>
      <c r="M23" s="27"/>
      <c r="N23" s="27">
        <f t="shared" ref="N23:P24" si="3">N21/N19</f>
        <v>1.1568958754250234</v>
      </c>
      <c r="O23" s="27">
        <f t="shared" si="3"/>
        <v>0.98357188521493477</v>
      </c>
      <c r="P23" s="27">
        <f t="shared" si="3"/>
        <v>0.96709109279061756</v>
      </c>
      <c r="Q23" s="27"/>
      <c r="R23" s="9"/>
      <c r="T23" s="250"/>
    </row>
    <row r="24" spans="1:21" s="199" customFormat="1" ht="15.75" customHeight="1">
      <c r="A24" s="59" t="s">
        <v>57</v>
      </c>
      <c r="B24" s="276">
        <f t="shared" si="0"/>
        <v>1.024692254033958</v>
      </c>
      <c r="C24" s="276">
        <f t="shared" si="0"/>
        <v>0.95283553312394476</v>
      </c>
      <c r="D24" s="276">
        <f t="shared" si="0"/>
        <v>1.0382132284072241</v>
      </c>
      <c r="E24" s="276"/>
      <c r="F24" s="276">
        <f t="shared" si="1"/>
        <v>1.0383306753529153</v>
      </c>
      <c r="G24" s="276">
        <f t="shared" si="1"/>
        <v>1.0342106712659538</v>
      </c>
      <c r="H24" s="276">
        <f t="shared" si="1"/>
        <v>1.0061908289461035</v>
      </c>
      <c r="I24" s="276"/>
      <c r="J24" s="276">
        <f t="shared" si="2"/>
        <v>1.023542021386685</v>
      </c>
      <c r="K24" s="276">
        <f t="shared" si="2"/>
        <v>1.0072039123049852</v>
      </c>
      <c r="L24" s="276">
        <f t="shared" si="2"/>
        <v>1.015571218281391</v>
      </c>
      <c r="M24" s="276"/>
      <c r="N24" s="276">
        <f t="shared" si="3"/>
        <v>1.030484875567905</v>
      </c>
      <c r="O24" s="276">
        <f t="shared" si="3"/>
        <v>1.0260068173978487</v>
      </c>
      <c r="P24" s="276">
        <f t="shared" si="3"/>
        <v>1.0210971736805796</v>
      </c>
      <c r="Q24" s="276"/>
      <c r="R24" s="277"/>
    </row>
    <row r="25" spans="1:21" ht="15.75" customHeight="1" thickBot="1">
      <c r="A25" s="326" t="s">
        <v>58</v>
      </c>
      <c r="B25" s="327">
        <f>B22-B20</f>
        <v>16106.140000000014</v>
      </c>
      <c r="C25" s="327">
        <f>C22-C20</f>
        <v>-64946.649999999907</v>
      </c>
      <c r="D25" s="327">
        <f>D22-D20</f>
        <v>81700.360000000335</v>
      </c>
      <c r="E25" s="327"/>
      <c r="F25" s="327">
        <f>F22-F20</f>
        <v>109731.62000000011</v>
      </c>
      <c r="G25" s="327">
        <f>G22-G20</f>
        <v>123970.91999999993</v>
      </c>
      <c r="H25" s="327">
        <f>H22-H20</f>
        <v>27369.5</v>
      </c>
      <c r="I25" s="327"/>
      <c r="J25" s="327">
        <f>J22-J20</f>
        <v>119434.55999999959</v>
      </c>
      <c r="K25" s="327">
        <f>K22-K20</f>
        <v>41246.179999999702</v>
      </c>
      <c r="L25" s="327">
        <f>L22-L20</f>
        <v>100438.63999999966</v>
      </c>
      <c r="M25" s="327"/>
      <c r="N25" s="327">
        <f>N22-N20</f>
        <v>219834.43999999948</v>
      </c>
      <c r="O25" s="327">
        <f>O22-O20</f>
        <v>207332.84999999963</v>
      </c>
      <c r="P25" s="327">
        <f>P22-P20</f>
        <v>183482.11950000003</v>
      </c>
      <c r="Q25" s="327"/>
      <c r="R25" s="328"/>
    </row>
    <row r="26" spans="1:21" s="348" customFormat="1" ht="15.75" customHeight="1">
      <c r="A26" s="339" t="s">
        <v>181</v>
      </c>
      <c r="B26" s="340">
        <f>TOMEK!N11+MIRU!N11+'PIOTR L'!N11+BARTEK!N11+PIOTR!N11+KRZYSZTOF!N11</f>
        <v>604333.33333333337</v>
      </c>
      <c r="C26" s="340">
        <f>TOMEK!O11+MIRU!O11+'PIOTR L'!O11+BARTEK!O11+PIOTR!O11+KRZYSZTOF!O11+B26</f>
        <v>1266000</v>
      </c>
      <c r="D26" s="340">
        <f>TOMEK!P11+MIRU!P11+'PIOTR L'!P11+BARTEK!P11+PIOTR!P11+KRZYSZTOF!P11+C26</f>
        <v>2060000</v>
      </c>
      <c r="E26" s="341"/>
      <c r="F26" s="340">
        <f>TOMEK!J11+MIRU!J11+'PIOTR L'!J11+BARTEK!J11+PIOTR!J11+KRZYSZTOF!J11</f>
        <v>611250</v>
      </c>
      <c r="G26" s="340">
        <f>TOMEK!K11+MIRU!K11+'PIOTR L'!K11+BARTEK!K11+PIOTR!K11+KRZYSZTOF!K11+F26</f>
        <v>1329250</v>
      </c>
      <c r="H26" s="340">
        <f>TOMEK!L11+MIRU!L11+'PIOTR L'!L11+BARTEK!L11+PIOTR!L11+KRZYSZTOF!L11+G26</f>
        <v>2139000</v>
      </c>
      <c r="I26" s="341"/>
      <c r="J26" s="340">
        <f>TOMEK!F11+MIRU!F11+Artur!F11+BARTEK!F11+PIOTR!F11+KRZYSZTOF!F11</f>
        <v>573750</v>
      </c>
      <c r="K26" s="340">
        <f>TOMEK!G11+MIRU!G11+Artur!G11+BARTEK!G11+PIOTR!G11+KRZYSZTOF!G11+J26</f>
        <v>1223750</v>
      </c>
      <c r="L26" s="340">
        <f>TOMEK!H11+MIRU!H11+Artur!H11+BARTEK!H11+PIOTR!H11+KRZYSZTOF!H11+K26</f>
        <v>2025000</v>
      </c>
      <c r="M26" s="341">
        <f>SUM(J26:L26)</f>
        <v>3822500</v>
      </c>
      <c r="N26" s="340">
        <f>TOMEK!B11+MIRU!B11+Artur!B11+BARTEK!B11+PIOTR!B11+KRZYSZTOF!B11</f>
        <v>706666.66666666663</v>
      </c>
      <c r="O26" s="340">
        <f>TOMEK!C11+MIRU!C11+Artur!C11+BARTEK!C11+PIOTR!C11+KRZYSZTOF!C11+N26</f>
        <v>1491500</v>
      </c>
      <c r="P26" s="340">
        <f>TOMEK!D11+MIRU!D11+Artur!D11+BARTEK!D11+PIOTR!D11+KRZYSZTOF!D11+O26</f>
        <v>2255000</v>
      </c>
      <c r="Q26" s="341">
        <f>SUM(N26:P26)</f>
        <v>4453166.666666666</v>
      </c>
      <c r="R26" s="342"/>
    </row>
    <row r="27" spans="1:21" s="348" customFormat="1" ht="15.75" customHeight="1" thickBot="1">
      <c r="A27" s="343" t="s">
        <v>184</v>
      </c>
      <c r="B27" s="344">
        <f>B21/B26</f>
        <v>1.1059809266409266</v>
      </c>
      <c r="C27" s="344">
        <f>(C21+B21)/C26</f>
        <v>1.0363968009478675</v>
      </c>
      <c r="D27" s="344">
        <f>(C21+B21+D21)/D26</f>
        <v>1.0775305145631069</v>
      </c>
      <c r="E27" s="344"/>
      <c r="F27" s="344">
        <f>F21/F26</f>
        <v>1.2315439836400819</v>
      </c>
      <c r="G27" s="344">
        <f>(G21+F21)/G26</f>
        <v>1.1495264698138048</v>
      </c>
      <c r="H27" s="344">
        <f>(G21+F21+H21)/H26</f>
        <v>1.0419035250116877</v>
      </c>
      <c r="I27" s="345"/>
      <c r="J27" s="344">
        <f>J21/J26</f>
        <v>1.2973247233115468</v>
      </c>
      <c r="K27" s="344">
        <f>(K21+J21)/K26</f>
        <v>1.0773660306435138</v>
      </c>
      <c r="L27" s="344">
        <f>(K21+J21+L21)/L26</f>
        <v>1.0382069827160492</v>
      </c>
      <c r="M27" s="345"/>
      <c r="N27" s="344">
        <f>N21/N26</f>
        <v>1.245825424528302</v>
      </c>
      <c r="O27" s="344">
        <f>(O21+N21)/O26</f>
        <v>1.0921013811599063</v>
      </c>
      <c r="P27" s="344">
        <f>(O21+N21+P21)/P26</f>
        <v>1.0331567536585367</v>
      </c>
      <c r="Q27" s="346"/>
      <c r="R27" s="347"/>
    </row>
    <row r="28" spans="1:21" ht="15.75" customHeight="1" thickBot="1">
      <c r="A28" s="321"/>
      <c r="B28" s="322"/>
      <c r="C28" s="322"/>
      <c r="D28" s="322"/>
      <c r="E28" s="322"/>
      <c r="F28" s="322"/>
      <c r="G28" s="322"/>
      <c r="H28" s="322"/>
      <c r="I28" s="322"/>
      <c r="J28" s="322"/>
      <c r="K28" s="322"/>
      <c r="L28" s="322"/>
      <c r="M28" s="322"/>
      <c r="N28" s="322"/>
      <c r="O28" s="322"/>
      <c r="P28" s="322"/>
      <c r="Q28" s="322"/>
      <c r="R28" s="329"/>
    </row>
    <row r="29" spans="1:21" ht="15.75" customHeight="1">
      <c r="A29" s="333" t="s">
        <v>43</v>
      </c>
      <c r="B29" s="334">
        <f t="shared" ref="B29:D30" si="4">B8/B21</f>
        <v>0.34095575826690744</v>
      </c>
      <c r="C29" s="334">
        <f t="shared" si="4"/>
        <v>0.35838450395023469</v>
      </c>
      <c r="D29" s="334">
        <f t="shared" si="4"/>
        <v>0.35649716437071133</v>
      </c>
      <c r="E29" s="334"/>
      <c r="F29" s="334">
        <f t="shared" ref="F29:G30" si="5">F8/F21</f>
        <v>0.33141815910773337</v>
      </c>
      <c r="G29" s="334">
        <f t="shared" si="5"/>
        <v>0.33090588573563245</v>
      </c>
      <c r="H29" s="334">
        <f>H8/H21</f>
        <v>0.32891938607033466</v>
      </c>
      <c r="I29" s="334"/>
      <c r="J29" s="334">
        <f>J8/J21</f>
        <v>0.32752480512737686</v>
      </c>
      <c r="K29" s="334">
        <f t="shared" ref="J29:L30" si="6">K8/K21</f>
        <v>0.32499161102204405</v>
      </c>
      <c r="L29" s="334">
        <f t="shared" si="6"/>
        <v>0.3220197436429198</v>
      </c>
      <c r="M29" s="334"/>
      <c r="N29" s="334">
        <f t="shared" ref="N29:P30" si="7">N8/N21</f>
        <v>0.35831627962502238</v>
      </c>
      <c r="O29" s="334">
        <f t="shared" si="7"/>
        <v>0.33302945515701149</v>
      </c>
      <c r="P29" s="334">
        <f t="shared" si="7"/>
        <v>0.33925689859775199</v>
      </c>
      <c r="Q29" s="334"/>
      <c r="R29" s="335"/>
    </row>
    <row r="30" spans="1:21" ht="15.75" customHeight="1" thickBot="1">
      <c r="A30" s="336" t="s">
        <v>44</v>
      </c>
      <c r="B30" s="337">
        <f t="shared" si="4"/>
        <v>0.34095575826690744</v>
      </c>
      <c r="C30" s="337">
        <f t="shared" si="4"/>
        <v>0.3495061889406223</v>
      </c>
      <c r="D30" s="337">
        <f t="shared" si="4"/>
        <v>0.3523647796499228</v>
      </c>
      <c r="E30" s="337"/>
      <c r="F30" s="337">
        <f t="shared" si="5"/>
        <v>0.34706006826348235</v>
      </c>
      <c r="G30" s="337">
        <f t="shared" si="5"/>
        <v>0.34371852936690922</v>
      </c>
      <c r="H30" s="337">
        <f>H9/H22</f>
        <v>0.34138763328694527</v>
      </c>
      <c r="I30" s="337"/>
      <c r="J30" s="337">
        <f t="shared" si="6"/>
        <v>0.33940048035577186</v>
      </c>
      <c r="K30" s="337">
        <f t="shared" si="6"/>
        <v>0.33796606604737872</v>
      </c>
      <c r="L30" s="337">
        <f t="shared" si="6"/>
        <v>0.33605772446801691</v>
      </c>
      <c r="M30" s="337"/>
      <c r="N30" s="337">
        <f t="shared" si="7"/>
        <v>0.33869475913471259</v>
      </c>
      <c r="O30" s="337">
        <f t="shared" si="7"/>
        <v>0.33817634636465593</v>
      </c>
      <c r="P30" s="337">
        <f t="shared" si="7"/>
        <v>0.33826162982794566</v>
      </c>
      <c r="Q30" s="337"/>
      <c r="R30" s="338"/>
    </row>
    <row r="31" spans="1:21" s="71" customFormat="1" ht="15.75" customHeight="1">
      <c r="A31" s="330"/>
      <c r="B31" s="331"/>
      <c r="C31" s="331"/>
      <c r="D31" s="331"/>
      <c r="E31" s="331"/>
      <c r="F31" s="331"/>
      <c r="G31" s="331"/>
      <c r="H31" s="331"/>
      <c r="I31" s="331"/>
      <c r="J31" s="331"/>
      <c r="K31" s="331"/>
      <c r="L31" s="331"/>
      <c r="M31" s="331"/>
      <c r="N31" s="331"/>
      <c r="O31" s="331"/>
      <c r="P31" s="331"/>
      <c r="Q31" s="331"/>
      <c r="R31" s="332"/>
      <c r="T31" s="70"/>
    </row>
    <row r="32" spans="1:21" ht="226.5" customHeight="1">
      <c r="A32" s="56"/>
      <c r="B32" s="593" t="s">
        <v>33</v>
      </c>
      <c r="C32" s="594"/>
      <c r="D32" s="594"/>
      <c r="E32" s="594"/>
      <c r="F32" s="594"/>
      <c r="G32" s="594"/>
      <c r="H32" s="594"/>
      <c r="I32" s="594"/>
      <c r="J32" s="594"/>
      <c r="K32" s="594"/>
      <c r="L32" s="594"/>
      <c r="M32" s="594"/>
      <c r="N32" s="594"/>
      <c r="O32" s="594"/>
      <c r="P32" s="594"/>
      <c r="Q32" s="594"/>
      <c r="R32" s="595"/>
    </row>
    <row r="33" spans="1:20" s="75" customFormat="1" ht="11.25">
      <c r="A33" s="73" t="s">
        <v>89</v>
      </c>
      <c r="B33" s="78">
        <v>7500</v>
      </c>
      <c r="C33" s="78">
        <v>8000</v>
      </c>
      <c r="D33" s="78">
        <v>8000</v>
      </c>
      <c r="E33" s="78"/>
      <c r="F33" s="78">
        <v>8000</v>
      </c>
      <c r="G33" s="78">
        <v>8000</v>
      </c>
      <c r="H33" s="78">
        <v>8000</v>
      </c>
      <c r="I33" s="78"/>
      <c r="J33" s="78">
        <v>8000</v>
      </c>
      <c r="K33" s="78">
        <v>8000</v>
      </c>
      <c r="L33" s="78">
        <v>8000</v>
      </c>
      <c r="M33" s="78"/>
      <c r="N33" s="78">
        <v>8000</v>
      </c>
      <c r="O33" s="78">
        <v>8000</v>
      </c>
      <c r="P33" s="78">
        <v>8000</v>
      </c>
      <c r="Q33" s="78"/>
      <c r="R33" s="74"/>
    </row>
    <row r="34" spans="1:20">
      <c r="A34" s="20" t="s">
        <v>61</v>
      </c>
      <c r="B34" s="79">
        <f>B7</f>
        <v>220200</v>
      </c>
      <c r="C34" s="79">
        <f>C7</f>
        <v>464866.66666666663</v>
      </c>
      <c r="D34" s="79">
        <f>D7</f>
        <v>721766.66666666663</v>
      </c>
      <c r="E34" s="79"/>
      <c r="F34" s="79">
        <f>F7</f>
        <v>966433.33333333326</v>
      </c>
      <c r="G34" s="79">
        <f>G7</f>
        <v>1223333.3333333333</v>
      </c>
      <c r="H34" s="79">
        <f>H7</f>
        <v>1492466.6666666665</v>
      </c>
      <c r="I34" s="79"/>
      <c r="J34" s="79">
        <f>J7</f>
        <v>1712666.6666666665</v>
      </c>
      <c r="K34" s="79">
        <f>K7</f>
        <v>1932866.6666666665</v>
      </c>
      <c r="L34" s="79">
        <f>L7</f>
        <v>2177533.333333333</v>
      </c>
      <c r="M34" s="79"/>
      <c r="N34" s="79">
        <f>N7</f>
        <v>2434433.333333333</v>
      </c>
      <c r="O34" s="79">
        <f>O7</f>
        <v>2691333.333333333</v>
      </c>
      <c r="P34" s="42">
        <f>P7</f>
        <v>2935999.9999999995</v>
      </c>
      <c r="Q34" s="42"/>
      <c r="R34" s="33"/>
    </row>
    <row r="35" spans="1:20">
      <c r="A35" s="40" t="s">
        <v>62</v>
      </c>
      <c r="B35" s="55">
        <f>B9</f>
        <v>227888.39840000001</v>
      </c>
      <c r="C35" s="55">
        <f>C9</f>
        <v>458579.5037</v>
      </c>
      <c r="D35" s="55">
        <f>D9</f>
        <v>782148.63280000002</v>
      </c>
      <c r="E35" s="55"/>
      <c r="F35" s="55">
        <f>F9</f>
        <v>1031634.0122</v>
      </c>
      <c r="G35" s="55">
        <f>G9</f>
        <v>1288161.1231</v>
      </c>
      <c r="H35" s="55">
        <f>H9</f>
        <v>1518609.8008999999</v>
      </c>
      <c r="I35" s="55"/>
      <c r="J35" s="55">
        <f>J9</f>
        <v>1762399.6339999998</v>
      </c>
      <c r="K35" s="55">
        <f>K9</f>
        <v>1948972.9694999999</v>
      </c>
      <c r="L35" s="55">
        <f>L9</f>
        <v>2201417.9194999998</v>
      </c>
      <c r="M35" s="55"/>
      <c r="N35" s="55">
        <f>N9</f>
        <v>2516873.5881999996</v>
      </c>
      <c r="O35" s="55">
        <f>O9</f>
        <v>2766141.4429999995</v>
      </c>
      <c r="P35" s="41">
        <f>P9</f>
        <v>3003926.3553999993</v>
      </c>
      <c r="Q35" s="41"/>
      <c r="R35" s="33"/>
    </row>
    <row r="36" spans="1:20">
      <c r="A36" s="40" t="s">
        <v>63</v>
      </c>
      <c r="B36" s="97">
        <f>B35/B34</f>
        <v>1.0349155240690282</v>
      </c>
      <c r="C36" s="97">
        <f>C35/C34</f>
        <v>0.9864753413882118</v>
      </c>
      <c r="D36" s="97">
        <f>D35/D34</f>
        <v>1.0836585685124465</v>
      </c>
      <c r="E36" s="97"/>
      <c r="F36" s="97">
        <f t="shared" ref="F36:P36" si="8">F35/F34</f>
        <v>1.0674652628565517</v>
      </c>
      <c r="G36" s="97">
        <f t="shared" si="8"/>
        <v>1.0529927436784741</v>
      </c>
      <c r="H36" s="97">
        <f t="shared" si="8"/>
        <v>1.017516729061509</v>
      </c>
      <c r="I36" s="97"/>
      <c r="J36" s="97">
        <f t="shared" si="8"/>
        <v>1.029038322693655</v>
      </c>
      <c r="K36" s="97">
        <f t="shared" si="8"/>
        <v>1.0083328576725417</v>
      </c>
      <c r="L36" s="97">
        <f t="shared" si="8"/>
        <v>1.0109686431895417</v>
      </c>
      <c r="M36" s="97"/>
      <c r="N36" s="97">
        <f t="shared" si="8"/>
        <v>1.0338642482987144</v>
      </c>
      <c r="O36" s="97">
        <f t="shared" si="8"/>
        <v>1.0277959287837501</v>
      </c>
      <c r="P36" s="51">
        <f t="shared" si="8"/>
        <v>1.0231356796321525</v>
      </c>
      <c r="Q36" s="51"/>
      <c r="R36" s="33"/>
    </row>
    <row r="37" spans="1:20">
      <c r="A37" s="39" t="s">
        <v>71</v>
      </c>
      <c r="B37" s="58">
        <f>B33*0.4</f>
        <v>3000</v>
      </c>
      <c r="C37" s="58">
        <f>C33*0.3</f>
        <v>2400</v>
      </c>
      <c r="D37" s="58">
        <f>D33*0.3</f>
        <v>2400</v>
      </c>
      <c r="E37" s="58"/>
      <c r="F37" s="58">
        <f>F33*0.3</f>
        <v>2400</v>
      </c>
      <c r="G37" s="58">
        <f>G33*0.3</f>
        <v>2400</v>
      </c>
      <c r="H37" s="58">
        <f>H33*0.3</f>
        <v>2400</v>
      </c>
      <c r="I37" s="58"/>
      <c r="J37" s="58">
        <f>J33*0.3</f>
        <v>2400</v>
      </c>
      <c r="K37" s="58">
        <f>K33*0.3</f>
        <v>2400</v>
      </c>
      <c r="L37" s="58">
        <f>L33*0.3</f>
        <v>2400</v>
      </c>
      <c r="M37" s="58"/>
      <c r="N37" s="58">
        <f>N33*0.3</f>
        <v>2400</v>
      </c>
      <c r="O37" s="58">
        <f>O33*0.3</f>
        <v>2400</v>
      </c>
      <c r="P37" s="58">
        <f>P33*0.3</f>
        <v>2400</v>
      </c>
      <c r="Q37" s="58"/>
      <c r="R37" s="36"/>
    </row>
    <row r="38" spans="1:20">
      <c r="A38" s="40" t="s">
        <v>64</v>
      </c>
      <c r="B38" s="82">
        <f>IF(B36&lt;80%,0,IF(B36&lt;90%,0.5,IF(B36&lt;95%,0.75,1)))</f>
        <v>1</v>
      </c>
      <c r="C38" s="82">
        <f t="shared" ref="C38:P38" si="9">IF(C36&lt;80%,0,IF(C36&lt;90%,0.5,IF(C36&lt;95%,0.75,1)))</f>
        <v>1</v>
      </c>
      <c r="D38" s="82">
        <f t="shared" si="9"/>
        <v>1</v>
      </c>
      <c r="E38" s="82"/>
      <c r="F38" s="82">
        <f t="shared" si="9"/>
        <v>1</v>
      </c>
      <c r="G38" s="82">
        <f t="shared" si="9"/>
        <v>1</v>
      </c>
      <c r="H38" s="82">
        <f>IF(H36&lt;80%,0,IF(H36&lt;90%,0.5,IF(H36&lt;95%,0.75,1)))</f>
        <v>1</v>
      </c>
      <c r="I38" s="82"/>
      <c r="J38" s="82">
        <f t="shared" si="9"/>
        <v>1</v>
      </c>
      <c r="K38" s="82">
        <f t="shared" si="9"/>
        <v>1</v>
      </c>
      <c r="L38" s="82">
        <f t="shared" si="9"/>
        <v>1</v>
      </c>
      <c r="M38" s="82"/>
      <c r="N38" s="82">
        <f t="shared" si="9"/>
        <v>1</v>
      </c>
      <c r="O38" s="82">
        <f t="shared" si="9"/>
        <v>1</v>
      </c>
      <c r="P38" s="82">
        <f t="shared" si="9"/>
        <v>1</v>
      </c>
      <c r="Q38" s="82"/>
      <c r="R38" s="33"/>
    </row>
    <row r="39" spans="1:20">
      <c r="A39" s="59" t="s">
        <v>65</v>
      </c>
      <c r="B39" s="80">
        <f>B38*B37</f>
        <v>3000</v>
      </c>
      <c r="C39" s="80">
        <f t="shared" ref="C39:P39" si="10">C38*C37</f>
        <v>2400</v>
      </c>
      <c r="D39" s="80">
        <f t="shared" si="10"/>
        <v>2400</v>
      </c>
      <c r="E39" s="80"/>
      <c r="F39" s="80">
        <f t="shared" si="10"/>
        <v>2400</v>
      </c>
      <c r="G39" s="80">
        <f t="shared" si="10"/>
        <v>2400</v>
      </c>
      <c r="H39" s="80">
        <f t="shared" si="10"/>
        <v>2400</v>
      </c>
      <c r="I39" s="80"/>
      <c r="J39" s="80">
        <f t="shared" si="10"/>
        <v>2400</v>
      </c>
      <c r="K39" s="80">
        <f t="shared" si="10"/>
        <v>2400</v>
      </c>
      <c r="L39" s="80">
        <f t="shared" si="10"/>
        <v>2400</v>
      </c>
      <c r="M39" s="80"/>
      <c r="N39" s="80">
        <f t="shared" si="10"/>
        <v>2400</v>
      </c>
      <c r="O39" s="80">
        <f t="shared" si="10"/>
        <v>2400</v>
      </c>
      <c r="P39" s="80">
        <f t="shared" si="10"/>
        <v>2400</v>
      </c>
      <c r="Q39" s="80"/>
      <c r="R39" s="60"/>
    </row>
    <row r="40" spans="1:20" s="43" customFormat="1" ht="15" customHeight="1">
      <c r="A40" s="56" t="s">
        <v>78</v>
      </c>
      <c r="B40" s="84">
        <f>B39</f>
        <v>3000</v>
      </c>
      <c r="C40" s="84">
        <f>C39</f>
        <v>2400</v>
      </c>
      <c r="D40" s="84">
        <f>D39</f>
        <v>2400</v>
      </c>
      <c r="E40" s="84"/>
      <c r="F40" s="84">
        <f>F39</f>
        <v>2400</v>
      </c>
      <c r="G40" s="84">
        <f>G39</f>
        <v>2400</v>
      </c>
      <c r="H40" s="84">
        <f>H39</f>
        <v>2400</v>
      </c>
      <c r="I40" s="84"/>
      <c r="J40" s="84">
        <f>J39</f>
        <v>2400</v>
      </c>
      <c r="K40" s="84">
        <f>K39</f>
        <v>2400</v>
      </c>
      <c r="L40" s="84">
        <f>L39</f>
        <v>2400</v>
      </c>
      <c r="M40" s="84"/>
      <c r="N40" s="84">
        <f>N39</f>
        <v>2400</v>
      </c>
      <c r="O40" s="84">
        <f>O39</f>
        <v>2400</v>
      </c>
      <c r="P40" s="84">
        <f>P39</f>
        <v>2400</v>
      </c>
      <c r="Q40" s="84"/>
      <c r="R40" s="57"/>
      <c r="T40" s="17"/>
    </row>
    <row r="41" spans="1:20">
      <c r="A41" s="63"/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5"/>
    </row>
    <row r="42" spans="1:20">
      <c r="A42" s="596" t="s">
        <v>27</v>
      </c>
      <c r="B42" s="591"/>
      <c r="C42" s="591"/>
      <c r="D42" s="591"/>
      <c r="E42" s="591"/>
      <c r="F42" s="591"/>
      <c r="G42" s="591"/>
      <c r="H42" s="591"/>
      <c r="I42" s="591"/>
      <c r="J42" s="591"/>
      <c r="K42" s="591"/>
      <c r="L42" s="591"/>
      <c r="M42" s="591"/>
      <c r="N42" s="591"/>
      <c r="O42" s="591"/>
      <c r="P42" s="591"/>
      <c r="Q42" s="591"/>
      <c r="R42" s="592"/>
    </row>
    <row r="43" spans="1:20">
      <c r="A43" s="16" t="s">
        <v>36</v>
      </c>
      <c r="B43" s="6">
        <f>TOMEK!N48+MIRU!N22+'PIOTR L'!N48+BARTEK!N48+PIOTR!N48+KRZYSZTOF!N48+Artur!B48</f>
        <v>0</v>
      </c>
      <c r="C43" s="6">
        <f>TOMEK!O48+MIRU!O22+'PIOTR L'!O48+BARTEK!O48+PIOTR!O48+KRZYSZTOF!O48+Artur!C48</f>
        <v>0</v>
      </c>
      <c r="D43" s="6">
        <f>TOMEK!P48+MIRU!P22+'PIOTR L'!P48+BARTEK!P48+PIOTR!P48+KRZYSZTOF!P48+Artur!D48</f>
        <v>0</v>
      </c>
      <c r="E43" s="6"/>
      <c r="F43" s="6">
        <f>TOMEK!J48+MIRU!J22+'PIOTR L'!J48+BARTEK!J48+PIOTR!J48+KRZYSZTOF!J48+Artur!N48</f>
        <v>0</v>
      </c>
      <c r="G43" s="6">
        <f>TOMEK!K48+MIRU!K22+'PIOTR L'!K48+BARTEK!K48+PIOTR!K48+KRZYSZTOF!K48+Artur!O48</f>
        <v>0</v>
      </c>
      <c r="H43" s="6">
        <f>TOMEK!L48+MIRU!L22+'PIOTR L'!L48+BARTEK!L48+PIOTR!L48+KRZYSZTOF!L48+Artur!P48</f>
        <v>0</v>
      </c>
      <c r="I43" s="6"/>
      <c r="J43" s="6">
        <f>TOMEK!F48+MIRU!F22+Artur!J48+BARTEK!F48+PIOTR!F48+KRZYSZTOF!F48+'PIOTR L'!F48</f>
        <v>0</v>
      </c>
      <c r="K43" s="6">
        <f>TOMEK!G48+MIRU!G22+Artur!K48+BARTEK!G48+PIOTR!G48+KRZYSZTOF!G48+'PIOTR L'!G48</f>
        <v>1</v>
      </c>
      <c r="L43" s="6">
        <f>TOMEK!H48+MIRU!H22+Artur!L48+BARTEK!H48+PIOTR!H48+KRZYSZTOF!H48+'PIOTR L'!H48</f>
        <v>0</v>
      </c>
      <c r="M43" s="6"/>
      <c r="N43" s="6">
        <f>TOMEK!B48+MIRU!B22+'PIOTR L'!B48+BARTEK!B48+PIOTR!B48+KRZYSZTOF!B48+Artur!F48</f>
        <v>0</v>
      </c>
      <c r="O43" s="6">
        <f>TOMEK!C48+MIRU!C22+'PIOTR L'!C48+BARTEK!C48+PIOTR!C48+KRZYSZTOF!C48+Artur!G48</f>
        <v>0</v>
      </c>
      <c r="P43" s="6">
        <f>TOMEK!D48+MIRU!D22+'PIOTR L'!D48+BARTEK!D48+PIOTR!D48+KRZYSZTOF!D48+Artur!H48</f>
        <v>0</v>
      </c>
      <c r="Q43" s="6"/>
      <c r="R43" s="6">
        <f t="shared" ref="R43:R55" si="11">SUM(B43:P43)</f>
        <v>1</v>
      </c>
    </row>
    <row r="44" spans="1:20">
      <c r="A44" s="16" t="s">
        <v>37</v>
      </c>
      <c r="B44" s="6">
        <f>TOMEK!N49+MIRU!N23+'PIOTR L'!N49+BARTEK!N49+PIOTR!N49+KRZYSZTOF!N49+Artur!B49</f>
        <v>5</v>
      </c>
      <c r="C44" s="6">
        <f>TOMEK!O49+MIRU!O23+'PIOTR L'!O49+BARTEK!O49+PIOTR!O49+KRZYSZTOF!O49+Artur!C49</f>
        <v>1</v>
      </c>
      <c r="D44" s="6">
        <f>TOMEK!P49+MIRU!P23+'PIOTR L'!P49+BARTEK!P49+PIOTR!P49+KRZYSZTOF!P49+Artur!D49</f>
        <v>3</v>
      </c>
      <c r="E44" s="6"/>
      <c r="F44" s="6">
        <f>TOMEK!J49+MIRU!J23+'PIOTR L'!J49+BARTEK!J49+PIOTR!J49+KRZYSZTOF!J49+Artur!N49</f>
        <v>1</v>
      </c>
      <c r="G44" s="6">
        <f>TOMEK!K49+MIRU!K23+'PIOTR L'!K49+BARTEK!K49+PIOTR!K49+KRZYSZTOF!K49+Artur!O49</f>
        <v>9</v>
      </c>
      <c r="H44" s="6">
        <f>TOMEK!L49+MIRU!L23+'PIOTR L'!L49+BARTEK!L49+PIOTR!L49+KRZYSZTOF!L49+Artur!P49</f>
        <v>5</v>
      </c>
      <c r="I44" s="6"/>
      <c r="J44" s="6">
        <f>TOMEK!F49+MIRU!F23+Artur!J49+BARTEK!F49+PIOTR!F49+KRZYSZTOF!F49+'PIOTR L'!F49</f>
        <v>3</v>
      </c>
      <c r="K44" s="6">
        <f>TOMEK!G49+MIRU!G23+Artur!K49+BARTEK!G49+PIOTR!G49+KRZYSZTOF!G49+'PIOTR L'!G49</f>
        <v>3</v>
      </c>
      <c r="L44" s="6">
        <f>TOMEK!H49+MIRU!H23+Artur!L49+BARTEK!H49+PIOTR!H49+KRZYSZTOF!H49+'PIOTR L'!H49</f>
        <v>11</v>
      </c>
      <c r="M44" s="6"/>
      <c r="N44" s="6">
        <f>TOMEK!B49+MIRU!B23+'PIOTR L'!B49+BARTEK!B49+PIOTR!B49+KRZYSZTOF!B49+Artur!F49</f>
        <v>4</v>
      </c>
      <c r="O44" s="6">
        <f>TOMEK!C49+MIRU!C23+'PIOTR L'!C49+BARTEK!C49+PIOTR!C49+KRZYSZTOF!C49+Artur!G49</f>
        <v>3</v>
      </c>
      <c r="P44" s="6">
        <f>TOMEK!D49+MIRU!D23+'PIOTR L'!D49+BARTEK!D49+PIOTR!D49+KRZYSZTOF!D49+Artur!H49</f>
        <v>3</v>
      </c>
      <c r="Q44" s="6"/>
      <c r="R44" s="6">
        <f t="shared" si="11"/>
        <v>51</v>
      </c>
    </row>
    <row r="45" spans="1:20">
      <c r="A45" s="16" t="s">
        <v>81</v>
      </c>
      <c r="B45" s="6">
        <f>TOMEK!N50+MIRU!N24+'PIOTR L'!N50+BARTEK!N50+PIOTR!N50+KRZYSZTOF!N50+Artur!B50</f>
        <v>0</v>
      </c>
      <c r="C45" s="6">
        <f>TOMEK!O50+MIRU!O24+'PIOTR L'!O50+BARTEK!O50+PIOTR!O50+KRZYSZTOF!O50+Artur!C50</f>
        <v>0</v>
      </c>
      <c r="D45" s="6">
        <f>TOMEK!P50+MIRU!P24+'PIOTR L'!P50+BARTEK!P50+PIOTR!P50+KRZYSZTOF!P50+Artur!D50</f>
        <v>0</v>
      </c>
      <c r="E45" s="6"/>
      <c r="F45" s="6">
        <f>TOMEK!J50+MIRU!J24+'PIOTR L'!J50+BARTEK!J50+PIOTR!J50+KRZYSZTOF!J50+Artur!N50</f>
        <v>0</v>
      </c>
      <c r="G45" s="6">
        <f>TOMEK!K50+MIRU!K24+'PIOTR L'!K50+BARTEK!K50+PIOTR!K50+KRZYSZTOF!K50+Artur!O50</f>
        <v>0</v>
      </c>
      <c r="H45" s="6">
        <f>TOMEK!L50+MIRU!L24+'PIOTR L'!L50+BARTEK!L50+PIOTR!L50+KRZYSZTOF!L50+Artur!P50</f>
        <v>1</v>
      </c>
      <c r="I45" s="6"/>
      <c r="J45" s="6">
        <f>TOMEK!F50+MIRU!F24+Artur!J50+BARTEK!F50+PIOTR!F50+KRZYSZTOF!F50+'PIOTR L'!F50</f>
        <v>0</v>
      </c>
      <c r="K45" s="6">
        <f>TOMEK!G50+MIRU!G24+Artur!K50+BARTEK!G50+PIOTR!G50+KRZYSZTOF!G50+'PIOTR L'!G50</f>
        <v>0</v>
      </c>
      <c r="L45" s="6">
        <f>TOMEK!H50+MIRU!H24+Artur!L50+BARTEK!H50+PIOTR!H50+KRZYSZTOF!H50+'PIOTR L'!H50</f>
        <v>0</v>
      </c>
      <c r="M45" s="6"/>
      <c r="N45" s="6">
        <f>TOMEK!B50+MIRU!B24+'PIOTR L'!B50+BARTEK!B50+PIOTR!B50+KRZYSZTOF!B50+Artur!F50</f>
        <v>0</v>
      </c>
      <c r="O45" s="6">
        <f>TOMEK!C50+MIRU!C24+'PIOTR L'!C50+BARTEK!C50+PIOTR!C50+KRZYSZTOF!C50+Artur!G50</f>
        <v>0</v>
      </c>
      <c r="P45" s="6">
        <f>TOMEK!D50+MIRU!D24+'PIOTR L'!D50+BARTEK!D50+PIOTR!D50+KRZYSZTOF!D50+Artur!H50</f>
        <v>0</v>
      </c>
      <c r="Q45" s="6"/>
      <c r="R45" s="6">
        <f t="shared" si="11"/>
        <v>1</v>
      </c>
    </row>
    <row r="46" spans="1:20">
      <c r="A46" s="16" t="s">
        <v>38</v>
      </c>
      <c r="B46" s="6">
        <f>TOMEK!N51+MIRU!N25+'PIOTR L'!N51+BARTEK!N51+PIOTR!N51+KRZYSZTOF!N51+Artur!B51</f>
        <v>5</v>
      </c>
      <c r="C46" s="6">
        <f>TOMEK!O51+MIRU!O25+'PIOTR L'!O51+BARTEK!O51+PIOTR!O51+KRZYSZTOF!O51+Artur!C51</f>
        <v>2</v>
      </c>
      <c r="D46" s="6">
        <f>TOMEK!P51+MIRU!P25+'PIOTR L'!P51+BARTEK!P51+PIOTR!P51+KRZYSZTOF!P51+Artur!D51</f>
        <v>3</v>
      </c>
      <c r="E46" s="6"/>
      <c r="F46" s="6">
        <f>TOMEK!J51+MIRU!J25+'PIOTR L'!J51+BARTEK!J51+PIOTR!J51+KRZYSZTOF!J51+Artur!N51</f>
        <v>2</v>
      </c>
      <c r="G46" s="6">
        <f>TOMEK!K51+MIRU!K25+'PIOTR L'!K51+BARTEK!K51+PIOTR!K51+KRZYSZTOF!K51+Artur!O51</f>
        <v>4</v>
      </c>
      <c r="H46" s="6">
        <f>TOMEK!L51+MIRU!L25+'PIOTR L'!L51+BARTEK!L51+PIOTR!L51+KRZYSZTOF!L51+Artur!P51</f>
        <v>6</v>
      </c>
      <c r="I46" s="6"/>
      <c r="J46" s="6">
        <f>TOMEK!F51+MIRU!F25+Artur!J51+BARTEK!F51+PIOTR!F51+KRZYSZTOF!F51+'PIOTR L'!F51</f>
        <v>2</v>
      </c>
      <c r="K46" s="6">
        <f>TOMEK!G51+MIRU!G25+Artur!K51+BARTEK!G51+PIOTR!G51+KRZYSZTOF!G51+'PIOTR L'!G51</f>
        <v>1</v>
      </c>
      <c r="L46" s="6">
        <f>TOMEK!H51+MIRU!H25+Artur!L51+BARTEK!H51+PIOTR!H51+KRZYSZTOF!H51+'PIOTR L'!H51</f>
        <v>2</v>
      </c>
      <c r="M46" s="6"/>
      <c r="N46" s="6">
        <f>TOMEK!B51+MIRU!B25+'PIOTR L'!B51+BARTEK!B51+PIOTR!B51+KRZYSZTOF!B51+Artur!F51</f>
        <v>3</v>
      </c>
      <c r="O46" s="6">
        <f>TOMEK!C51+MIRU!C25+'PIOTR L'!C51+BARTEK!C51+PIOTR!C51+KRZYSZTOF!C51+Artur!G51</f>
        <v>6</v>
      </c>
      <c r="P46" s="6">
        <f>TOMEK!D51+MIRU!D25+'PIOTR L'!D51+BARTEK!D51+PIOTR!D51+KRZYSZTOF!D51+Artur!H51</f>
        <v>0</v>
      </c>
      <c r="Q46" s="6"/>
      <c r="R46" s="6">
        <f t="shared" si="11"/>
        <v>36</v>
      </c>
    </row>
    <row r="47" spans="1:20">
      <c r="A47" s="16" t="s">
        <v>23</v>
      </c>
      <c r="B47" s="6">
        <f>TOMEK!N52+MIRU!N26+'PIOTR L'!N52+BARTEK!N52+PIOTR!N52+KRZYSZTOF!N52+Artur!B52</f>
        <v>0</v>
      </c>
      <c r="C47" s="6">
        <f>TOMEK!O52+MIRU!O26+'PIOTR L'!O52+BARTEK!O52+PIOTR!O52+KRZYSZTOF!O52+Artur!C52</f>
        <v>1</v>
      </c>
      <c r="D47" s="6">
        <f>TOMEK!P52+MIRU!P26+'PIOTR L'!P52+BARTEK!P52+PIOTR!P52+KRZYSZTOF!P52+Artur!D52</f>
        <v>1</v>
      </c>
      <c r="E47" s="6"/>
      <c r="F47" s="6">
        <f>TOMEK!J52+MIRU!J26+'PIOTR L'!J52+BARTEK!J52+PIOTR!J52+KRZYSZTOF!J52+Artur!N52</f>
        <v>0</v>
      </c>
      <c r="G47" s="6">
        <f>TOMEK!K52+MIRU!K26+'PIOTR L'!K52+BARTEK!K52+PIOTR!K52+KRZYSZTOF!K52+Artur!O52</f>
        <v>1</v>
      </c>
      <c r="H47" s="6">
        <f>TOMEK!L52+MIRU!L26+'PIOTR L'!L52+BARTEK!L52+PIOTR!L52+KRZYSZTOF!L52+Artur!P52</f>
        <v>0</v>
      </c>
      <c r="I47" s="6"/>
      <c r="J47" s="6">
        <f>TOMEK!F52+MIRU!F26+Artur!J52+BARTEK!F52+PIOTR!F52+KRZYSZTOF!F52+'PIOTR L'!F52</f>
        <v>0</v>
      </c>
      <c r="K47" s="6">
        <f>TOMEK!G52+MIRU!G26+Artur!K52+BARTEK!G52+PIOTR!G52+KRZYSZTOF!G52+'PIOTR L'!G52</f>
        <v>0</v>
      </c>
      <c r="L47" s="6">
        <f>TOMEK!H52+MIRU!H26+Artur!L52+BARTEK!H52+PIOTR!H52+KRZYSZTOF!H52+'PIOTR L'!H52</f>
        <v>0</v>
      </c>
      <c r="M47" s="6"/>
      <c r="N47" s="6">
        <f>TOMEK!B52+MIRU!B26+'PIOTR L'!B52+BARTEK!B52+PIOTR!B52+KRZYSZTOF!B52+Artur!F52</f>
        <v>2</v>
      </c>
      <c r="O47" s="6">
        <f>TOMEK!C52+MIRU!C26+'PIOTR L'!C52+BARTEK!C52+PIOTR!C52+KRZYSZTOF!C52+Artur!G52</f>
        <v>2</v>
      </c>
      <c r="P47" s="6">
        <f>TOMEK!D52+MIRU!D26+'PIOTR L'!D52+BARTEK!D52+PIOTR!D52+KRZYSZTOF!D52+Artur!H52</f>
        <v>2</v>
      </c>
      <c r="Q47" s="6"/>
      <c r="R47" s="6">
        <f t="shared" si="11"/>
        <v>9</v>
      </c>
    </row>
    <row r="48" spans="1:20">
      <c r="A48" s="16" t="s">
        <v>29</v>
      </c>
      <c r="B48" s="6">
        <f>TOMEK!N53+MIRU!N27+'PIOTR L'!N53+BARTEK!N53+PIOTR!N53+KRZYSZTOF!N53+Artur!B53</f>
        <v>0</v>
      </c>
      <c r="C48" s="6">
        <f>TOMEK!O53+MIRU!O27+'PIOTR L'!O53+BARTEK!O53+PIOTR!O53+KRZYSZTOF!O53+Artur!C53</f>
        <v>0</v>
      </c>
      <c r="D48" s="6">
        <f>TOMEK!P53+MIRU!P27+'PIOTR L'!P53+BARTEK!P53+PIOTR!P53+KRZYSZTOF!P53+Artur!D53</f>
        <v>0</v>
      </c>
      <c r="E48" s="6"/>
      <c r="F48" s="6">
        <f>TOMEK!J53+MIRU!J27+'PIOTR L'!J53+BARTEK!J53+PIOTR!J53+KRZYSZTOF!J53+Artur!N53</f>
        <v>0</v>
      </c>
      <c r="G48" s="6">
        <f>TOMEK!K53+MIRU!K27+'PIOTR L'!K53+BARTEK!K53+PIOTR!K53+KRZYSZTOF!K53+Artur!O53</f>
        <v>0</v>
      </c>
      <c r="H48" s="6">
        <f>TOMEK!L53+MIRU!L27+'PIOTR L'!L53+BARTEK!L53+PIOTR!L53+KRZYSZTOF!L53+Artur!P53</f>
        <v>0</v>
      </c>
      <c r="I48" s="6"/>
      <c r="J48" s="6">
        <f>TOMEK!F53+MIRU!F27+Artur!J53+BARTEK!F53+PIOTR!F53+KRZYSZTOF!F53+'PIOTR L'!F53</f>
        <v>0</v>
      </c>
      <c r="K48" s="6">
        <f>TOMEK!G53+MIRU!G27+Artur!K53+BARTEK!G53+PIOTR!G53+KRZYSZTOF!G53+'PIOTR L'!G53</f>
        <v>0</v>
      </c>
      <c r="L48" s="6">
        <f>TOMEK!H53+MIRU!H27+Artur!L53+BARTEK!H53+PIOTR!H53+KRZYSZTOF!H53+'PIOTR L'!H53</f>
        <v>0</v>
      </c>
      <c r="M48" s="6"/>
      <c r="N48" s="6">
        <f>TOMEK!B53+MIRU!B27+'PIOTR L'!B53+BARTEK!B53+PIOTR!B53+KRZYSZTOF!B53+Artur!F53</f>
        <v>0</v>
      </c>
      <c r="O48" s="6">
        <f>TOMEK!C53+MIRU!C27+'PIOTR L'!C53+BARTEK!C53+PIOTR!C53+KRZYSZTOF!C53+Artur!G53</f>
        <v>0</v>
      </c>
      <c r="P48" s="6">
        <f>TOMEK!D53+MIRU!D27+'PIOTR L'!D53+BARTEK!D53+PIOTR!D53+KRZYSZTOF!D53+Artur!H53</f>
        <v>0</v>
      </c>
      <c r="Q48" s="6"/>
      <c r="R48" s="6">
        <f t="shared" si="11"/>
        <v>0</v>
      </c>
    </row>
    <row r="49" spans="1:20">
      <c r="A49" s="16" t="s">
        <v>24</v>
      </c>
      <c r="B49" s="6">
        <f>TOMEK!N54+MIRU!N28+'PIOTR L'!N54+BARTEK!N54+PIOTR!N54+KRZYSZTOF!N54+Artur!B54</f>
        <v>3</v>
      </c>
      <c r="C49" s="6">
        <f>TOMEK!O54+MIRU!O28+'PIOTR L'!O54+BARTEK!O54+PIOTR!O54+KRZYSZTOF!O54+Artur!C54</f>
        <v>0</v>
      </c>
      <c r="D49" s="6">
        <f>TOMEK!P54+MIRU!P28+'PIOTR L'!P54+BARTEK!P54+PIOTR!P54+KRZYSZTOF!P54+Artur!D54</f>
        <v>1</v>
      </c>
      <c r="E49" s="6"/>
      <c r="F49" s="6">
        <f>TOMEK!J54+MIRU!J28+'PIOTR L'!J54+BARTEK!J54+PIOTR!J54+KRZYSZTOF!J54+Artur!N54</f>
        <v>1</v>
      </c>
      <c r="G49" s="6">
        <f>TOMEK!K54+MIRU!K28+'PIOTR L'!K54+BARTEK!K54+PIOTR!K54+KRZYSZTOF!K54+Artur!O54</f>
        <v>1</v>
      </c>
      <c r="H49" s="6">
        <f>TOMEK!L54+MIRU!L28+'PIOTR L'!L54+BARTEK!L54+PIOTR!L54+KRZYSZTOF!L54+Artur!P54</f>
        <v>0</v>
      </c>
      <c r="I49" s="6"/>
      <c r="J49" s="6">
        <f>TOMEK!F54+MIRU!F28+Artur!J54+BARTEK!F54+PIOTR!F54+KRZYSZTOF!F54+'PIOTR L'!F54</f>
        <v>1</v>
      </c>
      <c r="K49" s="6">
        <f>TOMEK!G54+MIRU!G28+Artur!K54+BARTEK!G54+PIOTR!G54+KRZYSZTOF!G54+'PIOTR L'!G54</f>
        <v>1</v>
      </c>
      <c r="L49" s="6">
        <f>TOMEK!H54+MIRU!H28+Artur!L54+BARTEK!H54+PIOTR!H54+KRZYSZTOF!H54+'PIOTR L'!H54</f>
        <v>0</v>
      </c>
      <c r="M49" s="6"/>
      <c r="N49" s="6">
        <f>TOMEK!B54+MIRU!B28+'PIOTR L'!B54+BARTEK!B54+PIOTR!B54+KRZYSZTOF!B54+Artur!F54</f>
        <v>2</v>
      </c>
      <c r="O49" s="6">
        <f>TOMEK!C54+MIRU!C28+'PIOTR L'!C54+BARTEK!C54+PIOTR!C54+KRZYSZTOF!C54+Artur!G54</f>
        <v>1</v>
      </c>
      <c r="P49" s="6">
        <f>TOMEK!D54+MIRU!D28+'PIOTR L'!D54+BARTEK!D54+PIOTR!D54+KRZYSZTOF!D54+Artur!H54</f>
        <v>4</v>
      </c>
      <c r="Q49" s="6"/>
      <c r="R49" s="6">
        <f>SUM(B49:P49)</f>
        <v>15</v>
      </c>
    </row>
    <row r="50" spans="1:20">
      <c r="A50" s="16" t="s">
        <v>28</v>
      </c>
      <c r="B50" s="6">
        <f>TOMEK!N55+MIRU!N29+'PIOTR L'!N55+BARTEK!N55+PIOTR!N55+KRZYSZTOF!N55+Artur!B55</f>
        <v>0</v>
      </c>
      <c r="C50" s="6">
        <f>TOMEK!O55+MIRU!O29+'PIOTR L'!O55+BARTEK!O55+PIOTR!O55+KRZYSZTOF!O55+Artur!C55</f>
        <v>0</v>
      </c>
      <c r="D50" s="6">
        <f>TOMEK!P55+MIRU!P29+'PIOTR L'!P55+BARTEK!P55+PIOTR!P55+KRZYSZTOF!P55+Artur!D55</f>
        <v>0</v>
      </c>
      <c r="E50" s="6"/>
      <c r="F50" s="6">
        <f>TOMEK!J55+MIRU!J29+'PIOTR L'!J55+BARTEK!J55+PIOTR!J55+KRZYSZTOF!J55+Artur!N55</f>
        <v>0</v>
      </c>
      <c r="G50" s="6">
        <f>TOMEK!K55+MIRU!K29+'PIOTR L'!K55+BARTEK!K55+PIOTR!K55+KRZYSZTOF!K55+Artur!O55</f>
        <v>0</v>
      </c>
      <c r="H50" s="6">
        <f>TOMEK!L55+MIRU!L29+'PIOTR L'!L55+BARTEK!L55+PIOTR!L55+KRZYSZTOF!L55+Artur!P55</f>
        <v>0</v>
      </c>
      <c r="I50" s="6"/>
      <c r="J50" s="6">
        <f>TOMEK!F55+MIRU!F29+Artur!J55+BARTEK!F55+PIOTR!F55+KRZYSZTOF!F55+'PIOTR L'!F55</f>
        <v>0</v>
      </c>
      <c r="K50" s="6">
        <f>TOMEK!G55+MIRU!G29+Artur!K55+BARTEK!G55+PIOTR!G55+KRZYSZTOF!G55+'PIOTR L'!G55</f>
        <v>0</v>
      </c>
      <c r="L50" s="6">
        <f>TOMEK!H55+MIRU!H29+Artur!L55+BARTEK!H55+PIOTR!H55+KRZYSZTOF!H55+'PIOTR L'!H55</f>
        <v>0</v>
      </c>
      <c r="M50" s="6"/>
      <c r="N50" s="6">
        <f>TOMEK!B55+MIRU!B29+'PIOTR L'!B55+BARTEK!B55+PIOTR!B55+KRZYSZTOF!B55+Artur!F55</f>
        <v>0</v>
      </c>
      <c r="O50" s="6">
        <f>TOMEK!C55+MIRU!C29+'PIOTR L'!C55+BARTEK!C55+PIOTR!C55+KRZYSZTOF!C55+Artur!G55</f>
        <v>0</v>
      </c>
      <c r="P50" s="6">
        <f>TOMEK!D55+MIRU!D29+'PIOTR L'!D55+BARTEK!D55+PIOTR!D55+KRZYSZTOF!D55+Artur!H55</f>
        <v>0</v>
      </c>
      <c r="Q50" s="6"/>
      <c r="R50" s="6">
        <f t="shared" si="11"/>
        <v>0</v>
      </c>
    </row>
    <row r="51" spans="1:20">
      <c r="A51" s="16" t="s">
        <v>200</v>
      </c>
      <c r="B51" s="6">
        <f>TOMEK!N56+MIRU!N30+'PIOTR L'!N56+BARTEK!N56+PIOTR!N56+KRZYSZTOF!N56+Artur!B56</f>
        <v>2</v>
      </c>
      <c r="C51" s="6">
        <f>TOMEK!O56+MIRU!O30+'PIOTR L'!O56+BARTEK!O56+PIOTR!O56+KRZYSZTOF!O56+Artur!C56</f>
        <v>2</v>
      </c>
      <c r="D51" s="6">
        <f>TOMEK!P56+MIRU!P30+'PIOTR L'!P56+BARTEK!P56+PIOTR!P56+KRZYSZTOF!P56+Artur!D56</f>
        <v>1</v>
      </c>
      <c r="E51" s="6"/>
      <c r="F51" s="6">
        <f>TOMEK!J56+MIRU!J30+'PIOTR L'!J56+BARTEK!J56+PIOTR!J56+KRZYSZTOF!J56+Artur!N56</f>
        <v>2</v>
      </c>
      <c r="G51" s="6">
        <f>TOMEK!K56+MIRU!K30+'PIOTR L'!K56+BARTEK!K56+PIOTR!K56+KRZYSZTOF!K56+Artur!O56</f>
        <v>2</v>
      </c>
      <c r="H51" s="6">
        <f>TOMEK!L56+MIRU!L30+'PIOTR L'!L56+BARTEK!L56+PIOTR!L56+KRZYSZTOF!L56+Artur!P56</f>
        <v>1</v>
      </c>
      <c r="I51" s="6"/>
      <c r="J51" s="6">
        <f>TOMEK!F56+MIRU!F30+Artur!J56+BARTEK!F56+PIOTR!F56+KRZYSZTOF!F56+'PIOTR L'!F56</f>
        <v>2</v>
      </c>
      <c r="K51" s="6">
        <f>TOMEK!G56+MIRU!G30+Artur!K56+BARTEK!G56+PIOTR!G56+KRZYSZTOF!G56+'PIOTR L'!G56</f>
        <v>0</v>
      </c>
      <c r="L51" s="6">
        <f>TOMEK!H56+MIRU!H30+Artur!L56+BARTEK!H56+PIOTR!H56+KRZYSZTOF!H56+'PIOTR L'!H56</f>
        <v>0</v>
      </c>
      <c r="M51" s="6"/>
      <c r="N51" s="6">
        <f>TOMEK!B56+MIRU!B30+'PIOTR L'!B56+BARTEK!B56+PIOTR!B56+KRZYSZTOF!B56+Artur!F56</f>
        <v>0</v>
      </c>
      <c r="O51" s="6">
        <f>TOMEK!C56+MIRU!C30+'PIOTR L'!C56+BARTEK!C56+PIOTR!C56+KRZYSZTOF!C56+Artur!G56</f>
        <v>1</v>
      </c>
      <c r="P51" s="6">
        <f>TOMEK!D56+MIRU!D30+'PIOTR L'!D56+BARTEK!D56+PIOTR!D56+KRZYSZTOF!D56+Artur!H56</f>
        <v>0</v>
      </c>
      <c r="Q51" s="6"/>
      <c r="R51" s="6">
        <f t="shared" ref="R51" si="12">SUM(B51:P51)</f>
        <v>13</v>
      </c>
    </row>
    <row r="52" spans="1:20">
      <c r="A52" s="16" t="s">
        <v>221</v>
      </c>
      <c r="B52" s="6">
        <f>TOMEK!N57+MIRU!N31+'PIOTR L'!N57+BARTEK!N57+PIOTR!N57+KRZYSZTOF!N57+Artur!B57</f>
        <v>0</v>
      </c>
      <c r="C52" s="6">
        <f>TOMEK!O57+MIRU!O31+'PIOTR L'!O57+BARTEK!O57+PIOTR!O57+KRZYSZTOF!O57+Artur!C57</f>
        <v>0</v>
      </c>
      <c r="D52" s="6">
        <f>TOMEK!P57+MIRU!P31+'PIOTR L'!P57+BARTEK!P57+PIOTR!P57+KRZYSZTOF!P57+Artur!D57</f>
        <v>2</v>
      </c>
      <c r="E52" s="6"/>
      <c r="F52" s="6">
        <f>TOMEK!J57+MIRU!J31+'PIOTR L'!J57+BARTEK!J57+PIOTR!J57+KRZYSZTOF!J57+Artur!N57</f>
        <v>6</v>
      </c>
      <c r="G52" s="6">
        <f>TOMEK!K57+MIRU!K31+'PIOTR L'!K57+BARTEK!K57+PIOTR!K57+KRZYSZTOF!K57+Artur!O57</f>
        <v>1</v>
      </c>
      <c r="H52" s="6">
        <f>TOMEK!L57+MIRU!L31+'PIOTR L'!L57+BARTEK!L57+PIOTR!L57+KRZYSZTOF!L57+Artur!P57</f>
        <v>3</v>
      </c>
      <c r="I52" s="6"/>
      <c r="J52" s="6">
        <f>TOMEK!F57+MIRU!F31+Artur!J57+BARTEK!F57+PIOTR!F57+KRZYSZTOF!F57+'PIOTR L'!F57</f>
        <v>0</v>
      </c>
      <c r="K52" s="6">
        <f>TOMEK!G57+MIRU!G31+Artur!K57+BARTEK!G57+PIOTR!G57+KRZYSZTOF!G57+'PIOTR L'!G57</f>
        <v>0</v>
      </c>
      <c r="L52" s="6">
        <f>TOMEK!H57+MIRU!H31+Artur!L57+BARTEK!H57+PIOTR!H57+KRZYSZTOF!H57+'PIOTR L'!H57</f>
        <v>0</v>
      </c>
      <c r="M52" s="6"/>
      <c r="N52" s="6">
        <f>TOMEK!B57+MIRU!B31+'PIOTR L'!B57+BARTEK!B57+PIOTR!B57+KRZYSZTOF!B57+Artur!F57</f>
        <v>0</v>
      </c>
      <c r="O52" s="6">
        <f>TOMEK!C57+MIRU!C31+'PIOTR L'!C57+BARTEK!C57+PIOTR!C57+KRZYSZTOF!C57+Artur!G57</f>
        <v>0</v>
      </c>
      <c r="P52" s="6">
        <f>TOMEK!D57+MIRU!D31+'PIOTR L'!D57+BARTEK!D57+PIOTR!D57+KRZYSZTOF!D57+Artur!H57</f>
        <v>2</v>
      </c>
      <c r="Q52" s="6"/>
      <c r="R52" s="6">
        <f t="shared" ref="R52" si="13">SUM(B52:P52)</f>
        <v>14</v>
      </c>
    </row>
    <row r="53" spans="1:20">
      <c r="A53" s="16" t="s">
        <v>25</v>
      </c>
      <c r="B53" s="6">
        <f>TOMEK!N58+MIRU!N32+'PIOTR L'!N58+BARTEK!N58+PIOTR!N58+KRZYSZTOF!N58+Artur!B58</f>
        <v>0</v>
      </c>
      <c r="C53" s="6">
        <f>TOMEK!O58+MIRU!O32+'PIOTR L'!O58+BARTEK!O58+PIOTR!O58+KRZYSZTOF!O58+Artur!C58</f>
        <v>0</v>
      </c>
      <c r="D53" s="6">
        <f>TOMEK!P58+MIRU!P32+'PIOTR L'!P58+BARTEK!P58+PIOTR!P58+KRZYSZTOF!P58+Artur!D58</f>
        <v>0</v>
      </c>
      <c r="E53" s="6"/>
      <c r="F53" s="6">
        <f>TOMEK!J58+MIRU!J32+'PIOTR L'!J58+BARTEK!J58+PIOTR!J58+KRZYSZTOF!J58+Artur!N58</f>
        <v>0</v>
      </c>
      <c r="G53" s="6">
        <f>TOMEK!K58+MIRU!K32+'PIOTR L'!K58+BARTEK!K58+PIOTR!K58+KRZYSZTOF!K58+Artur!O58</f>
        <v>0</v>
      </c>
      <c r="H53" s="6">
        <f>TOMEK!L58+MIRU!L32+'PIOTR L'!L58+BARTEK!L58+PIOTR!L58+KRZYSZTOF!L58+Artur!P58</f>
        <v>0</v>
      </c>
      <c r="I53" s="6"/>
      <c r="J53" s="6">
        <f>TOMEK!F58+MIRU!F32+Artur!J58+BARTEK!F58+PIOTR!F58+KRZYSZTOF!F58+'PIOTR L'!F58</f>
        <v>0</v>
      </c>
      <c r="K53" s="6">
        <f>TOMEK!G58+MIRU!G32+Artur!K58+BARTEK!G58+PIOTR!G58+KRZYSZTOF!G58+'PIOTR L'!G58</f>
        <v>0</v>
      </c>
      <c r="L53" s="6">
        <f>TOMEK!H58+MIRU!H32+Artur!L58+BARTEK!H58+PIOTR!H58+KRZYSZTOF!H58+'PIOTR L'!H58</f>
        <v>0</v>
      </c>
      <c r="M53" s="6"/>
      <c r="N53" s="6">
        <f>TOMEK!B58+MIRU!B32+'PIOTR L'!B58+BARTEK!B58+PIOTR!B58+KRZYSZTOF!B58+Artur!F58</f>
        <v>0</v>
      </c>
      <c r="O53" s="6">
        <f>TOMEK!C58+MIRU!C32+'PIOTR L'!C58+BARTEK!C58+PIOTR!C58+KRZYSZTOF!C58+Artur!G58</f>
        <v>0</v>
      </c>
      <c r="P53" s="6">
        <f>TOMEK!D58+MIRU!D32+'PIOTR L'!D58+BARTEK!D58+PIOTR!D58+KRZYSZTOF!D58+Artur!H58</f>
        <v>0</v>
      </c>
      <c r="Q53" s="6"/>
      <c r="R53" s="6">
        <f t="shared" si="11"/>
        <v>0</v>
      </c>
    </row>
    <row r="54" spans="1:20">
      <c r="A54" s="16" t="s">
        <v>82</v>
      </c>
      <c r="B54" s="6">
        <f>TOMEK!N59+MIRU!N33+'PIOTR L'!N59+BARTEK!N59+PIOTR!N59+KRZYSZTOF!N59+Artur!B59</f>
        <v>0</v>
      </c>
      <c r="C54" s="6">
        <f>TOMEK!O59+MIRU!O33+'PIOTR L'!O59+BARTEK!O59+PIOTR!O59+KRZYSZTOF!O59+Artur!C59</f>
        <v>0</v>
      </c>
      <c r="D54" s="6">
        <f>TOMEK!P59+MIRU!P33+'PIOTR L'!P59+BARTEK!P59+PIOTR!P59+KRZYSZTOF!P59+Artur!D59</f>
        <v>0</v>
      </c>
      <c r="E54" s="6"/>
      <c r="F54" s="6">
        <f>TOMEK!J59+MIRU!J33+'PIOTR L'!J59+BARTEK!J59+PIOTR!J59+KRZYSZTOF!J59+Artur!N59</f>
        <v>0</v>
      </c>
      <c r="G54" s="6">
        <f>TOMEK!K59+MIRU!K33+'PIOTR L'!K59+BARTEK!K59+PIOTR!K59+KRZYSZTOF!K59+Artur!O59</f>
        <v>0</v>
      </c>
      <c r="H54" s="6">
        <f>TOMEK!L59+MIRU!L33+'PIOTR L'!L59+BARTEK!L59+PIOTR!L59+KRZYSZTOF!L59+Artur!P59</f>
        <v>2</v>
      </c>
      <c r="I54" s="6"/>
      <c r="J54" s="6">
        <f>TOMEK!F59+MIRU!F33+Artur!J59+BARTEK!F59+PIOTR!F59+KRZYSZTOF!F59+'PIOTR L'!F59</f>
        <v>1</v>
      </c>
      <c r="K54" s="6">
        <f>TOMEK!G59+MIRU!G33+Artur!K59+BARTEK!G59+PIOTR!G59+KRZYSZTOF!G59+'PIOTR L'!G59</f>
        <v>0</v>
      </c>
      <c r="L54" s="6">
        <f>TOMEK!H59+MIRU!H33+Artur!L59+BARTEK!H59+PIOTR!H59+KRZYSZTOF!H59+'PIOTR L'!H59</f>
        <v>0</v>
      </c>
      <c r="M54" s="6"/>
      <c r="N54" s="6">
        <f>TOMEK!B59+MIRU!B33+'PIOTR L'!B59+BARTEK!B59+PIOTR!B59+KRZYSZTOF!B59+Artur!F59</f>
        <v>0</v>
      </c>
      <c r="O54" s="6">
        <f>TOMEK!C59+MIRU!C33+'PIOTR L'!C59+BARTEK!C59+PIOTR!C59+KRZYSZTOF!C59+Artur!G59</f>
        <v>3</v>
      </c>
      <c r="P54" s="6">
        <f>TOMEK!D59+MIRU!D33+'PIOTR L'!D59+BARTEK!D59+PIOTR!D59+KRZYSZTOF!D59+Artur!H59</f>
        <v>0</v>
      </c>
      <c r="Q54" s="6"/>
      <c r="R54" s="6">
        <f t="shared" si="11"/>
        <v>6</v>
      </c>
    </row>
    <row r="55" spans="1:20">
      <c r="A55" s="16" t="s">
        <v>35</v>
      </c>
      <c r="B55" s="6">
        <f>TOMEK!N60+MIRU!N34+'PIOTR L'!N60+BARTEK!N60+PIOTR!N60+KRZYSZTOF!N60+Artur!B60</f>
        <v>0</v>
      </c>
      <c r="C55" s="6">
        <f>TOMEK!O60+MIRU!O34+'PIOTR L'!O60+BARTEK!O60+PIOTR!O60+KRZYSZTOF!O60+Artur!C60</f>
        <v>1</v>
      </c>
      <c r="D55" s="6">
        <f>TOMEK!P60+MIRU!P34+'PIOTR L'!P60+BARTEK!P60+PIOTR!P60+KRZYSZTOF!P60+Artur!D60</f>
        <v>4</v>
      </c>
      <c r="E55" s="6"/>
      <c r="F55" s="6">
        <f>TOMEK!J60+MIRU!J34+'PIOTR L'!J60+BARTEK!J60+PIOTR!J60+KRZYSZTOF!J60+Artur!N60</f>
        <v>1</v>
      </c>
      <c r="G55" s="6">
        <f>TOMEK!K60+MIRU!K34+'PIOTR L'!K60+BARTEK!K60+PIOTR!K60+KRZYSZTOF!K60+Artur!O60</f>
        <v>0</v>
      </c>
      <c r="H55" s="6">
        <f>TOMEK!L60+MIRU!L34+'PIOTR L'!L60+BARTEK!L60+PIOTR!L60+KRZYSZTOF!L60+Artur!P60</f>
        <v>0</v>
      </c>
      <c r="I55" s="6"/>
      <c r="J55" s="6">
        <f>TOMEK!F60+MIRU!F34+Artur!J60+BARTEK!F60+PIOTR!F60+KRZYSZTOF!F60+'PIOTR L'!F60</f>
        <v>0</v>
      </c>
      <c r="K55" s="6">
        <f>TOMEK!G60+MIRU!G34+Artur!K60+BARTEK!G60+PIOTR!G60+KRZYSZTOF!G60+'PIOTR L'!G60</f>
        <v>1</v>
      </c>
      <c r="L55" s="6">
        <f>TOMEK!H60+MIRU!H34+Artur!L60+BARTEK!H60+PIOTR!H60+KRZYSZTOF!H60+'PIOTR L'!H60</f>
        <v>1</v>
      </c>
      <c r="M55" s="6"/>
      <c r="N55" s="6">
        <f>TOMEK!B60+MIRU!B34+'PIOTR L'!B60+BARTEK!B60+PIOTR!B60+KRZYSZTOF!B60+Artur!F60</f>
        <v>0</v>
      </c>
      <c r="O55" s="6">
        <f>TOMEK!C60+MIRU!C34+'PIOTR L'!C60+BARTEK!C60+PIOTR!C60+KRZYSZTOF!C60+Artur!G60</f>
        <v>0</v>
      </c>
      <c r="P55" s="6">
        <f>TOMEK!D60+MIRU!D34+'PIOTR L'!D60+BARTEK!D60+PIOTR!D60+KRZYSZTOF!D60+Artur!H60</f>
        <v>0</v>
      </c>
      <c r="Q55" s="6"/>
      <c r="R55" s="6">
        <f t="shared" si="11"/>
        <v>8</v>
      </c>
    </row>
    <row r="56" spans="1:20">
      <c r="A56" s="16" t="s">
        <v>26</v>
      </c>
      <c r="B56" s="6">
        <f>SUM(B43:B55)</f>
        <v>15</v>
      </c>
      <c r="C56" s="6">
        <f>SUM(C43:C55)</f>
        <v>7</v>
      </c>
      <c r="D56" s="6">
        <f>SUM(D43:D55)</f>
        <v>15</v>
      </c>
      <c r="E56" s="6"/>
      <c r="F56" s="6">
        <f>SUM(F43:F55)</f>
        <v>13</v>
      </c>
      <c r="G56" s="6">
        <f>TOMEK!K61+MIRU!K35+'PIOTR L'!K61+BARTEK!K61+PIOTR!K61+KRZYSZTOF!K61+Artur!O61</f>
        <v>18</v>
      </c>
      <c r="H56" s="6">
        <f>TOMEK!L61+MIRU!L35+'PIOTR L'!L61+BARTEK!L61+PIOTR!L61+KRZYSZTOF!L61+Artur!P61</f>
        <v>18</v>
      </c>
      <c r="I56" s="6"/>
      <c r="J56" s="6">
        <f>SUM(J43:J55)</f>
        <v>9</v>
      </c>
      <c r="K56" s="6">
        <f>SUM(K43:K55)</f>
        <v>7</v>
      </c>
      <c r="L56" s="6">
        <f>SUM(L43:L55)</f>
        <v>14</v>
      </c>
      <c r="M56" s="6"/>
      <c r="N56" s="6">
        <f>TOMEK!B61+MIRU!B35+'PIOTR L'!B61+BARTEK!B61+PIOTR!B61+KRZYSZTOF!B61+Artur!F61</f>
        <v>11</v>
      </c>
      <c r="O56" s="6">
        <f>TOMEK!C61+MIRU!C35+'PIOTR L'!C61+BARTEK!C61+PIOTR!C61+KRZYSZTOF!C61+Artur!G61</f>
        <v>16</v>
      </c>
      <c r="P56" s="6">
        <f>TOMEK!D61+MIRU!D35+'PIOTR L'!D61+BARTEK!D61+PIOTR!D61+KRZYSZTOF!D61+Artur!H61</f>
        <v>11</v>
      </c>
      <c r="Q56" s="6"/>
      <c r="R56" s="6">
        <f>SUM(R43:R55)</f>
        <v>154</v>
      </c>
      <c r="T56" s="205"/>
    </row>
    <row r="57" spans="1:20" ht="13.5" thickBot="1">
      <c r="D57" s="12">
        <f>SUM(B56:D56)</f>
        <v>37</v>
      </c>
      <c r="H57" s="12">
        <f>SUM(F56:H56)</f>
        <v>49</v>
      </c>
      <c r="L57" s="12">
        <f>SUM(J56:L56)</f>
        <v>30</v>
      </c>
      <c r="N57" s="460"/>
      <c r="O57" s="460"/>
      <c r="P57" s="460">
        <f>SUM(N56:P56)</f>
        <v>38</v>
      </c>
      <c r="Q57" s="12">
        <f>SUM(D57:P57)</f>
        <v>154</v>
      </c>
    </row>
    <row r="58" spans="1:20" ht="13.5" thickBot="1">
      <c r="A58" s="177" t="s">
        <v>109</v>
      </c>
      <c r="B58" s="178" t="s">
        <v>1</v>
      </c>
      <c r="C58" s="178" t="s">
        <v>2</v>
      </c>
      <c r="D58" s="178" t="s">
        <v>3</v>
      </c>
      <c r="E58" s="178" t="s">
        <v>175</v>
      </c>
      <c r="F58" s="178" t="s">
        <v>4</v>
      </c>
      <c r="G58" s="178" t="s">
        <v>5</v>
      </c>
      <c r="H58" s="178" t="s">
        <v>6</v>
      </c>
      <c r="I58" s="178"/>
      <c r="J58" s="178" t="s">
        <v>7</v>
      </c>
      <c r="K58" s="178" t="s">
        <v>8</v>
      </c>
      <c r="L58" s="178" t="s">
        <v>9</v>
      </c>
      <c r="M58" s="178"/>
      <c r="N58" s="178" t="s">
        <v>110</v>
      </c>
      <c r="O58" s="178" t="s">
        <v>11</v>
      </c>
      <c r="P58" s="188" t="s">
        <v>12</v>
      </c>
      <c r="Q58" s="188"/>
      <c r="R58" s="167" t="s">
        <v>111</v>
      </c>
    </row>
    <row r="59" spans="1:20" ht="13.5" thickTop="1">
      <c r="A59" s="179" t="s">
        <v>112</v>
      </c>
      <c r="B59" s="189">
        <f>TOMEK!N64+MIRU!N38+'PIOTR L'!N64+BARTEK!N64+PIOTR!N64+KRZYSZTOF!N64+Artur!B64</f>
        <v>8</v>
      </c>
      <c r="C59" s="189">
        <f>TOMEK!O64+MIRU!O38+'PIOTR L'!O64+BARTEK!O64+PIOTR!O64+KRZYSZTOF!O64+Artur!C64</f>
        <v>7</v>
      </c>
      <c r="D59" s="189">
        <f>TOMEK!P64+MIRU!P38+'PIOTR L'!P64+BARTEK!P64+PIOTR!P64+KRZYSZTOF!P64+Artur!D64</f>
        <v>12</v>
      </c>
      <c r="E59" s="189"/>
      <c r="F59" s="189">
        <f>TOMEK!J64+MIRU!J38+'PIOTR L'!J64+BARTEK!J64+PIOTR!J64+KRZYSZTOF!J64+Artur!N64</f>
        <v>3</v>
      </c>
      <c r="G59" s="189">
        <f>TOMEK!K64+MIRU!K38+'PIOTR L'!K64+BARTEK!K64+PIOTR!K64+KRZYSZTOF!K64+Artur!O64</f>
        <v>7</v>
      </c>
      <c r="H59" s="189">
        <f>TOMEK!L64+MIRU!L38+'PIOTR L'!L64+BARTEK!L64+PIOTR!L64+KRZYSZTOF!L64+Artur!P64</f>
        <v>6</v>
      </c>
      <c r="I59" s="189"/>
      <c r="J59" s="189">
        <f>TOMEK!F64+MIRU!F38+'PIOTR L'!F64+BARTEK!F64+PIOTR!F64+KRZYSZTOF!F64+Artur!J64</f>
        <v>8</v>
      </c>
      <c r="K59" s="189">
        <f>TOMEK!G64+MIRU!G38+'PIOTR L'!G64+BARTEK!G64+PIOTR!G64+KRZYSZTOF!G64+Artur!K64</f>
        <v>3</v>
      </c>
      <c r="L59" s="189">
        <f>TOMEK!H64+MIRU!H38+'PIOTR L'!H64+BARTEK!H64+PIOTR!H64+KRZYSZTOF!H64+Artur!L64</f>
        <v>11</v>
      </c>
      <c r="M59" s="189"/>
      <c r="N59" s="189">
        <f>TOMEK!B64+MIRU!B38+'PIOTR L'!B64+BARTEK!B64+PIOTR!B64+KRZYSZTOF!B64+Artur!F64</f>
        <v>13</v>
      </c>
      <c r="O59" s="189">
        <f>TOMEK!C64+MIRU!C38+'PIOTR L'!C64+BARTEK!C64+PIOTR!C64+KRZYSZTOF!C64+Artur!G64</f>
        <v>14</v>
      </c>
      <c r="P59" s="189">
        <f>TOMEK!D64+MIRU!D38+'PIOTR L'!D64+BARTEK!D64+PIOTR!D64+KRZYSZTOF!D64+Artur!H64</f>
        <v>8</v>
      </c>
      <c r="Q59" s="195"/>
      <c r="R59" s="186">
        <f>SUM(B59:P59)</f>
        <v>100</v>
      </c>
      <c r="T59" s="69"/>
    </row>
    <row r="60" spans="1:20">
      <c r="A60" s="180" t="s">
        <v>113</v>
      </c>
      <c r="B60" s="189">
        <f>TOMEK!N65+MIRU!N39+'PIOTR L'!N65+BARTEK!N65+PIOTR!N65+KRZYSZTOF!N65+Artur!B65</f>
        <v>1</v>
      </c>
      <c r="C60" s="189">
        <f>TOMEK!O65+MIRU!O39+'PIOTR L'!O65+BARTEK!O65+PIOTR!O65+KRZYSZTOF!O65+Artur!C65</f>
        <v>4</v>
      </c>
      <c r="D60" s="189">
        <f>TOMEK!P65+MIRU!P39+'PIOTR L'!P65+BARTEK!P65+PIOTR!P65+KRZYSZTOF!P65+Artur!D65</f>
        <v>2</v>
      </c>
      <c r="E60" s="189"/>
      <c r="F60" s="189">
        <f>TOMEK!J65+MIRU!J39+'PIOTR L'!J65+BARTEK!J65+PIOTR!J65+KRZYSZTOF!J65+Artur!N65</f>
        <v>1</v>
      </c>
      <c r="G60" s="189">
        <f>TOMEK!K65+MIRU!K39+'PIOTR L'!K65+BARTEK!K65+PIOTR!K65+KRZYSZTOF!K65+Artur!O65</f>
        <v>3</v>
      </c>
      <c r="H60" s="189">
        <f>TOMEK!L65+MIRU!L39+'PIOTR L'!L65+BARTEK!L65+PIOTR!L65+KRZYSZTOF!L65+Artur!P65</f>
        <v>0</v>
      </c>
      <c r="I60" s="189"/>
      <c r="J60" s="189">
        <f>TOMEK!F65+MIRU!F39+'PIOTR L'!F65+BARTEK!F65+PIOTR!F65+KRZYSZTOF!F65+Artur!J65</f>
        <v>1</v>
      </c>
      <c r="K60" s="189">
        <f>TOMEK!G65+MIRU!G39+'PIOTR L'!G65+BARTEK!G65+PIOTR!G65+KRZYSZTOF!G65+Artur!K65</f>
        <v>0</v>
      </c>
      <c r="L60" s="189">
        <f>TOMEK!H65+MIRU!H39+'PIOTR L'!H65+BARTEK!H65+PIOTR!H65+KRZYSZTOF!H65+Artur!L65</f>
        <v>1</v>
      </c>
      <c r="M60" s="189"/>
      <c r="N60" s="189">
        <f>TOMEK!B65+MIRU!B39+'PIOTR L'!B65+BARTEK!B65+PIOTR!B65+KRZYSZTOF!B65+Artur!F65</f>
        <v>2</v>
      </c>
      <c r="O60" s="189">
        <f>TOMEK!C65+MIRU!C39+'PIOTR L'!C65+BARTEK!C65+PIOTR!C65+KRZYSZTOF!C65+Artur!G65</f>
        <v>0</v>
      </c>
      <c r="P60" s="189">
        <f>TOMEK!D65+MIRU!D39+'PIOTR L'!D65+BARTEK!D65+PIOTR!D65+KRZYSZTOF!D65+Artur!H65</f>
        <v>1</v>
      </c>
      <c r="Q60" s="195"/>
      <c r="R60" s="186">
        <f>SUM(B60:P60)</f>
        <v>16</v>
      </c>
      <c r="T60" s="69"/>
    </row>
    <row r="61" spans="1:20">
      <c r="A61" s="180" t="s">
        <v>114</v>
      </c>
      <c r="B61" s="189">
        <f>TOMEK!N66+MIRU!N40+'PIOTR L'!N66+BARTEK!N66+PIOTR!N66+KRZYSZTOF!N66+Artur!B66</f>
        <v>880</v>
      </c>
      <c r="C61" s="189">
        <f>TOMEK!O66+MIRU!O40+'PIOTR L'!O66+BARTEK!O66+PIOTR!O66+KRZYSZTOF!O66+Artur!C66</f>
        <v>940</v>
      </c>
      <c r="D61" s="189">
        <f>TOMEK!P66+MIRU!P40+'PIOTR L'!P66+BARTEK!P66+PIOTR!P66+KRZYSZTOF!P66+Artur!D66</f>
        <v>966</v>
      </c>
      <c r="E61" s="189"/>
      <c r="F61" s="189">
        <f>TOMEK!J66+MIRU!J40+'PIOTR L'!J66+BARTEK!J66+PIOTR!J66+KRZYSZTOF!J66+Artur!N66</f>
        <v>995</v>
      </c>
      <c r="G61" s="189">
        <f>TOMEK!K66+MIRU!K40+'PIOTR L'!K66+BARTEK!K66+PIOTR!K66+KRZYSZTOF!K66+Artur!O66</f>
        <v>1018</v>
      </c>
      <c r="H61" s="189">
        <f>TOMEK!L66+MIRU!L40+'PIOTR L'!L66+BARTEK!L66+PIOTR!L66+KRZYSZTOF!L66+Artur!P66</f>
        <v>1033</v>
      </c>
      <c r="I61" s="189"/>
      <c r="J61" s="189">
        <f>TOMEK!F66+MIRU!F40+'PIOTR L'!F66+BARTEK!F66+PIOTR!F66+KRZYSZTOF!F66+Artur!J66</f>
        <v>1056</v>
      </c>
      <c r="K61" s="189">
        <f>TOMEK!G66+MIRU!G40+'PIOTR L'!G66+BARTEK!G66+PIOTR!G66+KRZYSZTOF!G66+Artur!K66</f>
        <v>1069</v>
      </c>
      <c r="L61" s="189">
        <f>TOMEK!H66+MIRU!H40+'PIOTR L'!H66+BARTEK!H66+PIOTR!H66+KRZYSZTOF!H66+Artur!L66</f>
        <v>1089</v>
      </c>
      <c r="M61" s="189"/>
      <c r="N61" s="189">
        <f>TOMEK!B66+MIRU!B40+'PIOTR L'!B66+BARTEK!B66+PIOTR!B66+KRZYSZTOF!B66+Artur!F66</f>
        <v>1111</v>
      </c>
      <c r="O61" s="189">
        <f>TOMEK!C66+MIRU!C40+'PIOTR L'!C66+BARTEK!C66+PIOTR!C66+KRZYSZTOF!C66+Artur!G66</f>
        <v>1135</v>
      </c>
      <c r="P61" s="189">
        <f>TOMEK!D66+MIRU!D40+'PIOTR L'!D66+BARTEK!D66+PIOTR!D66+KRZYSZTOF!D66+Artur!H66</f>
        <v>1150</v>
      </c>
      <c r="Q61" s="193"/>
      <c r="R61" s="187"/>
      <c r="T61" s="69"/>
    </row>
    <row r="62" spans="1:20">
      <c r="A62" s="180" t="s">
        <v>115</v>
      </c>
      <c r="B62" s="189">
        <f>TOMEK!N67+MIRU!N41+'PIOTR L'!N67+BARTEK!N67+PIOTR!N67+KRZYSZTOF!N67+Artur!B67</f>
        <v>136</v>
      </c>
      <c r="C62" s="189">
        <f>TOMEK!O67+MIRU!O41+'PIOTR L'!O67+BARTEK!O67+PIOTR!O67+KRZYSZTOF!O67+Artur!C67</f>
        <v>142</v>
      </c>
      <c r="D62" s="189">
        <f>TOMEK!P67+MIRU!P41+'PIOTR L'!P67+BARTEK!P67+PIOTR!P67+KRZYSZTOF!P67+Artur!D67</f>
        <v>144</v>
      </c>
      <c r="E62" s="189"/>
      <c r="F62" s="189">
        <f>TOMEK!J67+MIRU!J41+'PIOTR L'!J67+BARTEK!J67+PIOTR!J67+KRZYSZTOF!J67+Artur!N67</f>
        <v>159</v>
      </c>
      <c r="G62" s="189">
        <f>TOMEK!K67+MIRU!K41+'PIOTR L'!K67+BARTEK!K67+PIOTR!K67+KRZYSZTOF!K67+Artur!O67</f>
        <v>155</v>
      </c>
      <c r="H62" s="189">
        <f>TOMEK!L67+MIRU!L41+'PIOTR L'!L67+BARTEK!L67+PIOTR!L67+KRZYSZTOF!L67+Artur!P67</f>
        <v>154</v>
      </c>
      <c r="I62" s="189"/>
      <c r="J62" s="189">
        <f>TOMEK!F67+MIRU!F41+'PIOTR L'!F67+BARTEK!F67+PIOTR!F67+KRZYSZTOF!F67+Artur!J67</f>
        <v>155</v>
      </c>
      <c r="K62" s="189">
        <f>TOMEK!G67+MIRU!G41+'PIOTR L'!G67+BARTEK!G67+PIOTR!G67+KRZYSZTOF!G67+Artur!K67</f>
        <v>157</v>
      </c>
      <c r="L62" s="189">
        <f>TOMEK!H67+MIRU!H41+'PIOTR L'!H67+BARTEK!H67+PIOTR!H67+KRZYSZTOF!H67+Artur!L67</f>
        <v>175</v>
      </c>
      <c r="M62" s="189"/>
      <c r="N62" s="189">
        <f>TOMEK!B67+MIRU!B41+'PIOTR L'!B67+BARTEK!B67+PIOTR!B67+KRZYSZTOF!B67+Artur!F67</f>
        <v>168</v>
      </c>
      <c r="O62" s="189">
        <f>TOMEK!C67+MIRU!C41+'PIOTR L'!C67+BARTEK!C67+PIOTR!C67+KRZYSZTOF!C67+Artur!G67</f>
        <v>172</v>
      </c>
      <c r="P62" s="189">
        <f>TOMEK!D67+MIRU!D41+'PIOTR L'!D67+BARTEK!D67+PIOTR!D67+KRZYSZTOF!D67+Artur!H67</f>
        <v>158</v>
      </c>
      <c r="Q62" s="193"/>
      <c r="R62" s="187"/>
      <c r="T62" s="69"/>
    </row>
    <row r="63" spans="1:20">
      <c r="A63" s="180" t="s">
        <v>172</v>
      </c>
      <c r="B63" s="189">
        <f>TOMEK!N68+MIRU!N42+'PIOTR L'!N68+BARTEK!N68+PIOTR!N68+KRZYSZTOF!N68+Artur!B68</f>
        <v>334</v>
      </c>
      <c r="C63" s="189">
        <f>TOMEK!O68+MIRU!O42+'PIOTR L'!O68+BARTEK!O68+PIOTR!O68+KRZYSZTOF!O68+Artur!C68</f>
        <v>330</v>
      </c>
      <c r="D63" s="189">
        <f>TOMEK!P68+MIRU!P42+'PIOTR L'!P68+BARTEK!P68+PIOTR!P68+KRZYSZTOF!P68+Artur!D68</f>
        <v>320</v>
      </c>
      <c r="E63" s="190"/>
      <c r="F63" s="189">
        <f>TOMEK!J68+MIRU!J42+'PIOTR L'!J68+BARTEK!J68+PIOTR!J68+KRZYSZTOF!J68+Artur!N68</f>
        <v>332</v>
      </c>
      <c r="G63" s="189">
        <f>TOMEK!K68+MIRU!K42+'PIOTR L'!K68+BARTEK!K68+PIOTR!K68+KRZYSZTOF!K68+Artur!O68</f>
        <v>317</v>
      </c>
      <c r="H63" s="189">
        <f>TOMEK!L68+MIRU!L42+'PIOTR L'!L68+BARTEK!L68+PIOTR!L68+KRZYSZTOF!L68+Artur!P68</f>
        <v>317</v>
      </c>
      <c r="I63" s="190"/>
      <c r="J63" s="190">
        <f t="shared" ref="J63:N63" si="14">SUM(J61:J62)</f>
        <v>1211</v>
      </c>
      <c r="K63" s="190">
        <f t="shared" ref="K63:L63" si="15">SUM(K61:K62)</f>
        <v>1226</v>
      </c>
      <c r="L63" s="190">
        <f t="shared" si="15"/>
        <v>1264</v>
      </c>
      <c r="M63" s="190"/>
      <c r="N63" s="190">
        <f t="shared" si="14"/>
        <v>1279</v>
      </c>
      <c r="O63" s="190">
        <f t="shared" ref="O63:P63" si="16">SUM(O61:O62)</f>
        <v>1307</v>
      </c>
      <c r="P63" s="190">
        <f t="shared" si="16"/>
        <v>1308</v>
      </c>
      <c r="Q63" s="249"/>
      <c r="R63" s="168"/>
      <c r="T63" s="69"/>
    </row>
    <row r="64" spans="1:20">
      <c r="A64" s="180" t="s">
        <v>116</v>
      </c>
      <c r="B64" s="189">
        <f>TOMEK!N69+MIRU!N43+'PIOTR L'!N69+BARTEK!N69+PIOTR!N69+KRZYSZTOF!N69+Artur!B69</f>
        <v>1350</v>
      </c>
      <c r="C64" s="189">
        <f>TOMEK!O69+MIRU!O43+'PIOTR L'!O69+BARTEK!O69+PIOTR!O69+KRZYSZTOF!O69+Artur!C69</f>
        <v>1412</v>
      </c>
      <c r="D64" s="189">
        <f>TOMEK!P69+MIRU!P43+'PIOTR L'!P69+BARTEK!P69+PIOTR!P69+KRZYSZTOF!P69+Artur!D69</f>
        <v>1430</v>
      </c>
      <c r="E64" s="189"/>
      <c r="F64" s="189">
        <f>TOMEK!J69+MIRU!J43+'PIOTR L'!J69+BARTEK!J69+PIOTR!J69+KRZYSZTOF!J69+Artur!N69</f>
        <v>1486</v>
      </c>
      <c r="G64" s="189">
        <f>TOMEK!K69+MIRU!K43+'PIOTR L'!K69+BARTEK!K69+PIOTR!K69+KRZYSZTOF!K69+Artur!O69</f>
        <v>1490</v>
      </c>
      <c r="H64" s="189">
        <f>TOMEK!L69+MIRU!L43+'PIOTR L'!L69+BARTEK!L69+PIOTR!L69+KRZYSZTOF!L69+Artur!P69</f>
        <v>1504</v>
      </c>
      <c r="I64" s="189"/>
      <c r="J64" s="189">
        <f>TOMEK!F69+MIRU!F43+'PIOTR L'!F69+BARTEK!F69+PIOTR!F69+KRZYSZTOF!F69+Artur!J69</f>
        <v>1517</v>
      </c>
      <c r="K64" s="189">
        <f>TOMEK!G69+MIRU!G43+'PIOTR L'!G69+BARTEK!G69+PIOTR!G69+KRZYSZTOF!G69+Artur!K69</f>
        <v>1530</v>
      </c>
      <c r="L64" s="189">
        <f>TOMEK!H69+MIRU!H43+'PIOTR L'!H69+BARTEK!H69+PIOTR!H69+KRZYSZTOF!H69+Artur!L69</f>
        <v>1566</v>
      </c>
      <c r="M64" s="189"/>
      <c r="N64" s="189">
        <f>TOMEK!B69+MIRU!B43+'PIOTR L'!B69+BARTEK!B69+PIOTR!B69+KRZYSZTOF!B69+Artur!F69</f>
        <v>1576</v>
      </c>
      <c r="O64" s="189">
        <f>TOMEK!C69+MIRU!C43+'PIOTR L'!C69+BARTEK!C69+PIOTR!C69+KRZYSZTOF!C69+Artur!G69</f>
        <v>1600</v>
      </c>
      <c r="P64" s="189">
        <f>TOMEK!D69+MIRU!D43+'PIOTR L'!D69+BARTEK!D69+PIOTR!D69+KRZYSZTOF!D69+Artur!H69</f>
        <v>1594</v>
      </c>
      <c r="Q64" s="195"/>
      <c r="R64" s="186">
        <f>SUM(B64:P64)</f>
        <v>18055</v>
      </c>
      <c r="T64" s="69"/>
    </row>
    <row r="65" spans="1:20" ht="13.5" thickBot="1">
      <c r="A65" s="182" t="s">
        <v>117</v>
      </c>
      <c r="B65" s="189">
        <f>TOMEK!N70+MIRU!N44+'PIOTR L'!N70+BARTEK!N70+PIOTR!N70+KRZYSZTOF!N70+Artur!B70</f>
        <v>15</v>
      </c>
      <c r="C65" s="189">
        <f>TOMEK!O70+MIRU!O44+'PIOTR L'!O70+BARTEK!O70+PIOTR!O70+KRZYSZTOF!O70+Artur!C70</f>
        <v>7</v>
      </c>
      <c r="D65" s="189">
        <f>TOMEK!P70+MIRU!P44+'PIOTR L'!P70+BARTEK!P70+PIOTR!P70+KRZYSZTOF!P70+Artur!D70</f>
        <v>15</v>
      </c>
      <c r="E65" s="189"/>
      <c r="F65" s="189">
        <f>TOMEK!J70+MIRU!J44+'PIOTR L'!J70+BARTEK!J70+PIOTR!J70+KRZYSZTOF!J70+Artur!N70</f>
        <v>13</v>
      </c>
      <c r="G65" s="189">
        <f>TOMEK!K70+MIRU!K44+'PIOTR L'!K70+BARTEK!K70+PIOTR!K70+KRZYSZTOF!K70+Artur!O70</f>
        <v>18</v>
      </c>
      <c r="H65" s="189">
        <f>TOMEK!L70+MIRU!L44+'PIOTR L'!L70+BARTEK!L70+PIOTR!L70+KRZYSZTOF!L70+Artur!P70</f>
        <v>18</v>
      </c>
      <c r="I65" s="189"/>
      <c r="J65" s="189">
        <f>TOMEK!F70+MIRU!F44+'PIOTR L'!F70+BARTEK!F70+PIOTR!F70+KRZYSZTOF!F70+Artur!J70</f>
        <v>9</v>
      </c>
      <c r="K65" s="189">
        <f>TOMEK!G70+MIRU!G44+'PIOTR L'!G70+BARTEK!G70+PIOTR!G70+KRZYSZTOF!G70+Artur!K70</f>
        <v>7</v>
      </c>
      <c r="L65" s="189">
        <f>TOMEK!H70+MIRU!H44+'PIOTR L'!H70+BARTEK!H70+PIOTR!H70+KRZYSZTOF!H70+Artur!L70</f>
        <v>14</v>
      </c>
      <c r="M65" s="189"/>
      <c r="N65" s="189">
        <f>TOMEK!B70+MIRU!B44+'PIOTR L'!B70+BARTEK!B70+PIOTR!B70+KRZYSZTOF!B70+Artur!F70</f>
        <v>11</v>
      </c>
      <c r="O65" s="189">
        <f>TOMEK!C70+MIRU!C44+'PIOTR L'!C70+BARTEK!C70+PIOTR!C70+KRZYSZTOF!C70+Artur!G70</f>
        <v>16</v>
      </c>
      <c r="P65" s="189">
        <f>TOMEK!D70+MIRU!D44+'PIOTR L'!D70+BARTEK!D70+PIOTR!D70+KRZYSZTOF!D70+Artur!H70</f>
        <v>11</v>
      </c>
      <c r="Q65" s="189"/>
      <c r="R65" s="186">
        <f>SUM(N65:P65,J65:L65,F65:H65,B65:D65)</f>
        <v>154</v>
      </c>
      <c r="T65" s="69"/>
    </row>
    <row r="66" spans="1:20" ht="13.5" thickTop="1">
      <c r="A66" s="183" t="s">
        <v>174</v>
      </c>
      <c r="B66" s="189">
        <f>TOMEK!N71+MIRU!N45+'PIOTR L'!N71+BARTEK!N71+PIOTR!N71+KRZYSZTOF!N71+Artur!B71</f>
        <v>151</v>
      </c>
      <c r="C66" s="189">
        <f>TOMEK!O71+MIRU!O45+'PIOTR L'!O71+BARTEK!O71+PIOTR!O71+KRZYSZTOF!O71+Artur!C71</f>
        <v>145</v>
      </c>
      <c r="D66" s="189">
        <f>TOMEK!P71+MIRU!P45+'PIOTR L'!P71+BARTEK!P71+PIOTR!P71+KRZYSZTOF!P71+Artur!D71</f>
        <v>169</v>
      </c>
      <c r="E66" s="189"/>
      <c r="F66" s="189">
        <f>TOMEK!J71+MIRU!J45+'PIOTR L'!J71+BARTEK!J71+PIOTR!J71+KRZYSZTOF!J71+Artur!N71</f>
        <v>127</v>
      </c>
      <c r="G66" s="189">
        <f>TOMEK!K71+MIRU!K45+'PIOTR L'!K71+BARTEK!K71+PIOTR!K71+KRZYSZTOF!K71+Artur!O71</f>
        <v>151</v>
      </c>
      <c r="H66" s="189">
        <f>TOMEK!L71+MIRU!L45+'PIOTR L'!L71+BARTEK!L71+PIOTR!L71+KRZYSZTOF!L71+Artur!P71</f>
        <v>131</v>
      </c>
      <c r="I66" s="189"/>
      <c r="J66" s="189">
        <f>TOMEK!F71+MIRU!F45+'PIOTR L'!F71+BARTEK!F71+PIOTR!F71+KRZYSZTOF!F71+Artur!J71</f>
        <v>106</v>
      </c>
      <c r="K66" s="189">
        <f>TOMEK!G71+MIRU!G45+'PIOTR L'!G71+BARTEK!G71+PIOTR!G71+KRZYSZTOF!G71+Artur!K71</f>
        <v>117</v>
      </c>
      <c r="L66" s="189">
        <f>TOMEK!H71+MIRU!H45+'PIOTR L'!H71+BARTEK!H71+PIOTR!H71+KRZYSZTOF!H71+Artur!L71</f>
        <v>114</v>
      </c>
      <c r="M66" s="189"/>
      <c r="N66" s="189">
        <f>TOMEK!B71+MIRU!B45+'PIOTR L'!B71+BARTEK!B71+PIOTR!B71+KRZYSZTOF!B71+Artur!F71</f>
        <v>166</v>
      </c>
      <c r="O66" s="189">
        <f>TOMEK!C71+MIRU!C45+'PIOTR L'!C71+BARTEK!C71+PIOTR!C71+KRZYSZTOF!C71+Artur!G71</f>
        <v>122</v>
      </c>
      <c r="P66" s="189">
        <f>TOMEK!D71+MIRU!D45+'PIOTR L'!D71+BARTEK!D71+PIOTR!D71+KRZYSZTOF!D71+Artur!H71</f>
        <v>85</v>
      </c>
      <c r="Q66" s="189"/>
      <c r="R66" s="186">
        <f>E66+I66+M66+Q66</f>
        <v>0</v>
      </c>
      <c r="T66" s="69"/>
    </row>
    <row r="67" spans="1:20">
      <c r="A67" s="180" t="s">
        <v>118</v>
      </c>
      <c r="B67" s="189">
        <f>TOMEK!N72+MIRU!N46+'PIOTR L'!N72+BARTEK!N72+PIOTR!N72+KRZYSZTOF!N72+Artur!B72</f>
        <v>77</v>
      </c>
      <c r="C67" s="189">
        <f>TOMEK!O72+MIRU!O46+'PIOTR L'!O72+BARTEK!O72+PIOTR!O72+KRZYSZTOF!O72+Artur!C72</f>
        <v>76</v>
      </c>
      <c r="D67" s="189">
        <f>TOMEK!P72+MIRU!P46+'PIOTR L'!P72+BARTEK!P72+PIOTR!P72+KRZYSZTOF!P72+Artur!D72</f>
        <v>73</v>
      </c>
      <c r="E67" s="189"/>
      <c r="F67" s="189">
        <f>TOMEK!J72+MIRU!J46+'PIOTR L'!J72+BARTEK!J72+PIOTR!J72+KRZYSZTOF!J72+Artur!N72</f>
        <v>76</v>
      </c>
      <c r="G67" s="189">
        <f>TOMEK!K72+MIRU!K46+'PIOTR L'!K72+BARTEK!K72+PIOTR!K72+KRZYSZTOF!K72+Artur!O72</f>
        <v>75</v>
      </c>
      <c r="H67" s="189">
        <f>TOMEK!L72+MIRU!L46+'PIOTR L'!L72+BARTEK!L72+PIOTR!L72+KRZYSZTOF!L72+Artur!P72</f>
        <v>67</v>
      </c>
      <c r="I67" s="189"/>
      <c r="J67" s="189">
        <f>TOMEK!F72+MIRU!F46+'PIOTR L'!F72+BARTEK!F72+PIOTR!F72+KRZYSZTOF!F72+Artur!J72</f>
        <v>56</v>
      </c>
      <c r="K67" s="189">
        <f>TOMEK!G72+MIRU!G46+'PIOTR L'!G72+BARTEK!G72+PIOTR!G72+KRZYSZTOF!G72+Artur!K72</f>
        <v>77</v>
      </c>
      <c r="L67" s="189">
        <f>TOMEK!H72+MIRU!H46+'PIOTR L'!H72+BARTEK!H72+PIOTR!H72+KRZYSZTOF!H72+Artur!L72</f>
        <v>55</v>
      </c>
      <c r="M67" s="189"/>
      <c r="N67" s="189">
        <f>TOMEK!B72+MIRU!B46+'PIOTR L'!B72+BARTEK!B72+PIOTR!B72+KRZYSZTOF!B72+Artur!F72</f>
        <v>85</v>
      </c>
      <c r="O67" s="189">
        <f>TOMEK!C72+MIRU!C46+'PIOTR L'!C72+BARTEK!C72+PIOTR!C72+KRZYSZTOF!C72+Artur!G72</f>
        <v>66</v>
      </c>
      <c r="P67" s="189">
        <f>TOMEK!D72+MIRU!D46+'PIOTR L'!D72+BARTEK!D72+PIOTR!D72+KRZYSZTOF!D72+Artur!H72</f>
        <v>40</v>
      </c>
      <c r="Q67" s="189"/>
      <c r="R67" s="186">
        <f>E67+I67+M67+Q67</f>
        <v>0</v>
      </c>
      <c r="T67" s="69"/>
    </row>
    <row r="68" spans="1:20">
      <c r="A68" s="180" t="s">
        <v>119</v>
      </c>
      <c r="B68" s="189">
        <f>TOMEK!N73+MIRU!N47+'PIOTR L'!N73+BARTEK!N73+PIOTR!N73+KRZYSZTOF!N73+Artur!B73</f>
        <v>59</v>
      </c>
      <c r="C68" s="189">
        <f>TOMEK!O73+MIRU!O47+'PIOTR L'!O73+BARTEK!O73+PIOTR!O73+KRZYSZTOF!O73+Artur!C73</f>
        <v>57</v>
      </c>
      <c r="D68" s="189">
        <f>TOMEK!P73+MIRU!P47+'PIOTR L'!P73+BARTEK!P73+PIOTR!P73+KRZYSZTOF!P73+Artur!D73</f>
        <v>70</v>
      </c>
      <c r="E68" s="189"/>
      <c r="F68" s="189">
        <f>TOMEK!J73+MIRU!J47+'PIOTR L'!J73+BARTEK!J73+PIOTR!J73+KRZYSZTOF!J73+Artur!N73</f>
        <v>47</v>
      </c>
      <c r="G68" s="189">
        <f>TOMEK!K73+MIRU!K47+'PIOTR L'!K73+BARTEK!K73+PIOTR!K73+KRZYSZTOF!K73+Artur!O73</f>
        <v>53</v>
      </c>
      <c r="H68" s="189">
        <f>TOMEK!L73+MIRU!L47+'PIOTR L'!L73+BARTEK!L73+PIOTR!L73+KRZYSZTOF!L73+Artur!P73</f>
        <v>61</v>
      </c>
      <c r="I68" s="189"/>
      <c r="J68" s="189">
        <f>TOMEK!F73+MIRU!F47+'PIOTR L'!F73+BARTEK!F73+PIOTR!F73+KRZYSZTOF!F73+Artur!J73</f>
        <v>45</v>
      </c>
      <c r="K68" s="189">
        <f>TOMEK!G73+MIRU!G47+'PIOTR L'!G73+BARTEK!G73+PIOTR!G73+KRZYSZTOF!G73+Artur!K73</f>
        <v>31</v>
      </c>
      <c r="L68" s="189">
        <f>TOMEK!H73+MIRU!H47+'PIOTR L'!H73+BARTEK!H73+PIOTR!H73+KRZYSZTOF!H73+Artur!L73</f>
        <v>43</v>
      </c>
      <c r="M68" s="189"/>
      <c r="N68" s="189">
        <f>TOMEK!B73+MIRU!B47+'PIOTR L'!B73+BARTEK!B73+PIOTR!B73+KRZYSZTOF!B73+Artur!F73</f>
        <v>56</v>
      </c>
      <c r="O68" s="189">
        <f>TOMEK!C73+MIRU!C47+'PIOTR L'!C73+BARTEK!C73+PIOTR!C73+KRZYSZTOF!C73+Artur!G73</f>
        <v>57</v>
      </c>
      <c r="P68" s="189">
        <f>TOMEK!D73+MIRU!D47+'PIOTR L'!D73+BARTEK!D73+PIOTR!D73+KRZYSZTOF!D73+Artur!H73</f>
        <v>37</v>
      </c>
      <c r="Q68" s="189"/>
      <c r="R68" s="186">
        <f>E68+I68+M68+Q68</f>
        <v>0</v>
      </c>
      <c r="T68" s="69"/>
    </row>
    <row r="69" spans="1:20" ht="13.5" thickBot="1">
      <c r="A69" s="184" t="s">
        <v>120</v>
      </c>
      <c r="B69" s="189">
        <f>TOMEK!N74+MIRU!N48+'PIOTR L'!N74+BARTEK!N74+PIOTR!N74+KRZYSZTOF!N74+Artur!B74</f>
        <v>69</v>
      </c>
      <c r="C69" s="189">
        <f>TOMEK!O74+MIRU!O48+'PIOTR L'!O74+BARTEK!O74+PIOTR!O74+KRZYSZTOF!O74+Artur!C74</f>
        <v>77</v>
      </c>
      <c r="D69" s="189">
        <f>TOMEK!P74+MIRU!P48+'PIOTR L'!P74+BARTEK!P74+PIOTR!P74+KRZYSZTOF!P74+Artur!D74</f>
        <v>92</v>
      </c>
      <c r="E69" s="189"/>
      <c r="F69" s="189">
        <f>TOMEK!J74+MIRU!J48+'PIOTR L'!J74+BARTEK!J74+PIOTR!J74+KRZYSZTOF!J74+Artur!N74</f>
        <v>89</v>
      </c>
      <c r="G69" s="189">
        <f>TOMEK!K74+MIRU!K48+'PIOTR L'!K74+BARTEK!K74+PIOTR!K74+KRZYSZTOF!K74+Artur!O74</f>
        <v>92</v>
      </c>
      <c r="H69" s="189">
        <f>TOMEK!L74+MIRU!L48+'PIOTR L'!L74+BARTEK!L74+PIOTR!L74+KRZYSZTOF!L74+Artur!P74</f>
        <v>89</v>
      </c>
      <c r="I69" s="189"/>
      <c r="J69" s="189">
        <f>TOMEK!F74+MIRU!F48+'PIOTR L'!F74+BARTEK!F74+PIOTR!F74+KRZYSZTOF!F74+Artur!J74</f>
        <v>72</v>
      </c>
      <c r="K69" s="189">
        <f>TOMEK!G74+MIRU!G48+'PIOTR L'!G74+BARTEK!G74+PIOTR!G74+KRZYSZTOF!G74+Artur!K74</f>
        <v>68</v>
      </c>
      <c r="L69" s="189">
        <f>TOMEK!H74+MIRU!H48+'PIOTR L'!H74+BARTEK!H74+PIOTR!H74+KRZYSZTOF!H74+Artur!L74</f>
        <v>93</v>
      </c>
      <c r="M69" s="189"/>
      <c r="N69" s="189">
        <f>TOMEK!B74+MIRU!B48+'PIOTR L'!B74+BARTEK!B74+PIOTR!B74+KRZYSZTOF!B74+Artur!F74</f>
        <v>79</v>
      </c>
      <c r="O69" s="189">
        <f>TOMEK!C74+MIRU!C48+'PIOTR L'!C74+BARTEK!C74+PIOTR!C74+KRZYSZTOF!C74+Artur!G74</f>
        <v>90</v>
      </c>
      <c r="P69" s="189">
        <f>TOMEK!D74+MIRU!D48+'PIOTR L'!D74+BARTEK!D74+PIOTR!D74+KRZYSZTOF!D74+Artur!H74</f>
        <v>58</v>
      </c>
      <c r="Q69" s="189"/>
      <c r="R69" s="186">
        <f>E69+I69+M69+Q69</f>
        <v>0</v>
      </c>
      <c r="T69" s="69"/>
    </row>
    <row r="70" spans="1:20" ht="13.5" thickTop="1">
      <c r="A70" s="179" t="s">
        <v>121</v>
      </c>
      <c r="B70" s="189">
        <f>TOMEK!N75+MIRU!N49+'PIOTR L'!N75+BARTEK!N75+PIOTR!N75+KRZYSZTOF!N75+Artur!B75</f>
        <v>19</v>
      </c>
      <c r="C70" s="189">
        <f>TOMEK!O75+MIRU!O49+'PIOTR L'!O75+BARTEK!O75+PIOTR!O75+KRZYSZTOF!O75+Artur!C75</f>
        <v>14</v>
      </c>
      <c r="D70" s="189">
        <f>TOMEK!P75+MIRU!P49+'PIOTR L'!P75+BARTEK!P75+PIOTR!P75+KRZYSZTOF!P75+Artur!D75</f>
        <v>23</v>
      </c>
      <c r="E70" s="189"/>
      <c r="F70" s="189">
        <f>TOMEK!J75+MIRU!J49+'PIOTR L'!J75+BARTEK!J75+PIOTR!J75+KRZYSZTOF!J75+Artur!N75</f>
        <v>18</v>
      </c>
      <c r="G70" s="189">
        <f>TOMEK!K75+MIRU!K49+'PIOTR L'!K75+BARTEK!K75+PIOTR!K75+KRZYSZTOF!K75+Artur!O75</f>
        <v>19</v>
      </c>
      <c r="H70" s="189">
        <f>TOMEK!L75+MIRU!L49+'PIOTR L'!L75+BARTEK!L75+PIOTR!L75+KRZYSZTOF!L75+Artur!P75</f>
        <v>12</v>
      </c>
      <c r="I70" s="189"/>
      <c r="J70" s="189">
        <f>TOMEK!F75+MIRU!F49+'PIOTR L'!F75+BARTEK!F75+PIOTR!F75+KRZYSZTOF!F75+Artur!J75</f>
        <v>14</v>
      </c>
      <c r="K70" s="189">
        <f>TOMEK!G75+MIRU!G49+'PIOTR L'!G75+BARTEK!G75+PIOTR!G75+KRZYSZTOF!G75+Artur!K75</f>
        <v>13</v>
      </c>
      <c r="L70" s="189">
        <f>TOMEK!H75+MIRU!H49+'PIOTR L'!H75+BARTEK!H75+PIOTR!H75+KRZYSZTOF!H75+Artur!L75</f>
        <v>14</v>
      </c>
      <c r="M70" s="189"/>
      <c r="N70" s="189">
        <f>TOMEK!B75+MIRU!B49+'PIOTR L'!B75+BARTEK!B75+PIOTR!B75+KRZYSZTOF!B75+Artur!F75</f>
        <v>39</v>
      </c>
      <c r="O70" s="189">
        <f>TOMEK!C75+MIRU!C49+'PIOTR L'!C75+BARTEK!C75+PIOTR!C75+KRZYSZTOF!C75+Artur!G75</f>
        <v>25</v>
      </c>
      <c r="P70" s="189">
        <f>TOMEK!D75+MIRU!D49+'PIOTR L'!D75+BARTEK!D75+PIOTR!D75+KRZYSZTOF!D75+Artur!H75</f>
        <v>18</v>
      </c>
      <c r="Q70" s="195"/>
      <c r="R70" s="186">
        <f>SUM(B70:P70)</f>
        <v>228</v>
      </c>
      <c r="T70" s="69"/>
    </row>
    <row r="71" spans="1:20">
      <c r="A71" s="180" t="s">
        <v>122</v>
      </c>
      <c r="B71" s="189">
        <f>TOMEK!N76+MIRU!N50+'PIOTR L'!N76+BARTEK!N76+PIOTR!N76+KRZYSZTOF!N76+Artur!B76</f>
        <v>9</v>
      </c>
      <c r="C71" s="189">
        <f>TOMEK!O76+MIRU!O50+'PIOTR L'!O76+BARTEK!O76+PIOTR!O76+KRZYSZTOF!O76+Artur!C76</f>
        <v>22</v>
      </c>
      <c r="D71" s="189">
        <f>TOMEK!P76+MIRU!P50+'PIOTR L'!P76+BARTEK!P76+PIOTR!P76+KRZYSZTOF!P76+Artur!D76</f>
        <v>48</v>
      </c>
      <c r="E71" s="189"/>
      <c r="F71" s="189">
        <f>TOMEK!J76+MIRU!J50+'PIOTR L'!J76+BARTEK!J76+PIOTR!J76+KRZYSZTOF!J76+Artur!N76</f>
        <v>33</v>
      </c>
      <c r="G71" s="189">
        <f>TOMEK!K76+MIRU!K50+'PIOTR L'!K76+BARTEK!K76+PIOTR!K76+KRZYSZTOF!K76+Artur!O76</f>
        <v>20</v>
      </c>
      <c r="H71" s="189">
        <f>TOMEK!L76+MIRU!L50+'PIOTR L'!L76+BARTEK!L76+PIOTR!L76+KRZYSZTOF!L76+Artur!P76</f>
        <v>14</v>
      </c>
      <c r="I71" s="189"/>
      <c r="J71" s="189">
        <f>TOMEK!F76+MIRU!F50+'PIOTR L'!F76+BARTEK!F76+PIOTR!F76+KRZYSZTOF!F76+Artur!J76</f>
        <v>38</v>
      </c>
      <c r="K71" s="189">
        <f>TOMEK!G76+MIRU!G50+'PIOTR L'!G76+BARTEK!G76+PIOTR!G76+KRZYSZTOF!G76+Artur!K76</f>
        <v>4</v>
      </c>
      <c r="L71" s="189">
        <f>TOMEK!H76+MIRU!H50+'PIOTR L'!H76+BARTEK!H76+PIOTR!H76+KRZYSZTOF!H76+Artur!L76</f>
        <v>11</v>
      </c>
      <c r="M71" s="189"/>
      <c r="N71" s="189">
        <f>TOMEK!B76+MIRU!B50+'PIOTR L'!B76+BARTEK!B76+PIOTR!B76+KRZYSZTOF!B76+Artur!F76</f>
        <v>6</v>
      </c>
      <c r="O71" s="189">
        <f>TOMEK!C76+MIRU!C50+'PIOTR L'!C76+BARTEK!C76+PIOTR!C76+KRZYSZTOF!C76+Artur!G76</f>
        <v>9</v>
      </c>
      <c r="P71" s="189">
        <f>TOMEK!D76+MIRU!D50+'PIOTR L'!D76+BARTEK!D76+PIOTR!D76+KRZYSZTOF!D76+Artur!H76</f>
        <v>5</v>
      </c>
      <c r="Q71" s="195"/>
      <c r="R71" s="186">
        <f>SUM(B71:P71)</f>
        <v>219</v>
      </c>
      <c r="T71" s="69"/>
    </row>
    <row r="72" spans="1:20" ht="13.5" thickBot="1">
      <c r="A72" s="182" t="s">
        <v>123</v>
      </c>
      <c r="B72" s="189">
        <f>TOMEK!N77+MIRU!N51+'PIOTR L'!N77+BARTEK!N77+PIOTR!N77+KRZYSZTOF!N77+Artur!B77</f>
        <v>5</v>
      </c>
      <c r="C72" s="189">
        <f>TOMEK!O77+MIRU!O51+'PIOTR L'!O77+BARTEK!O77+PIOTR!O77+KRZYSZTOF!O77+Artur!C77</f>
        <v>1</v>
      </c>
      <c r="D72" s="189">
        <f>TOMEK!P77+MIRU!P51+'PIOTR L'!P77+BARTEK!P77+PIOTR!P77+KRZYSZTOF!P77+Artur!D77</f>
        <v>0</v>
      </c>
      <c r="E72" s="189"/>
      <c r="F72" s="189">
        <f>TOMEK!J77+MIRU!J51+'PIOTR L'!J77+BARTEK!J77+PIOTR!J77+KRZYSZTOF!J77+Artur!N77</f>
        <v>0</v>
      </c>
      <c r="G72" s="189">
        <f>TOMEK!K77+MIRU!K51+'PIOTR L'!K77+BARTEK!K77+PIOTR!K77+KRZYSZTOF!K77+Artur!O77</f>
        <v>1</v>
      </c>
      <c r="H72" s="189">
        <f>TOMEK!L77+MIRU!L51+'PIOTR L'!L77+BARTEK!L77+PIOTR!L77+KRZYSZTOF!L77+Artur!P77</f>
        <v>33</v>
      </c>
      <c r="I72" s="189"/>
      <c r="J72" s="189">
        <f>TOMEK!F77+MIRU!F51+'PIOTR L'!F77+BARTEK!F77+PIOTR!F77+KRZYSZTOF!F77+Artur!J77</f>
        <v>0</v>
      </c>
      <c r="K72" s="189">
        <f>TOMEK!G77+MIRU!G51+'PIOTR L'!G77+BARTEK!G77+PIOTR!G77+KRZYSZTOF!G77+Artur!K77</f>
        <v>1</v>
      </c>
      <c r="L72" s="189">
        <f>TOMEK!H77+MIRU!H51+'PIOTR L'!H77+BARTEK!H77+PIOTR!H77+KRZYSZTOF!H77+Artur!L77</f>
        <v>2</v>
      </c>
      <c r="M72" s="189"/>
      <c r="N72" s="189">
        <f>TOMEK!B77+MIRU!B51+'PIOTR L'!B77+BARTEK!B77+PIOTR!B77+KRZYSZTOF!B77+Artur!F77</f>
        <v>1</v>
      </c>
      <c r="O72" s="189">
        <f>TOMEK!C77+MIRU!C51+'PIOTR L'!C77+BARTEK!C77+PIOTR!C77+KRZYSZTOF!C77+Artur!G77</f>
        <v>1</v>
      </c>
      <c r="P72" s="189">
        <f>TOMEK!D77+MIRU!D51+'PIOTR L'!D77+BARTEK!D77+PIOTR!D77+KRZYSZTOF!D77+Artur!H77</f>
        <v>2</v>
      </c>
      <c r="Q72" s="195"/>
      <c r="R72" s="186">
        <f>SUM(B72:P72)</f>
        <v>47</v>
      </c>
      <c r="T72" s="69">
        <f>SUM(N72:P74)</f>
        <v>668</v>
      </c>
    </row>
    <row r="73" spans="1:20" ht="14.25" thickTop="1" thickBot="1">
      <c r="A73" s="182" t="s">
        <v>124</v>
      </c>
      <c r="B73" s="189">
        <f>TOMEK!N78+MIRU!N52+'PIOTR L'!N78+BARTEK!N78+PIOTR!N78+KRZYSZTOF!N78+Artur!B78</f>
        <v>24</v>
      </c>
      <c r="C73" s="189">
        <f>TOMEK!O78+MIRU!O52+'PIOTR L'!O78+BARTEK!O78+PIOTR!O78+KRZYSZTOF!O78+Artur!C78</f>
        <v>18</v>
      </c>
      <c r="D73" s="189">
        <f>TOMEK!P78+MIRU!P52+'PIOTR L'!P78+BARTEK!P78+PIOTR!P78+KRZYSZTOF!P78+Artur!D78</f>
        <v>28</v>
      </c>
      <c r="E73" s="189"/>
      <c r="F73" s="189">
        <f>TOMEK!J78+MIRU!J52+'PIOTR L'!J78+BARTEK!J78+PIOTR!J78+KRZYSZTOF!J78+Artur!N78</f>
        <v>17</v>
      </c>
      <c r="G73" s="189">
        <f>TOMEK!K78+MIRU!K52+'PIOTR L'!K78+BARTEK!K78+PIOTR!K78+KRZYSZTOF!K78+Artur!O78</f>
        <v>21</v>
      </c>
      <c r="H73" s="189">
        <f>TOMEK!L78+MIRU!L52+'PIOTR L'!L78+BARTEK!L78+PIOTR!L78+KRZYSZTOF!L78+Artur!P78</f>
        <v>21</v>
      </c>
      <c r="I73" s="189"/>
      <c r="J73" s="189">
        <f>TOMEK!F78+MIRU!F52+'PIOTR L'!F78+BARTEK!F78+PIOTR!F78+KRZYSZTOF!F78+Artur!J78</f>
        <v>37</v>
      </c>
      <c r="K73" s="189">
        <f>TOMEK!G78+MIRU!G52+'PIOTR L'!G78+BARTEK!G78+PIOTR!G78+KRZYSZTOF!G78+Artur!K78</f>
        <v>31</v>
      </c>
      <c r="L73" s="189">
        <f>TOMEK!H78+MIRU!H52+'PIOTR L'!H78+BARTEK!H78+PIOTR!H78+KRZYSZTOF!H78+Artur!L78</f>
        <v>20</v>
      </c>
      <c r="M73" s="189"/>
      <c r="N73" s="189">
        <f>TOMEK!B78+MIRU!B52+'PIOTR L'!B78+BARTEK!B78+PIOTR!B78+KRZYSZTOF!B78+Artur!F78</f>
        <v>44</v>
      </c>
      <c r="O73" s="189">
        <f>TOMEK!C78+MIRU!C52+'PIOTR L'!C78+BARTEK!C78+PIOTR!C78+KRZYSZTOF!C78+Artur!G78</f>
        <v>19</v>
      </c>
      <c r="P73" s="189">
        <f>TOMEK!D78+MIRU!D52+'PIOTR L'!D78+BARTEK!D78+PIOTR!D78+KRZYSZTOF!D78+Artur!H78</f>
        <v>26</v>
      </c>
      <c r="Q73" s="189"/>
      <c r="R73" s="186">
        <f t="shared" ref="R73:R78" si="17">SUM(B73:P73)</f>
        <v>306</v>
      </c>
      <c r="T73" s="69"/>
    </row>
    <row r="74" spans="1:20" ht="13.5" thickTop="1">
      <c r="A74" s="251" t="s">
        <v>125</v>
      </c>
      <c r="B74" s="189">
        <f>TOMEK!N79+MIRU!N53+'PIOTR L'!N79+BARTEK!N79+PIOTR!N79+KRZYSZTOF!N79+Artur!B79</f>
        <v>194</v>
      </c>
      <c r="C74" s="189">
        <f>TOMEK!O79+MIRU!O53+'PIOTR L'!O79+BARTEK!O79+PIOTR!O79+KRZYSZTOF!O79+Artur!C79</f>
        <v>215</v>
      </c>
      <c r="D74" s="189">
        <f>TOMEK!P79+MIRU!P53+'PIOTR L'!P79+BARTEK!P79+PIOTR!P79+KRZYSZTOF!P79+Artur!D79</f>
        <v>225</v>
      </c>
      <c r="E74" s="189"/>
      <c r="F74" s="189">
        <f>TOMEK!J79+MIRU!J53+'PIOTR L'!J79+BARTEK!J79+PIOTR!J79+KRZYSZTOF!J79+Artur!N79</f>
        <v>216</v>
      </c>
      <c r="G74" s="189">
        <f>TOMEK!K79+MIRU!K53+'PIOTR L'!K79+BARTEK!K79+PIOTR!K79+KRZYSZTOF!K79+Artur!O79</f>
        <v>218</v>
      </c>
      <c r="H74" s="189">
        <f>TOMEK!L79+MIRU!L53+'PIOTR L'!L79+BARTEK!L79+PIOTR!L79+KRZYSZTOF!L79+Artur!P79</f>
        <v>211</v>
      </c>
      <c r="I74" s="189"/>
      <c r="J74" s="189">
        <f>TOMEK!F79+MIRU!F53+'PIOTR L'!F79+BARTEK!F79+PIOTR!F79+KRZYSZTOF!F79+Artur!J79</f>
        <v>206</v>
      </c>
      <c r="K74" s="189">
        <f>TOMEK!G79+MIRU!G53+'PIOTR L'!G79+BARTEK!G79+PIOTR!G79+KRZYSZTOF!G79+Artur!K79</f>
        <v>200</v>
      </c>
      <c r="L74" s="189">
        <f>TOMEK!H79+MIRU!H53+'PIOTR L'!H79+BARTEK!H79+PIOTR!H79+KRZYSZTOF!H79+Artur!L79</f>
        <v>204</v>
      </c>
      <c r="M74" s="189"/>
      <c r="N74" s="189">
        <f>TOMEK!B79+MIRU!B53+'PIOTR L'!B79+BARTEK!B79+PIOTR!B79+KRZYSZTOF!B79+Artur!F79</f>
        <v>192</v>
      </c>
      <c r="O74" s="189">
        <f>TOMEK!C79+MIRU!C53+'PIOTR L'!C79+BARTEK!C79+PIOTR!C79+KRZYSZTOF!C79+Artur!G79</f>
        <v>190</v>
      </c>
      <c r="P74" s="189">
        <f>TOMEK!D79+MIRU!D53+'PIOTR L'!D79+BARTEK!D79+PIOTR!D79+KRZYSZTOF!D79+Artur!H79</f>
        <v>193</v>
      </c>
      <c r="Q74" s="195"/>
      <c r="R74" s="186">
        <f t="shared" si="17"/>
        <v>2464</v>
      </c>
      <c r="T74" s="69"/>
    </row>
    <row r="75" spans="1:20">
      <c r="A75" s="252" t="s">
        <v>126</v>
      </c>
      <c r="B75" s="189">
        <f>TOMEK!N80+MIRU!N54+'PIOTR L'!N80+BARTEK!N80+PIOTR!N80+KRZYSZTOF!N80+Artur!B80</f>
        <v>98</v>
      </c>
      <c r="C75" s="189">
        <f>TOMEK!O80+MIRU!O54+'PIOTR L'!O80+BARTEK!O80+PIOTR!O80+KRZYSZTOF!O80+Artur!C80</f>
        <v>83</v>
      </c>
      <c r="D75" s="189">
        <f>TOMEK!P80+MIRU!P54+'PIOTR L'!P80+BARTEK!P80+PIOTR!P80+KRZYSZTOF!P80+Artur!D80</f>
        <v>95</v>
      </c>
      <c r="E75" s="189"/>
      <c r="F75" s="189">
        <f>TOMEK!J80+MIRU!J54+'PIOTR L'!J80+BARTEK!J80+PIOTR!J80+KRZYSZTOF!J80+Artur!N80</f>
        <v>67</v>
      </c>
      <c r="G75" s="189">
        <f>TOMEK!K80+MIRU!K54+'PIOTR L'!K80+BARTEK!K80+PIOTR!K80+KRZYSZTOF!K80+Artur!O80</f>
        <v>80</v>
      </c>
      <c r="H75" s="189">
        <f>TOMEK!L80+MIRU!L54+'PIOTR L'!L80+BARTEK!L80+PIOTR!L80+KRZYSZTOF!L80+Artur!P80</f>
        <v>60</v>
      </c>
      <c r="I75" s="189"/>
      <c r="J75" s="189">
        <f>TOMEK!F80+MIRU!F54+'PIOTR L'!F80+BARTEK!F80+PIOTR!F80+KRZYSZTOF!F80+Artur!J80</f>
        <v>56</v>
      </c>
      <c r="K75" s="189">
        <f>TOMEK!G80+MIRU!G54+'PIOTR L'!G80+BARTEK!G80+PIOTR!G80+KRZYSZTOF!G80+Artur!K80</f>
        <v>72</v>
      </c>
      <c r="L75" s="189">
        <f>TOMEK!H80+MIRU!H54+'PIOTR L'!H80+BARTEK!H80+PIOTR!H80+KRZYSZTOF!H80+Artur!L80</f>
        <v>76</v>
      </c>
      <c r="M75" s="189"/>
      <c r="N75" s="189">
        <f>TOMEK!B80+MIRU!B54+'PIOTR L'!B80+BARTEK!B80+PIOTR!B80+KRZYSZTOF!B80+Artur!F80</f>
        <v>78</v>
      </c>
      <c r="O75" s="189">
        <f>TOMEK!C80+MIRU!C54+'PIOTR L'!C80+BARTEK!C80+PIOTR!C80+KRZYSZTOF!C80+Artur!G80</f>
        <v>77</v>
      </c>
      <c r="P75" s="189">
        <f>TOMEK!D80+MIRU!D54+'PIOTR L'!D80+BARTEK!D80+PIOTR!D80+KRZYSZTOF!D80+Artur!H80</f>
        <v>42</v>
      </c>
      <c r="Q75" s="195"/>
      <c r="R75" s="186">
        <f t="shared" si="17"/>
        <v>884</v>
      </c>
      <c r="T75" s="69"/>
    </row>
    <row r="76" spans="1:20">
      <c r="A76" s="252" t="s">
        <v>127</v>
      </c>
      <c r="B76" s="189">
        <f>TOMEK!N81+MIRU!N55+'PIOTR L'!N81+BARTEK!N81+PIOTR!N81+KRZYSZTOF!N81+Artur!B81</f>
        <v>47</v>
      </c>
      <c r="C76" s="189">
        <f>TOMEK!O81+MIRU!O55+'PIOTR L'!O81+BARTEK!O81+PIOTR!O81+KRZYSZTOF!O81+Artur!C81</f>
        <v>45</v>
      </c>
      <c r="D76" s="189">
        <f>TOMEK!P81+MIRU!P55+'PIOTR L'!P81+BARTEK!P81+PIOTR!P81+KRZYSZTOF!P81+Artur!D81</f>
        <v>55</v>
      </c>
      <c r="E76" s="189"/>
      <c r="F76" s="189">
        <f>TOMEK!J81+MIRU!J55+'PIOTR L'!J81+BARTEK!J81+PIOTR!J81+KRZYSZTOF!J81+Artur!N81</f>
        <v>34</v>
      </c>
      <c r="G76" s="189">
        <f>TOMEK!K81+MIRU!K55+'PIOTR L'!K81+BARTEK!K81+PIOTR!K81+KRZYSZTOF!K81+Artur!O81</f>
        <v>37</v>
      </c>
      <c r="H76" s="189">
        <f>TOMEK!L81+MIRU!L55+'PIOTR L'!L81+BARTEK!L81+PIOTR!L81+KRZYSZTOF!L81+Artur!P81</f>
        <v>41</v>
      </c>
      <c r="I76" s="189"/>
      <c r="J76" s="189">
        <f>TOMEK!F81+MIRU!F55+'PIOTR L'!F81+BARTEK!F81+PIOTR!F81+KRZYSZTOF!F81+Artur!J81</f>
        <v>30</v>
      </c>
      <c r="K76" s="189">
        <f>TOMEK!G81+MIRU!G55+'PIOTR L'!G81+BARTEK!G81+PIOTR!G81+KRZYSZTOF!G81+Artur!K81</f>
        <v>28</v>
      </c>
      <c r="L76" s="189">
        <f>TOMEK!H81+MIRU!H55+'PIOTR L'!H81+BARTEK!H81+PIOTR!H81+KRZYSZTOF!H81+Artur!L81</f>
        <v>27</v>
      </c>
      <c r="M76" s="189"/>
      <c r="N76" s="189">
        <f>TOMEK!B81+MIRU!B55+'PIOTR L'!B81+BARTEK!B81+PIOTR!B81+KRZYSZTOF!B81+Artur!F81</f>
        <v>37</v>
      </c>
      <c r="O76" s="189">
        <f>TOMEK!C81+MIRU!C55+'PIOTR L'!C81+BARTEK!C81+PIOTR!C81+KRZYSZTOF!C81+Artur!G81</f>
        <v>38</v>
      </c>
      <c r="P76" s="189">
        <f>TOMEK!D81+MIRU!D55+'PIOTR L'!D81+BARTEK!D81+PIOTR!D81+KRZYSZTOF!D81+Artur!H81</f>
        <v>26</v>
      </c>
      <c r="Q76" s="189"/>
      <c r="R76" s="186">
        <f t="shared" si="17"/>
        <v>445</v>
      </c>
      <c r="T76" s="69"/>
    </row>
    <row r="77" spans="1:20">
      <c r="A77" s="252" t="s">
        <v>128</v>
      </c>
      <c r="B77" s="189">
        <f>TOMEK!N82+MIRU!N56+'PIOTR L'!N82+BARTEK!N82+PIOTR!N82+KRZYSZTOF!N82+Artur!B82</f>
        <v>37</v>
      </c>
      <c r="C77" s="189">
        <f>TOMEK!O82+MIRU!O56+'PIOTR L'!O82+BARTEK!O82+PIOTR!O82+KRZYSZTOF!O82+Artur!C82</f>
        <v>37</v>
      </c>
      <c r="D77" s="189">
        <f>TOMEK!P82+MIRU!P56+'PIOTR L'!P82+BARTEK!P82+PIOTR!P82+KRZYSZTOF!P82+Artur!D82</f>
        <v>50</v>
      </c>
      <c r="E77" s="189"/>
      <c r="F77" s="189">
        <f>TOMEK!J82+MIRU!J56+'PIOTR L'!J82+BARTEK!J82+PIOTR!J82+KRZYSZTOF!J82+Artur!N82</f>
        <v>46</v>
      </c>
      <c r="G77" s="189">
        <f>TOMEK!K82+MIRU!K56+'PIOTR L'!K82+BARTEK!K82+PIOTR!K82+KRZYSZTOF!K82+Artur!O82</f>
        <v>48</v>
      </c>
      <c r="H77" s="189">
        <f>TOMEK!L82+MIRU!L56+'PIOTR L'!L82+BARTEK!L82+PIOTR!L82+KRZYSZTOF!L82+Artur!P82</f>
        <v>33</v>
      </c>
      <c r="I77" s="189"/>
      <c r="J77" s="189">
        <f>TOMEK!F82+MIRU!F56+'PIOTR L'!F82+BARTEK!F82+PIOTR!F82+KRZYSZTOF!F82+Artur!J82</f>
        <v>37</v>
      </c>
      <c r="K77" s="189">
        <f>TOMEK!G82+MIRU!G56+'PIOTR L'!G82+BARTEK!G82+PIOTR!G82+KRZYSZTOF!G82+Artur!K82</f>
        <v>57</v>
      </c>
      <c r="L77" s="189">
        <f>TOMEK!H82+MIRU!H56+'PIOTR L'!H82+BARTEK!H82+PIOTR!H82+KRZYSZTOF!H82+Artur!L82</f>
        <v>44</v>
      </c>
      <c r="M77" s="189"/>
      <c r="N77" s="189">
        <f>TOMEK!B82+MIRU!B56+'PIOTR L'!B82+BARTEK!B82+PIOTR!B82+KRZYSZTOF!B82+Artur!F82</f>
        <v>50</v>
      </c>
      <c r="O77" s="189">
        <f>TOMEK!C82+MIRU!C56+'PIOTR L'!C82+BARTEK!C82+PIOTR!C82+KRZYSZTOF!C82+Artur!G82</f>
        <v>39</v>
      </c>
      <c r="P77" s="189">
        <f>TOMEK!D82+MIRU!D56+'PIOTR L'!D82+BARTEK!D82+PIOTR!D82+KRZYSZTOF!D82+Artur!H82</f>
        <v>21</v>
      </c>
      <c r="Q77" s="189"/>
      <c r="R77" s="186">
        <f t="shared" si="17"/>
        <v>499</v>
      </c>
      <c r="T77" s="169">
        <f>R77/P79</f>
        <v>4.5363636363636362</v>
      </c>
    </row>
    <row r="78" spans="1:20" ht="13.5" thickBot="1">
      <c r="A78" s="253" t="s">
        <v>129</v>
      </c>
      <c r="B78" s="189">
        <f>TOMEK!N83+MIRU!N57+'PIOTR L'!N83+BARTEK!N83+PIOTR!N83+KRZYSZTOF!N83+Artur!B83</f>
        <v>10</v>
      </c>
      <c r="C78" s="189">
        <f>TOMEK!O83+MIRU!O57+'PIOTR L'!O83+BARTEK!O83+PIOTR!O83+KRZYSZTOF!O83+Artur!C83</f>
        <v>17</v>
      </c>
      <c r="D78" s="189">
        <f>TOMEK!P83+MIRU!P57+'PIOTR L'!P83+BARTEK!P83+PIOTR!P83+KRZYSZTOF!P83+Artur!D83</f>
        <v>11</v>
      </c>
      <c r="E78" s="189"/>
      <c r="F78" s="189">
        <f>TOMEK!J83+MIRU!J57+'PIOTR L'!J83+BARTEK!J83+PIOTR!J83+KRZYSZTOF!J83+Artur!N83</f>
        <v>11</v>
      </c>
      <c r="G78" s="189">
        <f>TOMEK!K83+MIRU!K57+'PIOTR L'!K83+BARTEK!K83+PIOTR!K83+KRZYSZTOF!K83+Artur!O83</f>
        <v>9</v>
      </c>
      <c r="H78" s="189">
        <f>TOMEK!L83+MIRU!L57+'PIOTR L'!L83+BARTEK!L83+PIOTR!L83+KRZYSZTOF!L83+Artur!P83</f>
        <v>7</v>
      </c>
      <c r="I78" s="189"/>
      <c r="J78" s="189">
        <f>TOMEK!F83+MIRU!F57+'PIOTR L'!F83+BARTEK!F83+PIOTR!F83+KRZYSZTOF!F83+Artur!J83</f>
        <v>9</v>
      </c>
      <c r="K78" s="189">
        <f>TOMEK!G83+MIRU!G57+'PIOTR L'!G83+BARTEK!G83+PIOTR!G83+KRZYSZTOF!G83+Artur!K83</f>
        <v>8</v>
      </c>
      <c r="L78" s="189">
        <f>TOMEK!H83+MIRU!H57+'PIOTR L'!H83+BARTEK!H83+PIOTR!H83+KRZYSZTOF!H83+Artur!L83</f>
        <v>8</v>
      </c>
      <c r="M78" s="189"/>
      <c r="N78" s="189">
        <f>TOMEK!B83+MIRU!B57+'PIOTR L'!B83+BARTEK!B83+PIOTR!B83+KRZYSZTOF!B83+Artur!F83</f>
        <v>9</v>
      </c>
      <c r="O78" s="189">
        <f>TOMEK!C83+MIRU!C57+'PIOTR L'!C83+BARTEK!C83+PIOTR!C83+KRZYSZTOF!C83+Artur!G83</f>
        <v>12</v>
      </c>
      <c r="P78" s="189">
        <f>TOMEK!D83+MIRU!D57+'PIOTR L'!D83+BARTEK!D83+PIOTR!D83+KRZYSZTOF!D83+Artur!H83</f>
        <v>12</v>
      </c>
      <c r="Q78" s="195"/>
      <c r="R78" s="186">
        <f t="shared" si="17"/>
        <v>123</v>
      </c>
      <c r="T78" s="169">
        <f>R78/P79</f>
        <v>1.1181818181818182</v>
      </c>
    </row>
    <row r="79" spans="1:20" ht="13.5" thickTop="1">
      <c r="A79"/>
      <c r="B79" s="69"/>
      <c r="C79" s="69"/>
      <c r="D79" s="69">
        <f>SUM(B77:D77)</f>
        <v>124</v>
      </c>
      <c r="E79" s="69"/>
      <c r="F79" s="69"/>
      <c r="G79" s="69"/>
      <c r="H79" s="69">
        <f>SUM(F77:H77)</f>
        <v>127</v>
      </c>
      <c r="I79" s="69"/>
      <c r="J79" s="69"/>
      <c r="K79" s="69"/>
      <c r="L79" s="69">
        <f>SUM(J77:L77)</f>
        <v>138</v>
      </c>
      <c r="M79" s="69"/>
      <c r="N79" s="69"/>
      <c r="O79" s="69" t="s">
        <v>151</v>
      </c>
      <c r="P79" s="69">
        <f>SUM(N77:P77)</f>
        <v>110</v>
      </c>
      <c r="Q79" s="69"/>
      <c r="R79" s="69"/>
    </row>
    <row r="80" spans="1:20">
      <c r="D80" s="12">
        <f>SUM(B72:D74)</f>
        <v>710</v>
      </c>
      <c r="H80" s="12">
        <f>SUM(F72:H74)</f>
        <v>738</v>
      </c>
      <c r="L80" s="12">
        <f>SUM(J72:L74)</f>
        <v>701</v>
      </c>
      <c r="O80" s="12" t="s">
        <v>150</v>
      </c>
      <c r="P80" s="12">
        <f>SUM(N72:P74)</f>
        <v>668</v>
      </c>
    </row>
    <row r="81" spans="4:16">
      <c r="D81" s="12">
        <f>SUM(B78:D78)</f>
        <v>38</v>
      </c>
      <c r="H81" s="12">
        <f>SUM(F78:H78)</f>
        <v>27</v>
      </c>
      <c r="L81" s="12">
        <f>SUM(J78:L78)</f>
        <v>25</v>
      </c>
      <c r="O81" s="12" t="s">
        <v>149</v>
      </c>
      <c r="P81" s="12">
        <f>SUM(N78:P78)</f>
        <v>33</v>
      </c>
    </row>
  </sheetData>
  <mergeCells count="3">
    <mergeCell ref="B1:R1"/>
    <mergeCell ref="B32:R32"/>
    <mergeCell ref="A42:R42"/>
  </mergeCells>
  <pageMargins left="0.7" right="0.7" top="0.75" bottom="0.75" header="0.3" footer="0.3"/>
  <pageSetup paperSize="9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workbookViewId="0">
      <selection activeCell="G29" sqref="G29"/>
    </sheetView>
  </sheetViews>
  <sheetFormatPr defaultRowHeight="11.25"/>
  <cols>
    <col min="1" max="1" width="22.28515625" style="3" customWidth="1"/>
    <col min="2" max="4" width="11.85546875" style="4" customWidth="1"/>
    <col min="5" max="5" width="1" style="4" customWidth="1"/>
    <col min="6" max="8" width="11.85546875" style="4" customWidth="1"/>
    <col min="9" max="9" width="1.28515625" style="4" customWidth="1"/>
    <col min="10" max="12" width="11.85546875" style="4" customWidth="1"/>
    <col min="13" max="13" width="1.140625" style="4" customWidth="1"/>
    <col min="14" max="16" width="11.85546875" style="4" customWidth="1"/>
    <col min="17" max="16384" width="9.140625" style="4"/>
  </cols>
  <sheetData>
    <row r="1" spans="1:17" s="2" customFormat="1" ht="15" customHeight="1">
      <c r="A1" s="598"/>
      <c r="B1" s="599"/>
      <c r="C1" s="599"/>
      <c r="D1" s="599"/>
      <c r="E1" s="599"/>
      <c r="F1" s="599"/>
      <c r="G1" s="599"/>
      <c r="H1" s="599"/>
      <c r="I1" s="599"/>
      <c r="J1" s="599"/>
      <c r="K1" s="599"/>
      <c r="L1" s="599"/>
      <c r="M1" s="599"/>
      <c r="N1" s="599"/>
      <c r="O1" s="599"/>
      <c r="P1" s="574"/>
    </row>
    <row r="2" spans="1:17" ht="15" customHeight="1">
      <c r="A2" s="597" t="s">
        <v>34</v>
      </c>
      <c r="B2" s="597"/>
      <c r="C2" s="597"/>
      <c r="D2" s="597"/>
      <c r="E2" s="597"/>
      <c r="F2" s="597"/>
      <c r="G2" s="597"/>
      <c r="H2" s="597"/>
      <c r="I2" s="597"/>
      <c r="J2" s="597"/>
      <c r="K2" s="597"/>
      <c r="L2" s="597"/>
      <c r="M2" s="597"/>
      <c r="N2" s="597"/>
      <c r="O2" s="597"/>
      <c r="P2" s="597"/>
    </row>
    <row r="3" spans="1:17" ht="15" customHeight="1">
      <c r="A3" s="49"/>
      <c r="B3" s="50" t="s">
        <v>39</v>
      </c>
      <c r="C3" s="50" t="s">
        <v>22</v>
      </c>
      <c r="D3" s="50" t="s">
        <v>14</v>
      </c>
      <c r="E3" s="50"/>
      <c r="F3" s="50" t="s">
        <v>15</v>
      </c>
      <c r="G3" s="50" t="s">
        <v>16</v>
      </c>
      <c r="H3" s="50" t="s">
        <v>17</v>
      </c>
      <c r="I3" s="50"/>
      <c r="J3" s="50" t="s">
        <v>40</v>
      </c>
      <c r="K3" s="50" t="s">
        <v>41</v>
      </c>
      <c r="L3" s="50" t="s">
        <v>18</v>
      </c>
      <c r="M3" s="50"/>
      <c r="N3" s="50" t="s">
        <v>19</v>
      </c>
      <c r="O3" s="50" t="s">
        <v>20</v>
      </c>
      <c r="P3" s="50" t="s">
        <v>21</v>
      </c>
    </row>
    <row r="4" spans="1:17" ht="15" customHeight="1">
      <c r="A4" s="1" t="s">
        <v>42</v>
      </c>
      <c r="B4" s="72">
        <f>TOMEK!N39</f>
        <v>1400</v>
      </c>
      <c r="C4" s="72">
        <f>TOMEK!O39</f>
        <v>1650</v>
      </c>
      <c r="D4" s="72">
        <f>TOMEK!P39</f>
        <v>1650</v>
      </c>
      <c r="E4" s="72"/>
      <c r="F4" s="72">
        <f>TOMEK!J39</f>
        <v>1650</v>
      </c>
      <c r="G4" s="72">
        <f>TOMEK!K39</f>
        <v>1650</v>
      </c>
      <c r="H4" s="72">
        <f>TOMEK!L39</f>
        <v>1650</v>
      </c>
      <c r="I4" s="359"/>
      <c r="J4" s="72">
        <f>TOMEK!F39</f>
        <v>1650</v>
      </c>
      <c r="K4" s="72">
        <f>TOMEK!G39</f>
        <v>1650</v>
      </c>
      <c r="L4" s="72">
        <f>TOMEK!H39</f>
        <v>1650</v>
      </c>
      <c r="M4" s="359"/>
      <c r="N4" s="72">
        <f>TOMEK!B39</f>
        <v>1650</v>
      </c>
      <c r="O4" s="72">
        <f>TOMEK!C39</f>
        <v>1650</v>
      </c>
      <c r="P4" s="72">
        <f>TOMEK!D39</f>
        <v>1650</v>
      </c>
    </row>
    <row r="5" spans="1:17" ht="15" customHeight="1">
      <c r="A5" s="1" t="s">
        <v>84</v>
      </c>
      <c r="B5" s="72">
        <f>DH!B40</f>
        <v>3000</v>
      </c>
      <c r="C5" s="72">
        <f>DH!C40</f>
        <v>2400</v>
      </c>
      <c r="D5" s="72">
        <f>DH!D40</f>
        <v>2400</v>
      </c>
      <c r="E5" s="72"/>
      <c r="F5" s="72">
        <f>DH!F40</f>
        <v>2400</v>
      </c>
      <c r="G5" s="72">
        <f>DH!G40</f>
        <v>2400</v>
      </c>
      <c r="H5" s="72">
        <f>DH!H40</f>
        <v>2400</v>
      </c>
      <c r="I5" s="359"/>
      <c r="J5" s="72">
        <f>DH!J40</f>
        <v>2400</v>
      </c>
      <c r="K5" s="72">
        <f>DH!K40</f>
        <v>2400</v>
      </c>
      <c r="L5" s="72">
        <f>DH!L40</f>
        <v>2400</v>
      </c>
      <c r="M5" s="359"/>
      <c r="N5" s="72">
        <f>DH!N40</f>
        <v>2400</v>
      </c>
      <c r="O5" s="72">
        <f>DH!O40</f>
        <v>2400</v>
      </c>
      <c r="P5" s="72">
        <f>DH!P40</f>
        <v>2400</v>
      </c>
      <c r="Q5" s="106"/>
    </row>
    <row r="6" spans="1:17" ht="15" customHeight="1">
      <c r="A6" s="1" t="s">
        <v>236</v>
      </c>
      <c r="B6" s="359" t="e">
        <f>'PIOTR L'!N39</f>
        <v>#DIV/0!</v>
      </c>
      <c r="C6" s="359" t="e">
        <f>'PIOTR L'!O39</f>
        <v>#DIV/0!</v>
      </c>
      <c r="D6" s="72">
        <f>'PIOTR L'!P39</f>
        <v>1400</v>
      </c>
      <c r="E6" s="72"/>
      <c r="F6" s="72">
        <f>'PIOTR L'!J39</f>
        <v>1400</v>
      </c>
      <c r="G6" s="72">
        <f>'PIOTR L'!K39</f>
        <v>840</v>
      </c>
      <c r="H6" s="72">
        <f>'PIOTR L'!L39</f>
        <v>840</v>
      </c>
      <c r="I6" s="359"/>
      <c r="J6" s="72">
        <f>'PIOTR L'!F39</f>
        <v>1400</v>
      </c>
      <c r="K6" s="72">
        <f>'PIOTR L'!G39</f>
        <v>840</v>
      </c>
      <c r="L6" s="72">
        <f>'PIOTR L'!H39</f>
        <v>280</v>
      </c>
      <c r="M6" s="359"/>
      <c r="N6" s="72">
        <f>'PIOTR L'!B39</f>
        <v>1400</v>
      </c>
      <c r="O6" s="72">
        <f>'PIOTR L'!C39</f>
        <v>1400</v>
      </c>
      <c r="P6" s="72">
        <f>'PIOTR L'!D39</f>
        <v>1400</v>
      </c>
    </row>
    <row r="7" spans="1:17" ht="15" customHeight="1">
      <c r="A7" s="473" t="s">
        <v>222</v>
      </c>
      <c r="B7" s="72"/>
      <c r="C7" s="72"/>
      <c r="D7" s="72"/>
      <c r="E7" s="72"/>
      <c r="F7" s="72"/>
      <c r="G7" s="72"/>
      <c r="H7" s="72"/>
      <c r="I7" s="359"/>
      <c r="J7" s="472" t="e">
        <f>Artur!J39-520</f>
        <v>#DIV/0!</v>
      </c>
      <c r="K7" s="472" t="e">
        <f>Artur!K39+520</f>
        <v>#DIV/0!</v>
      </c>
      <c r="L7" s="359" t="e">
        <f>Artur!L39</f>
        <v>#DIV/0!</v>
      </c>
      <c r="M7" s="359"/>
      <c r="N7" s="359" t="e">
        <f>Artur!F39</f>
        <v>#DIV/0!</v>
      </c>
      <c r="O7" s="359" t="e">
        <f>Artur!G39</f>
        <v>#DIV/0!</v>
      </c>
      <c r="P7" s="461" t="e">
        <f>Artur!H39</f>
        <v>#DIV/0!</v>
      </c>
    </row>
    <row r="8" spans="1:17" s="2" customFormat="1" ht="15" customHeight="1">
      <c r="A8" s="1" t="s">
        <v>90</v>
      </c>
      <c r="B8" s="166">
        <f>BARTEK!N39</f>
        <v>1400</v>
      </c>
      <c r="C8" s="166">
        <f>BARTEK!O39</f>
        <v>1320</v>
      </c>
      <c r="D8" s="72">
        <f>BARTEK!P39</f>
        <v>1650</v>
      </c>
      <c r="E8" s="72"/>
      <c r="F8" s="72">
        <f>BARTEK!J39</f>
        <v>1650</v>
      </c>
      <c r="G8" s="72">
        <f>BARTEK!K39</f>
        <v>1650</v>
      </c>
      <c r="H8" s="72">
        <f>BARTEK!L39</f>
        <v>1650</v>
      </c>
      <c r="I8" s="359"/>
      <c r="J8" s="72">
        <f>BARTEK!F39</f>
        <v>1650</v>
      </c>
      <c r="K8" s="72">
        <f>BARTEK!G39</f>
        <v>1650</v>
      </c>
      <c r="L8" s="72">
        <f>BARTEK!H39</f>
        <v>1650</v>
      </c>
      <c r="M8" s="359"/>
      <c r="N8" s="72">
        <f>BARTEK!B39</f>
        <v>1650</v>
      </c>
      <c r="O8" s="72">
        <f>BARTEK!C39</f>
        <v>1650</v>
      </c>
      <c r="P8" s="72">
        <f>BARTEK!D39</f>
        <v>1650</v>
      </c>
    </row>
    <row r="9" spans="1:17" ht="15" customHeight="1">
      <c r="A9" s="1" t="s">
        <v>31</v>
      </c>
      <c r="B9" s="72">
        <f>PIOTR!N39</f>
        <v>2080</v>
      </c>
      <c r="C9" s="72">
        <f>PIOTR!O39</f>
        <v>2330</v>
      </c>
      <c r="D9" s="72">
        <f>PIOTR!P39</f>
        <v>2330</v>
      </c>
      <c r="E9" s="72"/>
      <c r="F9" s="72">
        <f>PIOTR!J39</f>
        <v>2330</v>
      </c>
      <c r="G9" s="72">
        <f>PIOTR!K39</f>
        <v>1631</v>
      </c>
      <c r="H9" s="72">
        <f>PIOTR!L39</f>
        <v>1398</v>
      </c>
      <c r="I9" s="359"/>
      <c r="J9" s="72">
        <f>PIOTR!F39</f>
        <v>2330</v>
      </c>
      <c r="K9" s="72">
        <f>PIOTR!G39</f>
        <v>2330</v>
      </c>
      <c r="L9" s="72">
        <f>PIOTR!H39</f>
        <v>1631</v>
      </c>
      <c r="M9" s="359"/>
      <c r="N9" s="72">
        <f>PIOTR!B39</f>
        <v>2330</v>
      </c>
      <c r="O9" s="72">
        <f>PIOTR!C39</f>
        <v>2330</v>
      </c>
      <c r="P9" s="72">
        <f>PIOTR!D39</f>
        <v>2330</v>
      </c>
    </row>
    <row r="10" spans="1:17" ht="15" customHeight="1">
      <c r="A10" s="1" t="s">
        <v>32</v>
      </c>
      <c r="B10" s="72">
        <f>KRZYSZTOF!N39</f>
        <v>1550</v>
      </c>
      <c r="C10" s="72">
        <f>KRZYSZTOF!O39</f>
        <v>1800</v>
      </c>
      <c r="D10" s="72">
        <f>KRZYSZTOF!P39</f>
        <v>1800</v>
      </c>
      <c r="E10" s="72"/>
      <c r="F10" s="72">
        <f>KRZYSZTOF!J39</f>
        <v>1800</v>
      </c>
      <c r="G10" s="72">
        <f>KRZYSZTOF!K39</f>
        <v>1440</v>
      </c>
      <c r="H10" s="72">
        <f>KRZYSZTOF!L39</f>
        <v>1800</v>
      </c>
      <c r="I10" s="359"/>
      <c r="J10" s="72">
        <f>KRZYSZTOF!F39</f>
        <v>1800</v>
      </c>
      <c r="K10" s="72">
        <f>KRZYSZTOF!G39</f>
        <v>1620</v>
      </c>
      <c r="L10" s="72">
        <f>KRZYSZTOF!H39</f>
        <v>1260</v>
      </c>
      <c r="M10" s="359"/>
      <c r="N10" s="72">
        <f>KRZYSZTOF!B39</f>
        <v>1800</v>
      </c>
      <c r="O10" s="72">
        <f>KRZYSZTOF!C39</f>
        <v>1800</v>
      </c>
      <c r="P10" s="72">
        <f>KRZYSZTOF!D39</f>
        <v>1620</v>
      </c>
    </row>
    <row r="11" spans="1:17" ht="15" customHeight="1"/>
    <row r="12" spans="1:17" ht="15" customHeight="1">
      <c r="A12" s="597" t="s">
        <v>30</v>
      </c>
      <c r="B12" s="597"/>
      <c r="C12" s="597"/>
      <c r="D12" s="597"/>
      <c r="E12" s="597"/>
      <c r="F12" s="597"/>
      <c r="G12" s="597"/>
      <c r="H12" s="597"/>
      <c r="I12" s="597"/>
      <c r="J12" s="597"/>
      <c r="K12" s="597"/>
      <c r="L12" s="597"/>
      <c r="M12" s="597"/>
      <c r="N12" s="597"/>
      <c r="O12" s="597"/>
      <c r="P12" s="597"/>
    </row>
    <row r="13" spans="1:17" ht="15" customHeight="1">
      <c r="A13" s="49"/>
      <c r="B13" s="600" t="s">
        <v>85</v>
      </c>
      <c r="C13" s="585"/>
      <c r="D13" s="577"/>
      <c r="E13" s="263"/>
      <c r="F13" s="600" t="s">
        <v>86</v>
      </c>
      <c r="G13" s="602"/>
      <c r="H13" s="603"/>
      <c r="I13" s="360"/>
      <c r="J13" s="600" t="s">
        <v>87</v>
      </c>
      <c r="K13" s="602"/>
      <c r="L13" s="603"/>
      <c r="M13" s="360"/>
      <c r="N13" s="600" t="s">
        <v>88</v>
      </c>
      <c r="O13" s="602"/>
      <c r="P13" s="603"/>
    </row>
    <row r="14" spans="1:17" ht="15" customHeight="1">
      <c r="A14" s="1" t="s">
        <v>42</v>
      </c>
      <c r="B14" s="601">
        <f>TOMEK!N45</f>
        <v>1650</v>
      </c>
      <c r="C14" s="585"/>
      <c r="D14" s="577"/>
      <c r="E14" s="263"/>
      <c r="F14" s="601">
        <f>TOMEK!J45</f>
        <v>1650</v>
      </c>
      <c r="G14" s="602"/>
      <c r="H14" s="603"/>
      <c r="I14" s="464"/>
      <c r="J14" s="601">
        <f>TOMEK!F45</f>
        <v>2310</v>
      </c>
      <c r="K14" s="602"/>
      <c r="L14" s="603"/>
      <c r="M14" s="464"/>
      <c r="N14" s="601">
        <f>TOMEK!B45</f>
        <v>1650</v>
      </c>
      <c r="O14" s="602"/>
      <c r="P14" s="603"/>
    </row>
    <row r="15" spans="1:17" ht="15" customHeight="1">
      <c r="A15" s="1" t="s">
        <v>236</v>
      </c>
      <c r="B15" s="604">
        <f>'PIOTR L'!N45</f>
        <v>2800</v>
      </c>
      <c r="C15" s="605"/>
      <c r="D15" s="606"/>
      <c r="E15" s="263"/>
      <c r="F15" s="601">
        <f>'PIOTR L'!J45</f>
        <v>0</v>
      </c>
      <c r="G15" s="602"/>
      <c r="H15" s="603"/>
      <c r="I15" s="464"/>
      <c r="J15" s="601">
        <f>'PIOTR L'!F45</f>
        <v>0</v>
      </c>
      <c r="K15" s="602"/>
      <c r="L15" s="603"/>
      <c r="M15" s="464"/>
      <c r="N15" s="609">
        <f>'PIOTR L'!B45</f>
        <v>1400</v>
      </c>
      <c r="O15" s="610"/>
      <c r="P15" s="611"/>
    </row>
    <row r="16" spans="1:17" ht="15" customHeight="1">
      <c r="A16" s="473" t="s">
        <v>222</v>
      </c>
      <c r="B16" s="604">
        <f>Artur!B45</f>
        <v>0</v>
      </c>
      <c r="C16" s="605"/>
      <c r="D16" s="606"/>
      <c r="E16" s="442"/>
      <c r="F16" s="604" t="e">
        <f>Artur!N45</f>
        <v>#DIV/0!</v>
      </c>
      <c r="G16" s="605"/>
      <c r="H16" s="606"/>
      <c r="I16" s="464"/>
      <c r="J16" s="604" t="e">
        <f>Artur!J45</f>
        <v>#DIV/0!</v>
      </c>
      <c r="K16" s="605"/>
      <c r="L16" s="606"/>
      <c r="M16" s="464"/>
      <c r="N16" s="604">
        <f>Artur!F45</f>
        <v>0</v>
      </c>
      <c r="O16" s="605"/>
      <c r="P16" s="606"/>
    </row>
    <row r="17" spans="1:16" ht="15" customHeight="1">
      <c r="A17" s="1" t="s">
        <v>90</v>
      </c>
      <c r="B17" s="601">
        <f>BARTEK!N45</f>
        <v>0</v>
      </c>
      <c r="C17" s="607"/>
      <c r="D17" s="608"/>
      <c r="E17" s="264"/>
      <c r="F17" s="601">
        <f>BARTEK!J45</f>
        <v>2310</v>
      </c>
      <c r="G17" s="602"/>
      <c r="H17" s="603"/>
      <c r="I17" s="464"/>
      <c r="J17" s="601">
        <f>BARTEK!F45</f>
        <v>1650</v>
      </c>
      <c r="K17" s="602"/>
      <c r="L17" s="603"/>
      <c r="M17" s="464"/>
      <c r="N17" s="601">
        <f>BARTEK!B45</f>
        <v>3300</v>
      </c>
      <c r="O17" s="602"/>
      <c r="P17" s="603"/>
    </row>
    <row r="18" spans="1:16" ht="16.5" customHeight="1">
      <c r="A18" s="1" t="s">
        <v>31</v>
      </c>
      <c r="B18" s="601">
        <f>PIOTR!N45</f>
        <v>2330</v>
      </c>
      <c r="C18" s="585"/>
      <c r="D18" s="577"/>
      <c r="E18" s="263"/>
      <c r="F18" s="601">
        <f>PIOTR!J45</f>
        <v>0</v>
      </c>
      <c r="G18" s="602"/>
      <c r="H18" s="603"/>
      <c r="I18" s="464"/>
      <c r="J18" s="601">
        <f>PIOTR!F45</f>
        <v>0</v>
      </c>
      <c r="K18" s="602"/>
      <c r="L18" s="603"/>
      <c r="M18" s="464"/>
      <c r="N18" s="601">
        <f>PIOTR!B45</f>
        <v>0</v>
      </c>
      <c r="O18" s="602"/>
      <c r="P18" s="603"/>
    </row>
    <row r="19" spans="1:16" ht="16.5" customHeight="1">
      <c r="A19" s="1" t="s">
        <v>32</v>
      </c>
      <c r="B19" s="601">
        <f>KRZYSZTOF!N45</f>
        <v>1800</v>
      </c>
      <c r="C19" s="585"/>
      <c r="D19" s="577"/>
      <c r="E19" s="263"/>
      <c r="F19" s="601">
        <f>KRZYSZTOF!J45</f>
        <v>1800</v>
      </c>
      <c r="G19" s="602"/>
      <c r="H19" s="603"/>
      <c r="I19" s="464"/>
      <c r="J19" s="601">
        <f>KRZYSZTOF!F45</f>
        <v>0</v>
      </c>
      <c r="K19" s="602"/>
      <c r="L19" s="603"/>
      <c r="M19" s="464"/>
      <c r="N19" s="601">
        <f>KRZYSZTOF!B45</f>
        <v>1800</v>
      </c>
      <c r="O19" s="602"/>
      <c r="P19" s="603"/>
    </row>
    <row r="20" spans="1:16" ht="13.5" customHeight="1">
      <c r="C20" s="440"/>
    </row>
  </sheetData>
  <mergeCells count="31">
    <mergeCell ref="J15:L15"/>
    <mergeCell ref="J17:L17"/>
    <mergeCell ref="J18:L18"/>
    <mergeCell ref="J19:L19"/>
    <mergeCell ref="N15:P15"/>
    <mergeCell ref="N17:P17"/>
    <mergeCell ref="N18:P18"/>
    <mergeCell ref="N19:P19"/>
    <mergeCell ref="J16:L16"/>
    <mergeCell ref="N16:P16"/>
    <mergeCell ref="B19:D19"/>
    <mergeCell ref="F15:H15"/>
    <mergeCell ref="F17:H17"/>
    <mergeCell ref="F18:H18"/>
    <mergeCell ref="F19:H19"/>
    <mergeCell ref="B16:D16"/>
    <mergeCell ref="F16:H16"/>
    <mergeCell ref="B15:D15"/>
    <mergeCell ref="B17:D17"/>
    <mergeCell ref="B18:D18"/>
    <mergeCell ref="A2:P2"/>
    <mergeCell ref="A1:P1"/>
    <mergeCell ref="A12:P12"/>
    <mergeCell ref="B13:D13"/>
    <mergeCell ref="B14:D14"/>
    <mergeCell ref="F13:H13"/>
    <mergeCell ref="F14:H14"/>
    <mergeCell ref="J13:L13"/>
    <mergeCell ref="J14:L14"/>
    <mergeCell ref="N13:P13"/>
    <mergeCell ref="N14:P14"/>
  </mergeCells>
  <phoneticPr fontId="206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36"/>
  <sheetViews>
    <sheetView topLeftCell="D4" workbookViewId="0">
      <selection activeCell="O16" sqref="O16"/>
    </sheetView>
  </sheetViews>
  <sheetFormatPr defaultRowHeight="12.75"/>
  <cols>
    <col min="1" max="1" width="34.140625" customWidth="1"/>
    <col min="2" max="2" width="10.140625" bestFit="1" customWidth="1"/>
    <col min="3" max="3" width="11.7109375" customWidth="1"/>
    <col min="4" max="4" width="11.140625" bestFit="1" customWidth="1"/>
    <col min="5" max="5" width="12.85546875" customWidth="1"/>
    <col min="6" max="7" width="11.140625" bestFit="1" customWidth="1"/>
    <col min="8" max="8" width="11.28515625" bestFit="1" customWidth="1"/>
    <col min="9" max="9" width="11.140625" bestFit="1" customWidth="1"/>
    <col min="10" max="12" width="11.28515625" bestFit="1" customWidth="1"/>
    <col min="13" max="13" width="11" bestFit="1" customWidth="1"/>
    <col min="14" max="16" width="11.28515625" bestFit="1" customWidth="1"/>
    <col min="17" max="17" width="11" bestFit="1" customWidth="1"/>
    <col min="18" max="18" width="11.28515625" bestFit="1" customWidth="1"/>
  </cols>
  <sheetData>
    <row r="1" spans="1:18">
      <c r="A1" s="363"/>
      <c r="B1" s="612" t="s">
        <v>237</v>
      </c>
      <c r="C1" s="613"/>
      <c r="D1" s="613"/>
      <c r="E1" s="613"/>
      <c r="F1" s="613"/>
      <c r="G1" s="613"/>
      <c r="H1" s="613"/>
      <c r="I1" s="613"/>
      <c r="J1" s="613"/>
      <c r="K1" s="613"/>
      <c r="L1" s="613"/>
      <c r="M1" s="613"/>
      <c r="N1" s="613"/>
      <c r="O1" s="613"/>
      <c r="P1" s="613"/>
      <c r="Q1" s="613"/>
      <c r="R1" s="614"/>
    </row>
    <row r="2" spans="1:18" ht="13.5" thickBot="1">
      <c r="A2" s="364" t="s">
        <v>0</v>
      </c>
      <c r="B2" s="365" t="s">
        <v>1</v>
      </c>
      <c r="C2" s="365" t="s">
        <v>2</v>
      </c>
      <c r="D2" s="365" t="s">
        <v>3</v>
      </c>
      <c r="E2" s="365" t="s">
        <v>175</v>
      </c>
      <c r="F2" s="365" t="s">
        <v>4</v>
      </c>
      <c r="G2" s="365" t="s">
        <v>5</v>
      </c>
      <c r="H2" s="365" t="s">
        <v>6</v>
      </c>
      <c r="I2" s="365" t="s">
        <v>220</v>
      </c>
      <c r="J2" s="365" t="s">
        <v>7</v>
      </c>
      <c r="K2" s="365" t="s">
        <v>8</v>
      </c>
      <c r="L2" s="365" t="s">
        <v>9</v>
      </c>
      <c r="M2" s="490"/>
      <c r="N2" s="365" t="s">
        <v>10</v>
      </c>
      <c r="O2" s="365" t="s">
        <v>11</v>
      </c>
      <c r="P2" s="365" t="s">
        <v>12</v>
      </c>
      <c r="Q2" s="365"/>
      <c r="R2" s="365" t="s">
        <v>13</v>
      </c>
    </row>
    <row r="3" spans="1:18">
      <c r="A3" s="366" t="s">
        <v>231</v>
      </c>
      <c r="B3" s="367">
        <f>DH!B3</f>
        <v>212824.02840000001</v>
      </c>
      <c r="C3" s="367">
        <f>DH!C3</f>
        <v>244670.31039999999</v>
      </c>
      <c r="D3" s="367">
        <f>DH!D3</f>
        <v>266979.06680000003</v>
      </c>
      <c r="E3" s="367">
        <f>SUM(B3:D3)</f>
        <v>724473.40560000006</v>
      </c>
      <c r="F3" s="367">
        <f>DH!F3</f>
        <v>237100.8952</v>
      </c>
      <c r="G3" s="367">
        <f>DH!G3</f>
        <v>203286.91540000003</v>
      </c>
      <c r="H3" s="367">
        <f>DH!H3</f>
        <v>270048.90110000002</v>
      </c>
      <c r="I3" s="367">
        <f>SUM(F3:H3)</f>
        <v>710436.7117000001</v>
      </c>
      <c r="J3" s="367">
        <f>DH!J3</f>
        <v>182390.5226</v>
      </c>
      <c r="K3" s="367">
        <f>DH!K3</f>
        <v>188332.88149999999</v>
      </c>
      <c r="L3" s="367">
        <f>DH!L3</f>
        <v>229144.72520000004</v>
      </c>
      <c r="M3" s="367">
        <f>SUM(J3:L3)</f>
        <v>599868.12930000003</v>
      </c>
      <c r="N3" s="367">
        <f>DH!N3</f>
        <v>216579.7641</v>
      </c>
      <c r="O3" s="367">
        <f>DH!O3</f>
        <v>203842.25319999998</v>
      </c>
      <c r="P3" s="367">
        <f>DH!P3</f>
        <v>212873.0809</v>
      </c>
      <c r="Q3" s="367">
        <f>SUM(N3:P3)</f>
        <v>633295.09819999989</v>
      </c>
      <c r="R3" s="368">
        <f>SUM(N3:P3,J3:L3,F3:H3,B3:D3)</f>
        <v>2668073.3448000001</v>
      </c>
    </row>
    <row r="4" spans="1:18">
      <c r="A4" s="369" t="s">
        <v>238</v>
      </c>
      <c r="B4" s="370">
        <f>B3</f>
        <v>212824.02840000001</v>
      </c>
      <c r="C4" s="371">
        <f>C3+B4</f>
        <v>457494.33880000003</v>
      </c>
      <c r="D4" s="371">
        <f>D3+C4</f>
        <v>724473.40560000006</v>
      </c>
      <c r="E4" s="372"/>
      <c r="F4" s="370">
        <f>F3+D4</f>
        <v>961574.30080000008</v>
      </c>
      <c r="G4" s="370">
        <f>G3+F4</f>
        <v>1164861.2162000001</v>
      </c>
      <c r="H4" s="370">
        <f>H3+G4</f>
        <v>1434910.1173</v>
      </c>
      <c r="I4" s="371"/>
      <c r="J4" s="370">
        <f>J3+H4</f>
        <v>1617300.6399000001</v>
      </c>
      <c r="K4" s="370">
        <f>K3+J4</f>
        <v>1805633.5214</v>
      </c>
      <c r="L4" s="370">
        <f>L3+K4</f>
        <v>2034778.2466</v>
      </c>
      <c r="M4" s="371"/>
      <c r="N4" s="370">
        <f>N3+L4</f>
        <v>2251358.0107</v>
      </c>
      <c r="O4" s="370">
        <f>O3+N4</f>
        <v>2455200.2639000001</v>
      </c>
      <c r="P4" s="370">
        <f>P3+O4</f>
        <v>2668073.3448000001</v>
      </c>
      <c r="Q4" s="370"/>
      <c r="R4" s="373"/>
    </row>
    <row r="5" spans="1:18" ht="13.5" thickBot="1">
      <c r="A5" s="374" t="s">
        <v>239</v>
      </c>
      <c r="B5" s="375">
        <f>B9/B4</f>
        <v>1.07078321988947</v>
      </c>
      <c r="C5" s="375">
        <f>C9/C4</f>
        <v>1.0023719744879169</v>
      </c>
      <c r="D5" s="375">
        <f>D9/D4</f>
        <v>1.0796098611131681</v>
      </c>
      <c r="E5" s="491">
        <f>E8/E3</f>
        <v>1.0796098611131681</v>
      </c>
      <c r="F5" s="375">
        <f>F9/F4</f>
        <v>1.0728593841804137</v>
      </c>
      <c r="G5" s="375">
        <f>G9/G4</f>
        <v>1.1058494395600427</v>
      </c>
      <c r="H5" s="375">
        <f>H9/H4</f>
        <v>1.0583309592641896</v>
      </c>
      <c r="I5" s="491">
        <f>I8/I3</f>
        <v>1.0366316323064528</v>
      </c>
      <c r="J5" s="375">
        <f>J9/J4</f>
        <v>1.0897167728252253</v>
      </c>
      <c r="K5" s="375">
        <f>K9/K4</f>
        <v>1.0793845741127255</v>
      </c>
      <c r="L5" s="375">
        <f>L9/L4</f>
        <v>1.0818957413066732</v>
      </c>
      <c r="M5" s="491">
        <f>M8/M3</f>
        <v>1.1382637037189898</v>
      </c>
      <c r="N5" s="375">
        <f>N9/N4</f>
        <v>1.1179357420002005</v>
      </c>
      <c r="O5" s="375">
        <f>O9/O4</f>
        <v>1.1266459537626801</v>
      </c>
      <c r="P5" s="375">
        <f>P9/P4</f>
        <v>1.1258784775368216</v>
      </c>
      <c r="Q5" s="375"/>
      <c r="R5" s="376">
        <f>R6/R3</f>
        <v>1.100419523969302</v>
      </c>
    </row>
    <row r="6" spans="1:18">
      <c r="A6" s="377" t="s">
        <v>47</v>
      </c>
      <c r="B6" s="378">
        <f>DH!B6</f>
        <v>220200</v>
      </c>
      <c r="C6" s="378">
        <f>DH!C6</f>
        <v>244666.66666666666</v>
      </c>
      <c r="D6" s="378">
        <f>DH!D6</f>
        <v>256900</v>
      </c>
      <c r="E6" s="378">
        <f>SUM(B6:D6)</f>
        <v>721766.66666666663</v>
      </c>
      <c r="F6" s="378">
        <f>DH!F6</f>
        <v>244666.66666666666</v>
      </c>
      <c r="G6" s="378">
        <f>DH!G6</f>
        <v>256900</v>
      </c>
      <c r="H6" s="378">
        <f>DH!H6</f>
        <v>269133.33333333337</v>
      </c>
      <c r="I6" s="378">
        <f>SUM(F6:H6)</f>
        <v>770700</v>
      </c>
      <c r="J6" s="378">
        <f>DH!J6</f>
        <v>220200</v>
      </c>
      <c r="K6" s="378">
        <f>DH!K6</f>
        <v>220200</v>
      </c>
      <c r="L6" s="378">
        <f>DH!L6</f>
        <v>244666.66666666666</v>
      </c>
      <c r="M6" s="492">
        <f>SUM(J6:L6)</f>
        <v>685066.66666666663</v>
      </c>
      <c r="N6" s="378">
        <f>DH!N6</f>
        <v>256900</v>
      </c>
      <c r="O6" s="378">
        <f>DH!O6</f>
        <v>256900</v>
      </c>
      <c r="P6" s="378">
        <f>DH!P6</f>
        <v>244666.66666666666</v>
      </c>
      <c r="Q6" s="378">
        <f>SUM(N6:P6)</f>
        <v>758466.66666666663</v>
      </c>
      <c r="R6" s="379">
        <f>B6+C6+D6+F6+G6+H6+J6+K6+L6+N6+O6+P6</f>
        <v>2935999.9999999995</v>
      </c>
    </row>
    <row r="7" spans="1:18">
      <c r="A7" s="380" t="s">
        <v>46</v>
      </c>
      <c r="B7" s="381">
        <f>B6</f>
        <v>220200</v>
      </c>
      <c r="C7" s="381">
        <f>C6+B7</f>
        <v>464866.66666666663</v>
      </c>
      <c r="D7" s="381">
        <f>D6+C7</f>
        <v>721766.66666666663</v>
      </c>
      <c r="E7" s="382"/>
      <c r="F7" s="381">
        <f>F6+D7</f>
        <v>966433.33333333326</v>
      </c>
      <c r="G7" s="381">
        <f>G6+F7</f>
        <v>1223333.3333333333</v>
      </c>
      <c r="H7" s="381">
        <f>H6+G7</f>
        <v>1492466.6666666665</v>
      </c>
      <c r="I7" s="381"/>
      <c r="J7" s="381">
        <f>J6+H7</f>
        <v>1712666.6666666665</v>
      </c>
      <c r="K7" s="381">
        <f>K6+J7</f>
        <v>1932866.6666666665</v>
      </c>
      <c r="L7" s="381">
        <f>L6+K7</f>
        <v>2177533.333333333</v>
      </c>
      <c r="M7" s="493"/>
      <c r="N7" s="381">
        <f>N6+L7</f>
        <v>2434433.333333333</v>
      </c>
      <c r="O7" s="381">
        <f>O6+N7</f>
        <v>2691333.333333333</v>
      </c>
      <c r="P7" s="381">
        <f>P6+O7</f>
        <v>2935999.9999999995</v>
      </c>
      <c r="Q7" s="381"/>
      <c r="R7" s="383"/>
    </row>
    <row r="8" spans="1:18">
      <c r="A8" s="384" t="s">
        <v>48</v>
      </c>
      <c r="B8" s="385">
        <f>DH!B8</f>
        <v>227888.39840000001</v>
      </c>
      <c r="C8" s="385">
        <f>DH!C8</f>
        <v>230691.10530000002</v>
      </c>
      <c r="D8" s="385">
        <f>DH!D8</f>
        <v>323569.12910000002</v>
      </c>
      <c r="E8" s="482">
        <f>SUM(B8:D8)</f>
        <v>782148.63280000002</v>
      </c>
      <c r="F8" s="385">
        <f>DH!F8</f>
        <v>249485.37940000001</v>
      </c>
      <c r="G8" s="385">
        <f>DH!G8</f>
        <v>256527.11089999997</v>
      </c>
      <c r="H8" s="385">
        <f>DH!H8</f>
        <v>230448.6778</v>
      </c>
      <c r="I8" s="482">
        <f>SUM(F8:H8)</f>
        <v>736461.16809999989</v>
      </c>
      <c r="J8" s="385">
        <f>DH!J8</f>
        <v>243789.83309999999</v>
      </c>
      <c r="K8" s="385">
        <f>DH!K8</f>
        <v>186573.33550000002</v>
      </c>
      <c r="L8" s="385">
        <f>DH!L8</f>
        <v>252444.9499999999</v>
      </c>
      <c r="M8" s="482">
        <f>SUM(J8:L8)</f>
        <v>682808.11859999993</v>
      </c>
      <c r="N8" s="385">
        <f>DH!N8</f>
        <v>315455.66869999998</v>
      </c>
      <c r="O8" s="385">
        <f>DH!O8</f>
        <v>249267.8548</v>
      </c>
      <c r="P8" s="385">
        <f>DH!P8</f>
        <v>237784.91239999997</v>
      </c>
      <c r="Q8" s="385"/>
      <c r="R8" s="386">
        <f>B8+C8+D8+F8+G8+H8+J8+K8+L8+N8+O8+P8</f>
        <v>3003926.3553999993</v>
      </c>
    </row>
    <row r="9" spans="1:18">
      <c r="A9" s="380" t="s">
        <v>49</v>
      </c>
      <c r="B9" s="387">
        <f>B8</f>
        <v>227888.39840000001</v>
      </c>
      <c r="C9" s="387">
        <f>C8+B9</f>
        <v>458579.5037</v>
      </c>
      <c r="D9" s="387">
        <f>D8+C9</f>
        <v>782148.63280000002</v>
      </c>
      <c r="E9" s="381"/>
      <c r="F9" s="387">
        <f>F8+D9</f>
        <v>1031634.0122</v>
      </c>
      <c r="G9" s="387">
        <f>G8+F9</f>
        <v>1288161.1231</v>
      </c>
      <c r="H9" s="387">
        <f>H8+G9</f>
        <v>1518609.8008999999</v>
      </c>
      <c r="I9" s="387"/>
      <c r="J9" s="387">
        <f>J8+H9</f>
        <v>1762399.6339999998</v>
      </c>
      <c r="K9" s="387">
        <f>K8+J9</f>
        <v>1948972.9694999999</v>
      </c>
      <c r="L9" s="387">
        <f>L8+K9</f>
        <v>2201417.9194999998</v>
      </c>
      <c r="M9" s="387"/>
      <c r="N9" s="387">
        <f>N8+L9</f>
        <v>2516873.5881999996</v>
      </c>
      <c r="O9" s="387">
        <f>O8+N9</f>
        <v>2766141.4429999995</v>
      </c>
      <c r="P9" s="387">
        <f>P8+O9</f>
        <v>3003926.3553999993</v>
      </c>
      <c r="Q9" s="387"/>
      <c r="R9" s="388"/>
    </row>
    <row r="10" spans="1:18">
      <c r="A10" s="380" t="s">
        <v>50</v>
      </c>
      <c r="B10" s="389">
        <f>B8/B6</f>
        <v>1.0349155240690282</v>
      </c>
      <c r="C10" s="389">
        <f>C8/C6</f>
        <v>0.94287917697547696</v>
      </c>
      <c r="D10" s="389">
        <f>D8/D6</f>
        <v>1.259513931880109</v>
      </c>
      <c r="E10" s="389"/>
      <c r="F10" s="389">
        <f>F8/F6</f>
        <v>1.0196950111716623</v>
      </c>
      <c r="G10" s="389">
        <f>G8/G6</f>
        <v>0.99854850486570634</v>
      </c>
      <c r="H10" s="389">
        <f>H8/H6</f>
        <v>0.85626211716621248</v>
      </c>
      <c r="I10" s="483"/>
      <c r="J10" s="389">
        <f>J8/J6</f>
        <v>1.1071291239782015</v>
      </c>
      <c r="K10" s="389">
        <f>K8/K6</f>
        <v>0.84729035195277025</v>
      </c>
      <c r="L10" s="389">
        <f>L8/L6</f>
        <v>1.0317913487738415</v>
      </c>
      <c r="M10" s="389"/>
      <c r="N10" s="389">
        <f>N8/N6</f>
        <v>1.2279317582717009</v>
      </c>
      <c r="O10" s="389">
        <f>O8/O6</f>
        <v>0.97029137718956793</v>
      </c>
      <c r="P10" s="389">
        <f>P8/P6</f>
        <v>0.9718729389645776</v>
      </c>
      <c r="Q10" s="389"/>
      <c r="R10" s="388"/>
    </row>
    <row r="11" spans="1:18">
      <c r="A11" s="380" t="s">
        <v>59</v>
      </c>
      <c r="B11" s="390">
        <f>B9-B7</f>
        <v>7688.3984000000055</v>
      </c>
      <c r="C11" s="390">
        <f>C9-C7</f>
        <v>-6287.1629666666267</v>
      </c>
      <c r="D11" s="390">
        <f>D9-D7</f>
        <v>60381.966133333393</v>
      </c>
      <c r="E11" s="390"/>
      <c r="F11" s="390">
        <f>F9-F7</f>
        <v>65200.678866666742</v>
      </c>
      <c r="G11" s="390">
        <f>G9-G7</f>
        <v>64827.789766666712</v>
      </c>
      <c r="H11" s="390">
        <f>H9-H7</f>
        <v>26143.134233333403</v>
      </c>
      <c r="I11" s="390"/>
      <c r="J11" s="390">
        <f>J9-J7</f>
        <v>49732.967333333334</v>
      </c>
      <c r="K11" s="390">
        <f>K9-K7</f>
        <v>16106.302833333379</v>
      </c>
      <c r="L11" s="390">
        <f>L9-L7</f>
        <v>23884.586166666821</v>
      </c>
      <c r="M11" s="390"/>
      <c r="N11" s="390">
        <f>N9-N7</f>
        <v>82440.254866666626</v>
      </c>
      <c r="O11" s="390">
        <f>O9-O7</f>
        <v>74808.109666666482</v>
      </c>
      <c r="P11" s="390">
        <f>P9-P7</f>
        <v>67926.355399999768</v>
      </c>
      <c r="Q11" s="390"/>
      <c r="R11" s="391"/>
    </row>
    <row r="12" spans="1:18" ht="13.5" thickBot="1">
      <c r="A12" s="392" t="s">
        <v>51</v>
      </c>
      <c r="B12" s="393">
        <f>B9/B7</f>
        <v>1.0349155240690282</v>
      </c>
      <c r="C12" s="393">
        <f>C9/C7</f>
        <v>0.9864753413882118</v>
      </c>
      <c r="D12" s="393">
        <f>D9/D7</f>
        <v>1.0836585685124465</v>
      </c>
      <c r="E12" s="393"/>
      <c r="F12" s="393">
        <f>F9/F7</f>
        <v>1.0674652628565517</v>
      </c>
      <c r="G12" s="393">
        <f>G9/G7</f>
        <v>1.0529927436784741</v>
      </c>
      <c r="H12" s="393">
        <f>H9/H7</f>
        <v>1.017516729061509</v>
      </c>
      <c r="I12" s="393"/>
      <c r="J12" s="393">
        <f>J9/J7</f>
        <v>1.029038322693655</v>
      </c>
      <c r="K12" s="393">
        <f>K9/K7</f>
        <v>1.0083328576725417</v>
      </c>
      <c r="L12" s="393">
        <f>L9/L7</f>
        <v>1.0109686431895417</v>
      </c>
      <c r="M12" s="393"/>
      <c r="N12" s="393">
        <f>N9/N7</f>
        <v>1.0338642482987144</v>
      </c>
      <c r="O12" s="393">
        <f>O9/O7</f>
        <v>1.0277959287837501</v>
      </c>
      <c r="P12" s="393">
        <f>P9/P7</f>
        <v>1.0231356796321525</v>
      </c>
      <c r="Q12" s="394"/>
      <c r="R12" s="395"/>
    </row>
    <row r="13" spans="1:18">
      <c r="A13" s="396" t="s">
        <v>182</v>
      </c>
      <c r="B13" s="397">
        <f>'Target 2017'!C10</f>
        <v>225833.33333333334</v>
      </c>
      <c r="C13" s="433">
        <f>'Target 2017'!D10</f>
        <v>253333.33333333334</v>
      </c>
      <c r="D13" s="433">
        <f>'Target 2017'!E10</f>
        <v>295833.33333333331</v>
      </c>
      <c r="E13" s="398">
        <f>SUM(B13:D13)</f>
        <v>775000</v>
      </c>
      <c r="F13" s="397">
        <f>'Target 2017'!F10</f>
        <v>215899.99999999997</v>
      </c>
      <c r="G13" s="397">
        <f>'Target 2017'!G10</f>
        <v>253999.99999999997</v>
      </c>
      <c r="H13" s="397">
        <f>'Target 2017'!H10</f>
        <v>292100</v>
      </c>
      <c r="I13" s="398">
        <f>SUM(F13:H13)</f>
        <v>762000</v>
      </c>
      <c r="J13" s="397">
        <f>'Target 2017'!I10</f>
        <v>207966.66666666666</v>
      </c>
      <c r="K13" s="397">
        <f>'Target 2017'!J10</f>
        <v>244666.66666666666</v>
      </c>
      <c r="L13" s="397">
        <f>'Target 2017'!K10</f>
        <v>281366.66666666663</v>
      </c>
      <c r="M13" s="398"/>
      <c r="N13" s="397">
        <f>'Target 2017'!L10</f>
        <v>234383.33333333331</v>
      </c>
      <c r="O13" s="397">
        <f>'Target 2017'!M10</f>
        <v>261450.00000000006</v>
      </c>
      <c r="P13" s="397">
        <f>'Target 2017'!N10</f>
        <v>251166.66666666666</v>
      </c>
      <c r="Q13" s="398">
        <f>SUM(N13:P13)</f>
        <v>747000</v>
      </c>
      <c r="R13" s="399"/>
    </row>
    <row r="14" spans="1:18" ht="13.5" thickBot="1">
      <c r="A14" s="400" t="s">
        <v>183</v>
      </c>
      <c r="B14" s="401">
        <f>B8/B13</f>
        <v>1.0090999191143912</v>
      </c>
      <c r="C14" s="401">
        <f>(B8+C8)/(B13+C13)</f>
        <v>0.95703548598260868</v>
      </c>
      <c r="D14" s="401">
        <f>(D8+C8+B8)/(B13+C13+D13)</f>
        <v>1.0092240423225807</v>
      </c>
      <c r="E14" s="401"/>
      <c r="F14" s="401">
        <f>F8/F13</f>
        <v>1.1555598860583605</v>
      </c>
      <c r="G14" s="401">
        <f>(F8+G8)/(F13+G13)</f>
        <v>1.0768514371142797</v>
      </c>
      <c r="H14" s="401">
        <f>(H8+G8+F8)/(F13+G13+H13)</f>
        <v>0.96648447257217851</v>
      </c>
      <c r="I14" s="402"/>
      <c r="J14" s="401">
        <f>J8/J13</f>
        <v>1.1722543665651546</v>
      </c>
      <c r="K14" s="401">
        <f>(J8+K8)/(J13+K13)</f>
        <v>0.95079866396641877</v>
      </c>
      <c r="L14" s="401">
        <f>(L8+K8+J8)/(J13+K13+L13)</f>
        <v>0.93025629237057206</v>
      </c>
      <c r="M14" s="402"/>
      <c r="N14" s="401">
        <f>N8/N13</f>
        <v>1.3458963323615161</v>
      </c>
      <c r="O14" s="401">
        <f>(N8+O8)/(N13+O13)</f>
        <v>1.1389381986554621</v>
      </c>
      <c r="P14" s="401">
        <f>(P8+O8+N8)/(N13+O13+P13)</f>
        <v>1.074308481793842</v>
      </c>
      <c r="Q14" s="403"/>
      <c r="R14" s="404"/>
    </row>
    <row r="15" spans="1:18">
      <c r="A15" s="405" t="s">
        <v>202</v>
      </c>
      <c r="B15" s="406">
        <f>B9/('Target 2017'!$D$39/12*REALIZACJE!B18)</f>
        <v>0.98044628596013217</v>
      </c>
      <c r="C15" s="406">
        <f>C9/('Target 2017'!$D$39/12*REALIZACJE!C18)</f>
        <v>0.98647534138821191</v>
      </c>
      <c r="D15" s="406">
        <f>D9/('Target 2017'!$D$39/12*REALIZACJE!D18)</f>
        <v>1.1216816761795498</v>
      </c>
      <c r="E15" s="406"/>
      <c r="F15" s="406">
        <f>F9/('Target 2017'!$D$39/12*REALIZACJE!F18)</f>
        <v>1.1096020495482577</v>
      </c>
      <c r="G15" s="406">
        <f>G9/('Target 2017'!$D$39/12*REALIZACJE!G18)</f>
        <v>1.1084134143983939</v>
      </c>
      <c r="H15" s="406">
        <f>H9/('Target 2017'!$D$39/12*REALIZACJE!H18)</f>
        <v>1.0889214118026675</v>
      </c>
      <c r="I15" s="406"/>
      <c r="J15" s="406">
        <f>J9/('Target 2017'!$D$39/12*REALIZACJE!J18)</f>
        <v>1.083198234414374</v>
      </c>
      <c r="K15" s="406">
        <f>K9/('Target 2017'!$D$39/12*REALIZACJE!K18)</f>
        <v>1.0481354704754053</v>
      </c>
      <c r="L15" s="406">
        <f>L9/('Target 2017'!$D$39/12*REALIZACJE!L18)</f>
        <v>1.0523533244896985</v>
      </c>
      <c r="M15" s="406"/>
      <c r="N15" s="406">
        <f>N9/('Target 2017'!$D$39/12*REALIZACJE!N18)</f>
        <v>1.0828367653233901</v>
      </c>
      <c r="O15" s="406">
        <f>O9/('Target 2017'!$D$39/12*REALIZACJE!O18)</f>
        <v>1.0818904513513161</v>
      </c>
      <c r="P15" s="406">
        <f>P9/('Target 2017'!$D$39/12*REALIZACJE!P18)</f>
        <v>1.0769849259285815</v>
      </c>
      <c r="Q15" s="407"/>
      <c r="R15" s="408"/>
    </row>
    <row r="16" spans="1:18">
      <c r="A16" s="409" t="s">
        <v>214</v>
      </c>
      <c r="B16" s="410">
        <f>B9/('Target 2017'!$F$39/12*REALIZACJE!B18)</f>
        <v>0.93142397166212554</v>
      </c>
      <c r="C16" s="410">
        <f>C9/('Target 2017'!$F$39/12*REALIZACJE!C18)</f>
        <v>0.93715157431880125</v>
      </c>
      <c r="D16" s="410">
        <f>D9/('Target 2017'!$F$39/12*REALIZACJE!D18)</f>
        <v>1.0655975923705725</v>
      </c>
      <c r="E16" s="410"/>
      <c r="F16" s="410">
        <f>F9/('Target 2017'!$F$39/12*REALIZACJE!F18)</f>
        <v>1.0541219470708449</v>
      </c>
      <c r="G16" s="410">
        <f>G9/('Target 2017'!$F$39/12*REALIZACJE!G18)</f>
        <v>1.0529927436784743</v>
      </c>
      <c r="H16" s="410">
        <f>H9/('Target 2017'!$F$39/12*REALIZACJE!H18)</f>
        <v>1.0344753412125343</v>
      </c>
      <c r="I16" s="411"/>
      <c r="J16" s="410">
        <f>J9/('Target 2017'!$F$39/12*REALIZACJE!J18)</f>
        <v>1.029038322693655</v>
      </c>
      <c r="K16" s="410">
        <f>K9/('Target 2017'!$F$39/12*REALIZACJE!K18)</f>
        <v>0.99572869695163502</v>
      </c>
      <c r="L16" s="410">
        <f>L9/('Target 2017'!$F$39/12*REALIZACJE!L18)</f>
        <v>0.9997356582652136</v>
      </c>
      <c r="M16" s="410"/>
      <c r="N16" s="410">
        <f>N9/('Target 2017'!$F$39/12*REALIZACJE!N18)</f>
        <v>1.0286949270572208</v>
      </c>
      <c r="O16" s="410">
        <f>O9/('Target 2017'!$F$39/12*REALIZACJE!O18)</f>
        <v>1.0277959287837501</v>
      </c>
      <c r="P16" s="410">
        <f>P9/('Target 2017'!$F$39/12*REALIZACJE!P18)</f>
        <v>1.0231356796321525</v>
      </c>
      <c r="Q16" s="412"/>
      <c r="R16" s="413"/>
    </row>
    <row r="17" spans="1:18" ht="13.5" thickBot="1">
      <c r="A17" s="414" t="s">
        <v>203</v>
      </c>
      <c r="B17" s="415">
        <f>B9/('Target 2017'!$H$39/12*REALIZACJE!B18)</f>
        <v>0.88707044920202427</v>
      </c>
      <c r="C17" s="415">
        <f>C9/('Target 2017'!$H$39/12*REALIZACJE!C18)</f>
        <v>0.89252530887504877</v>
      </c>
      <c r="D17" s="415">
        <f>D9/('Target 2017'!$H$39/12*REALIZACJE!D18)</f>
        <v>1.0148548498767356</v>
      </c>
      <c r="E17" s="415"/>
      <c r="F17" s="415">
        <f>F9/('Target 2017'!$H$39/12*REALIZACJE!F18)</f>
        <v>1.0039256638769951</v>
      </c>
      <c r="G17" s="415">
        <f>G9/('Target 2017'!$H$39/12*REALIZACJE!G18)</f>
        <v>1.0028502320747374</v>
      </c>
      <c r="H17" s="415">
        <f>H9/('Target 2017'!$H$39/12*REALIZACJE!H18)</f>
        <v>0.98521461067860394</v>
      </c>
      <c r="I17" s="415"/>
      <c r="J17" s="415">
        <f>J9/('Target 2017'!$H$39/12*REALIZACJE!J18)</f>
        <v>0.98003649780348112</v>
      </c>
      <c r="K17" s="415">
        <f>K9/('Target 2017'!$H$39/12*REALIZACJE!K18)</f>
        <v>0.94831304471584277</v>
      </c>
      <c r="L17" s="415">
        <f>L9/('Target 2017'!$H$39/12*REALIZACJE!L18)</f>
        <v>0.9521291983478225</v>
      </c>
      <c r="M17" s="415"/>
      <c r="N17" s="415">
        <f>N9/('Target 2017'!$H$39/12*REALIZACJE!N18)</f>
        <v>0.97970945434021028</v>
      </c>
      <c r="O17" s="415">
        <f>O9/('Target 2017'!$H$39/12*REALIZACJE!O18)</f>
        <v>0.97885326550833363</v>
      </c>
      <c r="P17" s="415">
        <f>P9/('Target 2017'!$H$39/12*REALIZACJE!P18)</f>
        <v>0.97441493298300241</v>
      </c>
      <c r="Q17" s="415"/>
      <c r="R17" s="416"/>
    </row>
    <row r="18" spans="1:18" ht="13.5" thickBot="1">
      <c r="A18" s="321"/>
      <c r="B18" s="322">
        <v>1</v>
      </c>
      <c r="C18" s="322">
        <v>2</v>
      </c>
      <c r="D18" s="322">
        <v>3</v>
      </c>
      <c r="E18" s="322"/>
      <c r="F18" s="322">
        <v>4</v>
      </c>
      <c r="G18" s="322">
        <v>5</v>
      </c>
      <c r="H18" s="322">
        <v>6</v>
      </c>
      <c r="I18" s="322"/>
      <c r="J18" s="322">
        <v>7</v>
      </c>
      <c r="K18" s="322">
        <v>8</v>
      </c>
      <c r="L18" s="322">
        <v>9</v>
      </c>
      <c r="M18" s="322"/>
      <c r="N18" s="322">
        <v>10</v>
      </c>
      <c r="O18" s="322">
        <v>11</v>
      </c>
      <c r="P18" s="322">
        <v>12</v>
      </c>
      <c r="Q18" s="322"/>
      <c r="R18" s="323"/>
    </row>
    <row r="19" spans="1:18">
      <c r="A19" s="366" t="s">
        <v>230</v>
      </c>
      <c r="B19" s="417">
        <f>DH!B16</f>
        <v>595271.39999999991</v>
      </c>
      <c r="C19" s="417">
        <f>DH!C16</f>
        <v>696359.46</v>
      </c>
      <c r="D19" s="417">
        <f>DH!D16</f>
        <v>766190.38</v>
      </c>
      <c r="E19" s="367">
        <f>SUM(B19:D19)</f>
        <v>2057821.2399999998</v>
      </c>
      <c r="F19" s="417">
        <f>DH!F16</f>
        <v>682068.81</v>
      </c>
      <c r="G19" s="417">
        <f>DH!G16</f>
        <v>533838.03</v>
      </c>
      <c r="H19" s="417">
        <f>DH!H16</f>
        <v>776913.92999999993</v>
      </c>
      <c r="I19" s="367">
        <f>SUM(F19:H19)</f>
        <v>1992820.77</v>
      </c>
      <c r="J19" s="417">
        <f>DH!J16</f>
        <v>525147.41</v>
      </c>
      <c r="K19" s="417">
        <f>DH!K16</f>
        <v>587909.09</v>
      </c>
      <c r="L19" s="417">
        <f>DH!L16</f>
        <v>689455.24</v>
      </c>
      <c r="M19" s="367">
        <f>SUM(J19:L19)</f>
        <v>1802511.74</v>
      </c>
      <c r="N19" s="417">
        <f>DH!N16</f>
        <v>672593.27</v>
      </c>
      <c r="O19" s="417">
        <f>DH!O16</f>
        <v>631951.31000000006</v>
      </c>
      <c r="P19" s="417">
        <f>DH!P16</f>
        <v>608034.1</v>
      </c>
      <c r="Q19" s="367">
        <f>SUM(N19:P19)</f>
        <v>1912578.6800000002</v>
      </c>
      <c r="R19" s="368">
        <f>SUM(N19:P19,J19:L19,F19:H19,B19:D19)</f>
        <v>7765732.4299999997</v>
      </c>
    </row>
    <row r="20" spans="1:18">
      <c r="A20" s="369" t="s">
        <v>240</v>
      </c>
      <c r="B20" s="370">
        <f>B19</f>
        <v>595271.39999999991</v>
      </c>
      <c r="C20" s="370">
        <f>C19+B20</f>
        <v>1291630.8599999999</v>
      </c>
      <c r="D20" s="370">
        <f>D19+C20</f>
        <v>2057821.2399999998</v>
      </c>
      <c r="E20" s="372"/>
      <c r="F20" s="370">
        <f>F19+D20</f>
        <v>2739890.05</v>
      </c>
      <c r="G20" s="370">
        <f>G19+F20</f>
        <v>3273728.08</v>
      </c>
      <c r="H20" s="370">
        <f>H19+G20</f>
        <v>4050642.01</v>
      </c>
      <c r="I20" s="371"/>
      <c r="J20" s="370">
        <f>J19+H20</f>
        <v>4575789.42</v>
      </c>
      <c r="K20" s="370">
        <f>K19+J20</f>
        <v>5163698.51</v>
      </c>
      <c r="L20" s="370">
        <f>L19+K20</f>
        <v>5853153.75</v>
      </c>
      <c r="M20" s="370"/>
      <c r="N20" s="370">
        <f>N19+L20</f>
        <v>6525747.0199999996</v>
      </c>
      <c r="O20" s="370">
        <f>O19+N20</f>
        <v>7157698.3300000001</v>
      </c>
      <c r="P20" s="370">
        <f>P19+O20</f>
        <v>7765732.4299999997</v>
      </c>
      <c r="Q20" s="370"/>
      <c r="R20" s="373"/>
    </row>
    <row r="21" spans="1:18" ht="13.5" thickBot="1">
      <c r="A21" s="374" t="s">
        <v>241</v>
      </c>
      <c r="B21" s="375">
        <f>B25/B20</f>
        <v>1.1228174913157261</v>
      </c>
      <c r="C21" s="375">
        <f>C25/C20</f>
        <v>1.0158307536876288</v>
      </c>
      <c r="D21" s="375">
        <f>D25/D20</f>
        <v>1.0786713718631851</v>
      </c>
      <c r="E21" s="375"/>
      <c r="F21" s="375">
        <f>F25/F20</f>
        <v>1.0848954030107889</v>
      </c>
      <c r="G21" s="375">
        <f>G25/G20</f>
        <v>1.1447868694091416</v>
      </c>
      <c r="H21" s="375">
        <f>H25/H20</f>
        <v>1.0981825816791941</v>
      </c>
      <c r="I21" s="375"/>
      <c r="J21" s="375">
        <f>J25/J20</f>
        <v>1.1348172049403444</v>
      </c>
      <c r="K21" s="375">
        <f>K25/K20</f>
        <v>1.1167908368066206</v>
      </c>
      <c r="L21" s="375">
        <f>L25/L20</f>
        <v>1.1191767583416035</v>
      </c>
      <c r="M21" s="375"/>
      <c r="N21" s="375">
        <f>N25/N20</f>
        <v>1.1387350623959676</v>
      </c>
      <c r="O21" s="375">
        <f>O25/O20</f>
        <v>1.142767195945795</v>
      </c>
      <c r="P21" s="375">
        <f>P25/P20</f>
        <v>1.1435472699514577</v>
      </c>
      <c r="Q21" s="375">
        <f>Q24/Q19</f>
        <v>0</v>
      </c>
      <c r="R21" s="376">
        <f>R22/R19</f>
        <v>1.1199201206575695</v>
      </c>
    </row>
    <row r="22" spans="1:18">
      <c r="A22" s="418" t="s">
        <v>52</v>
      </c>
      <c r="B22" s="419">
        <f>DH!B19</f>
        <v>652275</v>
      </c>
      <c r="C22" s="419">
        <f>DH!C19</f>
        <v>724750</v>
      </c>
      <c r="D22" s="419">
        <f>DH!D19</f>
        <v>760987.5</v>
      </c>
      <c r="E22" s="378">
        <f>SUM(B22:D22)</f>
        <v>2138012.5</v>
      </c>
      <c r="F22" s="419">
        <f>DH!F19</f>
        <v>724750</v>
      </c>
      <c r="G22" s="419">
        <f>DH!G19</f>
        <v>760987.5</v>
      </c>
      <c r="H22" s="419">
        <f>DH!H19</f>
        <v>797225.00000000012</v>
      </c>
      <c r="I22" s="378">
        <f>SUM(F22:H22)</f>
        <v>2282962.5</v>
      </c>
      <c r="J22" s="419">
        <f>DH!J19</f>
        <v>652275</v>
      </c>
      <c r="K22" s="419">
        <f>DH!K19</f>
        <v>652275</v>
      </c>
      <c r="L22" s="419">
        <f>DH!L19</f>
        <v>724750</v>
      </c>
      <c r="M22" s="378">
        <f>SUM(J22:L22)</f>
        <v>2029300</v>
      </c>
      <c r="N22" s="419">
        <f>DH!N19</f>
        <v>760987.5</v>
      </c>
      <c r="O22" s="419">
        <f>DH!O19</f>
        <v>760987.5</v>
      </c>
      <c r="P22" s="419">
        <f>DH!P19</f>
        <v>724750</v>
      </c>
      <c r="Q22" s="378">
        <f>SUM(N22:P22)</f>
        <v>2246725</v>
      </c>
      <c r="R22" s="420">
        <f>B22+C22+D22+F22+G22+H22+J22+K22+L22+N22+O22+P22</f>
        <v>8697000</v>
      </c>
    </row>
    <row r="23" spans="1:18">
      <c r="A23" s="421" t="s">
        <v>53</v>
      </c>
      <c r="B23" s="381">
        <f>B22</f>
        <v>652275</v>
      </c>
      <c r="C23" s="381">
        <f>C22+B23</f>
        <v>1377025</v>
      </c>
      <c r="D23" s="381">
        <f>D22+C23</f>
        <v>2138012.5</v>
      </c>
      <c r="E23" s="381"/>
      <c r="F23" s="381">
        <f>F22+D23</f>
        <v>2862762.5</v>
      </c>
      <c r="G23" s="381">
        <f>G22+F23</f>
        <v>3623750</v>
      </c>
      <c r="H23" s="381">
        <f>H22+G23</f>
        <v>4420975</v>
      </c>
      <c r="I23" s="381"/>
      <c r="J23" s="381">
        <f>J22+H23</f>
        <v>5073250</v>
      </c>
      <c r="K23" s="381">
        <f>K22+J23</f>
        <v>5725525</v>
      </c>
      <c r="L23" s="381">
        <f>L22+K23</f>
        <v>6450275</v>
      </c>
      <c r="M23" s="381"/>
      <c r="N23" s="381">
        <f>N22+L23</f>
        <v>7211262.5</v>
      </c>
      <c r="O23" s="381">
        <f>O22+N23</f>
        <v>7972250</v>
      </c>
      <c r="P23" s="381">
        <f>P22+O23</f>
        <v>8697000</v>
      </c>
      <c r="Q23" s="381"/>
      <c r="R23" s="422"/>
    </row>
    <row r="24" spans="1:18">
      <c r="A24" s="423" t="s">
        <v>54</v>
      </c>
      <c r="B24" s="385">
        <f>DH!B21</f>
        <v>668381.14</v>
      </c>
      <c r="C24" s="385">
        <f>DH!C21</f>
        <v>643697.21</v>
      </c>
      <c r="D24" s="385">
        <f>DH!D21</f>
        <v>907634.51</v>
      </c>
      <c r="E24" s="385">
        <f>SUM(B24:D24)</f>
        <v>2219712.8600000003</v>
      </c>
      <c r="F24" s="385">
        <f>DH!F21</f>
        <v>752781.26</v>
      </c>
      <c r="G24" s="385">
        <f>DH!G21</f>
        <v>775226.79999999993</v>
      </c>
      <c r="H24" s="385">
        <f>DH!H21</f>
        <v>700623.58</v>
      </c>
      <c r="I24" s="385">
        <f>SUM(F24:H24)</f>
        <v>2228631.64</v>
      </c>
      <c r="J24" s="385">
        <f>DH!J21</f>
        <v>744340.05999999994</v>
      </c>
      <c r="K24" s="385">
        <f>DH!K21</f>
        <v>574086.62</v>
      </c>
      <c r="L24" s="385">
        <f>DH!L21</f>
        <v>783942.46</v>
      </c>
      <c r="M24" s="385">
        <f>SUM(J24:L24)</f>
        <v>2102369.1399999997</v>
      </c>
      <c r="N24" s="385">
        <f>DH!N21</f>
        <v>880383.3</v>
      </c>
      <c r="O24" s="385">
        <f>DH!O21</f>
        <v>748485.91000000015</v>
      </c>
      <c r="P24" s="385">
        <f>DH!P21</f>
        <v>700899.26950000005</v>
      </c>
      <c r="Q24" s="385"/>
      <c r="R24" s="424">
        <f>B24+C24+D24+F24+G24+H24+J24+K24+L24+N24+O24+P24</f>
        <v>8880482.1195</v>
      </c>
    </row>
    <row r="25" spans="1:18">
      <c r="A25" s="421" t="s">
        <v>55</v>
      </c>
      <c r="B25" s="387">
        <f>B24</f>
        <v>668381.14</v>
      </c>
      <c r="C25" s="387">
        <f>C24+B25</f>
        <v>1312078.3500000001</v>
      </c>
      <c r="D25" s="387">
        <f>D24+C25</f>
        <v>2219712.8600000003</v>
      </c>
      <c r="E25" s="387"/>
      <c r="F25" s="387">
        <f>F24+D25</f>
        <v>2972494.12</v>
      </c>
      <c r="G25" s="387">
        <f>G24+F25</f>
        <v>3747720.92</v>
      </c>
      <c r="H25" s="387">
        <f>H24+G25</f>
        <v>4448344.5</v>
      </c>
      <c r="I25" s="387"/>
      <c r="J25" s="387">
        <f>J24+H25</f>
        <v>5192684.5599999996</v>
      </c>
      <c r="K25" s="387">
        <f>K24+J25</f>
        <v>5766771.1799999997</v>
      </c>
      <c r="L25" s="387">
        <f>L24+K25</f>
        <v>6550713.6399999997</v>
      </c>
      <c r="M25" s="387"/>
      <c r="N25" s="387">
        <f>N24+L25</f>
        <v>7431096.9399999995</v>
      </c>
      <c r="O25" s="387">
        <f>O24+N25</f>
        <v>8179582.8499999996</v>
      </c>
      <c r="P25" s="387">
        <f>P24+O25</f>
        <v>8880482.1195</v>
      </c>
      <c r="Q25" s="387"/>
      <c r="R25" s="425"/>
    </row>
    <row r="26" spans="1:18">
      <c r="A26" s="421" t="s">
        <v>56</v>
      </c>
      <c r="B26" s="389">
        <f t="shared" ref="B26:D27" si="0">B24/B22</f>
        <v>1.024692254033958</v>
      </c>
      <c r="C26" s="389">
        <f t="shared" si="0"/>
        <v>0.88816448430493267</v>
      </c>
      <c r="D26" s="389">
        <f t="shared" si="0"/>
        <v>1.1927062008245866</v>
      </c>
      <c r="E26" s="389"/>
      <c r="F26" s="389">
        <f t="shared" ref="F26:H27" si="1">F24/F22</f>
        <v>1.0386771438427045</v>
      </c>
      <c r="G26" s="389">
        <f t="shared" si="1"/>
        <v>1.0187116082721464</v>
      </c>
      <c r="H26" s="389">
        <f t="shared" si="1"/>
        <v>0.87882790931042032</v>
      </c>
      <c r="I26" s="389"/>
      <c r="J26" s="389">
        <f t="shared" ref="J26:L27" si="2">J24/J22</f>
        <v>1.1411445479284044</v>
      </c>
      <c r="K26" s="389">
        <f t="shared" si="2"/>
        <v>0.88012973055843013</v>
      </c>
      <c r="L26" s="389">
        <f t="shared" si="2"/>
        <v>1.0816729354949983</v>
      </c>
      <c r="M26" s="389"/>
      <c r="N26" s="389">
        <f t="shared" ref="N26:P27" si="3">N24/N22</f>
        <v>1.1568958754250234</v>
      </c>
      <c r="O26" s="389">
        <f t="shared" si="3"/>
        <v>0.98357188521493477</v>
      </c>
      <c r="P26" s="389">
        <f t="shared" si="3"/>
        <v>0.96709109279061756</v>
      </c>
      <c r="Q26" s="389"/>
      <c r="R26" s="425"/>
    </row>
    <row r="27" spans="1:18">
      <c r="A27" s="426" t="s">
        <v>57</v>
      </c>
      <c r="B27" s="427">
        <f t="shared" si="0"/>
        <v>1.024692254033958</v>
      </c>
      <c r="C27" s="427">
        <f t="shared" si="0"/>
        <v>0.95283553312394476</v>
      </c>
      <c r="D27" s="427">
        <f t="shared" si="0"/>
        <v>1.0382132284072241</v>
      </c>
      <c r="E27" s="427"/>
      <c r="F27" s="427">
        <f t="shared" si="1"/>
        <v>1.0383306753529153</v>
      </c>
      <c r="G27" s="427">
        <f t="shared" si="1"/>
        <v>1.0342106712659538</v>
      </c>
      <c r="H27" s="427">
        <f t="shared" si="1"/>
        <v>1.0061908289461035</v>
      </c>
      <c r="I27" s="427"/>
      <c r="J27" s="427">
        <f t="shared" si="2"/>
        <v>1.023542021386685</v>
      </c>
      <c r="K27" s="427">
        <f t="shared" si="2"/>
        <v>1.0072039123049852</v>
      </c>
      <c r="L27" s="427">
        <f t="shared" si="2"/>
        <v>1.015571218281391</v>
      </c>
      <c r="M27" s="427"/>
      <c r="N27" s="427">
        <f t="shared" si="3"/>
        <v>1.030484875567905</v>
      </c>
      <c r="O27" s="427">
        <f t="shared" si="3"/>
        <v>1.0260068173978487</v>
      </c>
      <c r="P27" s="427">
        <f t="shared" si="3"/>
        <v>1.0210971736805796</v>
      </c>
      <c r="Q27" s="427"/>
      <c r="R27" s="428"/>
    </row>
    <row r="28" spans="1:18" ht="13.5" thickBot="1">
      <c r="A28" s="429" t="s">
        <v>58</v>
      </c>
      <c r="B28" s="430">
        <f>B25-B23</f>
        <v>16106.140000000014</v>
      </c>
      <c r="C28" s="430">
        <f>C25-C23</f>
        <v>-64946.649999999907</v>
      </c>
      <c r="D28" s="430">
        <f>D25-D23</f>
        <v>81700.360000000335</v>
      </c>
      <c r="E28" s="430"/>
      <c r="F28" s="430">
        <f>F25-F23</f>
        <v>109731.62000000011</v>
      </c>
      <c r="G28" s="430">
        <f>G25-G23</f>
        <v>123970.91999999993</v>
      </c>
      <c r="H28" s="430">
        <f>H25-H23</f>
        <v>27369.5</v>
      </c>
      <c r="I28" s="430"/>
      <c r="J28" s="430">
        <f>J25-J23</f>
        <v>119434.55999999959</v>
      </c>
      <c r="K28" s="430">
        <f>K25-K23</f>
        <v>41246.179999999702</v>
      </c>
      <c r="L28" s="430">
        <f>L25-L23</f>
        <v>100438.63999999966</v>
      </c>
      <c r="M28" s="430"/>
      <c r="N28" s="430">
        <f>N25-N23</f>
        <v>219834.43999999948</v>
      </c>
      <c r="O28" s="430">
        <f>O25-O23</f>
        <v>207332.84999999963</v>
      </c>
      <c r="P28" s="430">
        <f>P25-P23</f>
        <v>183482.11950000003</v>
      </c>
      <c r="Q28" s="430"/>
      <c r="R28" s="431"/>
    </row>
    <row r="29" spans="1:18">
      <c r="A29" s="396" t="s">
        <v>181</v>
      </c>
      <c r="B29" s="397">
        <f>'Target 2017'!C20</f>
        <v>647833.33333333337</v>
      </c>
      <c r="C29" s="397">
        <f>'Target 2017'!D20</f>
        <v>725000</v>
      </c>
      <c r="D29" s="397">
        <f>'Target 2017'!E20</f>
        <v>844166.66666666674</v>
      </c>
      <c r="E29" s="398">
        <f>SUM(B29:D29)</f>
        <v>2217000</v>
      </c>
      <c r="F29" s="397">
        <f>'Target 2017'!F20</f>
        <v>616250</v>
      </c>
      <c r="G29" s="397">
        <f>'Target 2017'!G20</f>
        <v>725000</v>
      </c>
      <c r="H29" s="397">
        <f>'Target 2017'!H20</f>
        <v>833749.99999999988</v>
      </c>
      <c r="I29" s="398">
        <f>SUM(F29:H29)</f>
        <v>2175000</v>
      </c>
      <c r="J29" s="397">
        <f>'Target 2017'!I20</f>
        <v>616250</v>
      </c>
      <c r="K29" s="397">
        <f>'Target 2017'!J20</f>
        <v>725000</v>
      </c>
      <c r="L29" s="397">
        <f>'Target 2017'!K20</f>
        <v>833750</v>
      </c>
      <c r="M29" s="398">
        <f>SUM(J29:L29)</f>
        <v>2175000</v>
      </c>
      <c r="N29" s="397">
        <f>'Target 2017'!L20</f>
        <v>704333.33333333326</v>
      </c>
      <c r="O29" s="397">
        <f>'Target 2017'!M20</f>
        <v>784000</v>
      </c>
      <c r="P29" s="397">
        <f>'Target 2017'!N20</f>
        <v>751666.66666666674</v>
      </c>
      <c r="Q29" s="398">
        <f>SUM(N29:P29)</f>
        <v>2240000</v>
      </c>
      <c r="R29" s="399"/>
    </row>
    <row r="30" spans="1:18" ht="13.5" thickBot="1">
      <c r="A30" s="400" t="s">
        <v>184</v>
      </c>
      <c r="B30" s="401">
        <f>B24/B29</f>
        <v>1.031717736043221</v>
      </c>
      <c r="C30" s="401">
        <f>(B24+C24)/(B29+C29)</f>
        <v>0.95574482214398437</v>
      </c>
      <c r="D30" s="401">
        <f>(D24+C24+B24)/(B29+C29+D29)</f>
        <v>1.0012236626071267</v>
      </c>
      <c r="E30" s="401"/>
      <c r="F30" s="401">
        <f>F24/F29</f>
        <v>1.2215517403651115</v>
      </c>
      <c r="G30" s="401">
        <f>(F24+G24)/(F29+G29)</f>
        <v>1.1392417968313142</v>
      </c>
      <c r="H30" s="401">
        <f>(H24+G24+F24)/(F29+G29+H29)</f>
        <v>1.0246582252873562</v>
      </c>
      <c r="I30" s="402"/>
      <c r="J30" s="401">
        <f>J24/J29</f>
        <v>1.2078540527383366</v>
      </c>
      <c r="K30" s="401">
        <f>(J24+K24)/(J29+K29)</f>
        <v>0.98298354520037279</v>
      </c>
      <c r="L30" s="401">
        <f>(L24+K24+J24)/(J29+K29+L29)</f>
        <v>0.96660650114942537</v>
      </c>
      <c r="M30" s="402"/>
      <c r="N30" s="401">
        <f>N24/N29</f>
        <v>1.2499526265972554</v>
      </c>
      <c r="O30" s="401">
        <f>(N24+O24)/(N29+O29)</f>
        <v>1.0944250011198211</v>
      </c>
      <c r="P30" s="401">
        <f>(P24+O24+N24)/(N29+O29+P29)</f>
        <v>1.0400752140625003</v>
      </c>
      <c r="Q30" s="403"/>
      <c r="R30" s="404"/>
    </row>
    <row r="31" spans="1:18">
      <c r="A31" s="405" t="s">
        <v>202</v>
      </c>
      <c r="B31" s="406">
        <f>B25/('Target 2017'!$D$40/12*B18)</f>
        <v>0.97076108276901296</v>
      </c>
      <c r="C31" s="406">
        <f>C25/('Target 2017'!$D$40/12*C18)</f>
        <v>0.95283553312394476</v>
      </c>
      <c r="D31" s="406">
        <f>D25/('Target 2017'!$D$40/12*D18)</f>
        <v>1.0746417627373022</v>
      </c>
      <c r="E31" s="406"/>
      <c r="F31" s="406">
        <f>F25/('Target 2017'!$D$40/12*F18)</f>
        <v>1.0793174125378988</v>
      </c>
      <c r="G31" s="406">
        <f>G25/('Target 2017'!$D$40/12*G18)</f>
        <v>1.0886428118588987</v>
      </c>
      <c r="H31" s="406">
        <f>H25/('Target 2017'!$D$40/12*H18)</f>
        <v>1.0768007116791634</v>
      </c>
      <c r="I31" s="406"/>
      <c r="J31" s="406">
        <f>J25/('Target 2017'!$D$40/12*J18)</f>
        <v>1.0774126540912474</v>
      </c>
      <c r="K31" s="406">
        <f>K25/('Target 2017'!$D$40/12*K18)</f>
        <v>1.0469619614749186</v>
      </c>
      <c r="L31" s="406">
        <f>L25/('Target 2017'!$D$40/12*L18)</f>
        <v>1.0571443090882315</v>
      </c>
      <c r="M31" s="406"/>
      <c r="N31" s="406">
        <f>N25/('Target 2017'!$D$40/12*N18)</f>
        <v>1.0792973170421742</v>
      </c>
      <c r="O31" s="406">
        <f>O25/('Target 2017'!$D$40/12*O18)</f>
        <v>1.0800071762082619</v>
      </c>
      <c r="P31" s="406">
        <f>P25/('Target 2017'!$D$40/12*P18)</f>
        <v>1.0748391301900837</v>
      </c>
      <c r="Q31" s="407"/>
      <c r="R31" s="408"/>
    </row>
    <row r="32" spans="1:18">
      <c r="A32" s="409" t="s">
        <v>215</v>
      </c>
      <c r="B32" s="410">
        <f>B25/('Target 2017'!$F$40/12*REALIZACJE!B18)</f>
        <v>0.92222302863056227</v>
      </c>
      <c r="C32" s="410">
        <f>C25/('Target 2017'!$F$40/12*REALIZACJE!C18)</f>
        <v>0.90519375646774758</v>
      </c>
      <c r="D32" s="410">
        <f>D25/('Target 2017'!$F$40/12*REALIZACJE!D18)</f>
        <v>1.0209096746004371</v>
      </c>
      <c r="E32" s="410"/>
      <c r="F32" s="410">
        <f>F25/('Target 2017'!$F$40/12*REALIZACJE!F18)</f>
        <v>1.0253515419110037</v>
      </c>
      <c r="G32" s="410">
        <f>G25/('Target 2017'!$F$40/12*REALIZACJE!G18)</f>
        <v>1.0342106712659538</v>
      </c>
      <c r="H32" s="410">
        <f>H25/('Target 2017'!$F$40/12*REALIZACJE!H18)</f>
        <v>1.0229606760952052</v>
      </c>
      <c r="I32" s="411"/>
      <c r="J32" s="410">
        <f>J25/('Target 2017'!$F$40/12*REALIZACJE!J18)</f>
        <v>1.023542021386685</v>
      </c>
      <c r="K32" s="410">
        <f>K25/('Target 2017'!$F$40/12*REALIZACJE!K18)</f>
        <v>0.99461386340117275</v>
      </c>
      <c r="L32" s="410">
        <f>L25/('Target 2017'!$F$40/12*REALIZACJE!L18)</f>
        <v>1.00428709363382</v>
      </c>
      <c r="M32" s="410"/>
      <c r="N32" s="410">
        <f>N25/('Target 2017'!$F$40/12*REALIZACJE!N18)</f>
        <v>1.0253324511900654</v>
      </c>
      <c r="O32" s="410">
        <f>O25/('Target 2017'!$F$40/12*REALIZACJE!O18)</f>
        <v>1.0260068173978487</v>
      </c>
      <c r="P32" s="410">
        <f>P25/('Target 2017'!$F$40/12*REALIZACJE!P18)</f>
        <v>1.0210971736805796</v>
      </c>
      <c r="Q32" s="410"/>
      <c r="R32" s="432"/>
    </row>
    <row r="33" spans="1:18" ht="13.5" thickBot="1">
      <c r="A33" s="414" t="s">
        <v>203</v>
      </c>
      <c r="B33" s="415">
        <f>B25/('Target 2017'!$H$40/12*B18)</f>
        <v>0.87830764631482117</v>
      </c>
      <c r="C33" s="415">
        <f>C25/('Target 2017'!$H$40/12*C18)</f>
        <v>0.86208929187404526</v>
      </c>
      <c r="D33" s="415">
        <f>D25/('Target 2017'!$H$40/12*D18)</f>
        <v>0.97229492819089247</v>
      </c>
      <c r="E33" s="415"/>
      <c r="F33" s="415">
        <f>F25/('Target 2017'!$H$40/12*F18)</f>
        <v>0.97652527801047984</v>
      </c>
      <c r="G33" s="415">
        <f>G25/('Target 2017'!$H$40/12*G18)</f>
        <v>0.98496254406281314</v>
      </c>
      <c r="H33" s="415">
        <f>H25/('Target 2017'!$H$40/12*H18)</f>
        <v>0.97424826294781453</v>
      </c>
      <c r="I33" s="415"/>
      <c r="J33" s="415">
        <f>J25/('Target 2017'!$H$40/12*J18)</f>
        <v>0.97480192513017616</v>
      </c>
      <c r="K33" s="415">
        <f>K25/('Target 2017'!$H$40/12*K18)</f>
        <v>0.94725129847730738</v>
      </c>
      <c r="L33" s="415">
        <f>L25/('Target 2017'!$H$40/12*L18)</f>
        <v>0.95646389869887627</v>
      </c>
      <c r="M33" s="415"/>
      <c r="N33" s="415">
        <f>N25/('Target 2017'!$H$40/12*N18)</f>
        <v>0.97650709637149091</v>
      </c>
      <c r="O33" s="415">
        <f>O25/('Target 2017'!$H$40/12*O18)</f>
        <v>0.97714934990271307</v>
      </c>
      <c r="P33" s="415">
        <f>P25/('Target 2017'!$H$40/12*P18)</f>
        <v>0.97247349874340905</v>
      </c>
      <c r="Q33" s="415"/>
      <c r="R33" s="416"/>
    </row>
    <row r="34" spans="1:18" ht="13.5" thickBot="1">
      <c r="A34" s="321"/>
      <c r="B34" s="322"/>
      <c r="C34" s="322"/>
      <c r="D34" s="322"/>
      <c r="E34" s="322"/>
      <c r="F34" s="322"/>
      <c r="G34" s="322"/>
      <c r="H34" s="322"/>
      <c r="I34" s="322"/>
      <c r="J34" s="322"/>
      <c r="K34" s="322"/>
      <c r="L34" s="322"/>
      <c r="M34" s="322"/>
      <c r="N34" s="322"/>
      <c r="O34" s="322"/>
      <c r="P34" s="322"/>
      <c r="Q34" s="322"/>
      <c r="R34" s="329"/>
    </row>
    <row r="35" spans="1:18">
      <c r="A35" s="333" t="s">
        <v>43</v>
      </c>
      <c r="B35" s="334">
        <f>B8/B24</f>
        <v>0.34095575826690744</v>
      </c>
      <c r="C35" s="334">
        <f t="shared" ref="B35:D36" si="4">C8/C24</f>
        <v>0.35838450395023469</v>
      </c>
      <c r="D35" s="334">
        <f t="shared" si="4"/>
        <v>0.35649716437071133</v>
      </c>
      <c r="E35" s="334"/>
      <c r="F35" s="334">
        <f t="shared" ref="F35:H36" si="5">F8/F24</f>
        <v>0.33141815910773337</v>
      </c>
      <c r="G35" s="334">
        <f t="shared" si="5"/>
        <v>0.33090588573563245</v>
      </c>
      <c r="H35" s="334">
        <f t="shared" si="5"/>
        <v>0.32891938607033466</v>
      </c>
      <c r="I35" s="334"/>
      <c r="J35" s="334">
        <f t="shared" ref="J35:L36" si="6">J8/J24</f>
        <v>0.32752480512737686</v>
      </c>
      <c r="K35" s="334">
        <f t="shared" si="6"/>
        <v>0.32499161102204405</v>
      </c>
      <c r="L35" s="334">
        <f t="shared" si="6"/>
        <v>0.3220197436429198</v>
      </c>
      <c r="M35" s="334"/>
      <c r="N35" s="334">
        <f t="shared" ref="N35:P36" si="7">N8/N24</f>
        <v>0.35831627962502238</v>
      </c>
      <c r="O35" s="334">
        <f t="shared" si="7"/>
        <v>0.33302945515701149</v>
      </c>
      <c r="P35" s="334">
        <f t="shared" si="7"/>
        <v>0.33925689859775199</v>
      </c>
      <c r="Q35" s="334"/>
      <c r="R35" s="335"/>
    </row>
    <row r="36" spans="1:18" ht="13.5" thickBot="1">
      <c r="A36" s="336" t="s">
        <v>44</v>
      </c>
      <c r="B36" s="337">
        <f t="shared" si="4"/>
        <v>0.34095575826690744</v>
      </c>
      <c r="C36" s="337">
        <f t="shared" si="4"/>
        <v>0.3495061889406223</v>
      </c>
      <c r="D36" s="337">
        <f t="shared" si="4"/>
        <v>0.3523647796499228</v>
      </c>
      <c r="E36" s="337"/>
      <c r="F36" s="337">
        <f t="shared" si="5"/>
        <v>0.34706006826348235</v>
      </c>
      <c r="G36" s="337">
        <f t="shared" si="5"/>
        <v>0.34371852936690922</v>
      </c>
      <c r="H36" s="337">
        <f t="shared" si="5"/>
        <v>0.34138763328694527</v>
      </c>
      <c r="I36" s="337"/>
      <c r="J36" s="337">
        <f t="shared" si="6"/>
        <v>0.33940048035577186</v>
      </c>
      <c r="K36" s="337">
        <f t="shared" si="6"/>
        <v>0.33796606604737872</v>
      </c>
      <c r="L36" s="337">
        <f t="shared" si="6"/>
        <v>0.33605772446801691</v>
      </c>
      <c r="M36" s="337"/>
      <c r="N36" s="337">
        <f t="shared" si="7"/>
        <v>0.33869475913471259</v>
      </c>
      <c r="O36" s="337">
        <f t="shared" si="7"/>
        <v>0.33817634636465593</v>
      </c>
      <c r="P36" s="337">
        <f t="shared" si="7"/>
        <v>0.33826162982794566</v>
      </c>
      <c r="Q36" s="337"/>
      <c r="R36" s="338"/>
    </row>
  </sheetData>
  <mergeCells count="1">
    <mergeCell ref="B1:R1"/>
  </mergeCells>
  <pageMargins left="0.7" right="0.7" top="0.75" bottom="0.75" header="0.3" footer="0.3"/>
  <pageSetup paperSize="9" orientation="portrait" verticalDpi="0" r:id="rId1"/>
  <ignoredErrors>
    <ignoredError sqref="F24" formula="1"/>
  </ignoredErrors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3"/>
  <sheetViews>
    <sheetView topLeftCell="A64" zoomScaleNormal="100" workbookViewId="0">
      <selection activeCell="L79" sqref="L79"/>
    </sheetView>
  </sheetViews>
  <sheetFormatPr defaultRowHeight="12.75"/>
  <cols>
    <col min="1" max="1" width="20.7109375" customWidth="1"/>
    <col min="2" max="2" width="14" style="162" customWidth="1"/>
    <col min="3" max="5" width="14.5703125" customWidth="1"/>
    <col min="6" max="6" width="13.28515625" customWidth="1"/>
    <col min="7" max="7" width="13.7109375" customWidth="1"/>
    <col min="8" max="8" width="14.5703125" customWidth="1"/>
    <col min="9" max="9" width="13.42578125" customWidth="1"/>
    <col min="10" max="10" width="15.7109375" customWidth="1"/>
    <col min="11" max="11" width="13.140625" customWidth="1"/>
    <col min="12" max="12" width="16.140625" customWidth="1"/>
    <col min="13" max="13" width="15.140625" customWidth="1"/>
    <col min="14" max="14" width="14.42578125" customWidth="1"/>
    <col min="15" max="15" width="14.5703125" customWidth="1"/>
    <col min="16" max="16" width="14.85546875" customWidth="1"/>
    <col min="17" max="19" width="13.140625" customWidth="1"/>
  </cols>
  <sheetData>
    <row r="1" spans="1:18">
      <c r="A1" s="615" t="s">
        <v>107</v>
      </c>
      <c r="B1" s="615"/>
      <c r="C1" s="615"/>
      <c r="D1" s="615"/>
      <c r="E1" s="615"/>
      <c r="F1" s="615"/>
      <c r="G1" s="615"/>
      <c r="H1" s="615"/>
      <c r="I1" s="615"/>
      <c r="J1" s="615"/>
      <c r="K1" s="615"/>
      <c r="L1" s="615"/>
      <c r="M1" s="615"/>
      <c r="N1" s="615"/>
      <c r="O1" s="615"/>
    </row>
    <row r="2" spans="1:18">
      <c r="A2" s="108"/>
      <c r="B2" s="112"/>
      <c r="C2" s="108" t="s">
        <v>92</v>
      </c>
      <c r="D2" s="108" t="s">
        <v>93</v>
      </c>
      <c r="E2" s="108" t="s">
        <v>94</v>
      </c>
      <c r="F2" s="108" t="s">
        <v>95</v>
      </c>
      <c r="G2" s="108" t="s">
        <v>96</v>
      </c>
      <c r="H2" s="108" t="s">
        <v>97</v>
      </c>
      <c r="I2" s="108" t="s">
        <v>98</v>
      </c>
      <c r="J2" s="108" t="s">
        <v>99</v>
      </c>
      <c r="K2" s="108" t="s">
        <v>100</v>
      </c>
      <c r="L2" s="108" t="s">
        <v>101</v>
      </c>
      <c r="M2" s="108" t="s">
        <v>102</v>
      </c>
      <c r="N2" s="108" t="s">
        <v>103</v>
      </c>
      <c r="O2" s="111" t="s">
        <v>228</v>
      </c>
      <c r="P2" s="462" t="s">
        <v>229</v>
      </c>
    </row>
    <row r="3" spans="1:18" ht="15">
      <c r="A3" s="108" t="s">
        <v>91</v>
      </c>
      <c r="B3" s="112">
        <v>22</v>
      </c>
      <c r="C3" s="219">
        <f t="shared" ref="C3:C6" si="0">C25</f>
        <v>36833.333333333336</v>
      </c>
      <c r="D3" s="220">
        <f t="shared" ref="D3:D5" si="1">E25</f>
        <v>43333.333333333336</v>
      </c>
      <c r="E3" s="220">
        <f t="shared" ref="E3:E5" si="2">G25</f>
        <v>49833.333333333336</v>
      </c>
      <c r="F3" s="220">
        <f>I25</f>
        <v>39100</v>
      </c>
      <c r="G3" s="220">
        <f t="shared" ref="G3:G5" si="3">K25</f>
        <v>46000</v>
      </c>
      <c r="H3" s="220">
        <f t="shared" ref="H3:H5" si="4">M25</f>
        <v>52899.999999999993</v>
      </c>
      <c r="I3" s="109">
        <f t="shared" ref="I3:I4" si="5">O25</f>
        <v>36833.333333333336</v>
      </c>
      <c r="J3" s="109">
        <f t="shared" ref="J3:J4" si="6">Q25</f>
        <v>43333.333333333336</v>
      </c>
      <c r="K3" s="109">
        <f t="shared" ref="K3:K4" si="7">S25</f>
        <v>49833.333333333336</v>
      </c>
      <c r="L3" s="109">
        <f>C76</f>
        <v>39000</v>
      </c>
      <c r="M3" s="109">
        <f>E76</f>
        <v>45500.000000000007</v>
      </c>
      <c r="N3" s="109">
        <f>G76</f>
        <v>45500.000000000007</v>
      </c>
      <c r="O3" s="109">
        <f t="shared" ref="O3:O9" si="8">SUM(B3:N3)</f>
        <v>528022</v>
      </c>
      <c r="P3" s="202">
        <f>TOMEK!R6</f>
        <v>555960.67449999996</v>
      </c>
      <c r="Q3" s="108" t="s">
        <v>91</v>
      </c>
      <c r="R3" s="463">
        <f>P3/O3</f>
        <v>1.0529119515853504</v>
      </c>
    </row>
    <row r="4" spans="1:18" ht="15">
      <c r="A4" s="108" t="s">
        <v>84</v>
      </c>
      <c r="B4" s="112">
        <v>23</v>
      </c>
      <c r="C4" s="219">
        <f t="shared" si="0"/>
        <v>30000.000000000004</v>
      </c>
      <c r="D4" s="220">
        <f t="shared" si="1"/>
        <v>33333.333333333336</v>
      </c>
      <c r="E4" s="220">
        <f t="shared" si="2"/>
        <v>36666.666666666672</v>
      </c>
      <c r="F4" s="220">
        <f t="shared" ref="F4:F5" si="9">I26</f>
        <v>31166.666666666664</v>
      </c>
      <c r="G4" s="220">
        <f t="shared" si="3"/>
        <v>36666.666666666664</v>
      </c>
      <c r="H4" s="220">
        <f t="shared" si="4"/>
        <v>42166.666666666664</v>
      </c>
      <c r="I4" s="109">
        <f t="shared" si="5"/>
        <v>31166.666666666664</v>
      </c>
      <c r="J4" s="109">
        <f t="shared" si="6"/>
        <v>36666.666666666664</v>
      </c>
      <c r="K4" s="109">
        <f t="shared" si="7"/>
        <v>42166.666666666664</v>
      </c>
      <c r="L4" s="109">
        <f>C77</f>
        <v>31666.666666666668</v>
      </c>
      <c r="M4" s="109">
        <f>E77</f>
        <v>35000.000000000007</v>
      </c>
      <c r="N4" s="109">
        <f>G77</f>
        <v>33333.333333333336</v>
      </c>
      <c r="O4" s="109">
        <f t="shared" si="8"/>
        <v>420023</v>
      </c>
      <c r="P4" s="202">
        <f>MIRU!R6</f>
        <v>459150.67109999998</v>
      </c>
      <c r="Q4" s="108" t="s">
        <v>84</v>
      </c>
      <c r="R4" s="463">
        <f t="shared" ref="R4:R9" si="10">P4/O4</f>
        <v>1.0931560202655568</v>
      </c>
    </row>
    <row r="5" spans="1:18" ht="15">
      <c r="A5" s="108" t="s">
        <v>243</v>
      </c>
      <c r="B5" s="112">
        <v>27</v>
      </c>
      <c r="C5" s="219">
        <f t="shared" si="0"/>
        <v>0</v>
      </c>
      <c r="D5" s="220">
        <f t="shared" si="1"/>
        <v>0</v>
      </c>
      <c r="E5" s="220">
        <f t="shared" si="2"/>
        <v>15000</v>
      </c>
      <c r="F5" s="220">
        <f t="shared" si="9"/>
        <v>14166.666666666668</v>
      </c>
      <c r="G5" s="220">
        <f t="shared" si="3"/>
        <v>16666.666666666668</v>
      </c>
      <c r="H5" s="220">
        <f t="shared" si="4"/>
        <v>19166.666666666668</v>
      </c>
      <c r="I5" s="109">
        <f>O28</f>
        <v>15583.333333333332</v>
      </c>
      <c r="J5" s="109">
        <f>Q28</f>
        <v>18333.333333333332</v>
      </c>
      <c r="K5" s="109">
        <f>S28</f>
        <v>21083.333333333332</v>
      </c>
      <c r="O5" s="109">
        <f t="shared" si="8"/>
        <v>120026.99999999999</v>
      </c>
      <c r="P5" s="202">
        <f>'PIOTR L'!R6</f>
        <v>158977.89880000002</v>
      </c>
      <c r="Q5" s="108" t="s">
        <v>83</v>
      </c>
      <c r="R5" s="463">
        <f t="shared" si="10"/>
        <v>1.3245178068267978</v>
      </c>
    </row>
    <row r="6" spans="1:18" ht="15">
      <c r="A6" s="108" t="s">
        <v>222</v>
      </c>
      <c r="B6" s="445">
        <v>27</v>
      </c>
      <c r="C6" s="219">
        <f t="shared" si="0"/>
        <v>15900.000000000002</v>
      </c>
      <c r="D6" s="220">
        <f t="shared" ref="D6" si="11">E28</f>
        <v>17666.666666666668</v>
      </c>
      <c r="E6" s="220">
        <f t="shared" ref="E6" si="12">G28</f>
        <v>19433.333333333336</v>
      </c>
      <c r="F6" s="220">
        <f t="shared" ref="F6" si="13">I28</f>
        <v>0</v>
      </c>
      <c r="G6" s="220">
        <f t="shared" ref="G6" si="14">K28</f>
        <v>0</v>
      </c>
      <c r="H6" s="220">
        <f t="shared" ref="H6" si="15">M28</f>
        <v>0</v>
      </c>
      <c r="I6" s="109"/>
      <c r="J6" s="109"/>
      <c r="K6" s="109"/>
      <c r="L6" s="109">
        <f>C78</f>
        <v>15833.333333333334</v>
      </c>
      <c r="M6" s="109">
        <f>E78</f>
        <v>17500.000000000004</v>
      </c>
      <c r="N6" s="109">
        <f>G78</f>
        <v>16666.666666666668</v>
      </c>
      <c r="O6" s="109">
        <f t="shared" si="8"/>
        <v>103027.00000000001</v>
      </c>
      <c r="P6" s="202">
        <f>Artur!R6</f>
        <v>19668.709200000001</v>
      </c>
      <c r="Q6" s="108" t="s">
        <v>222</v>
      </c>
      <c r="R6" s="463">
        <f t="shared" si="10"/>
        <v>0.190908297824842</v>
      </c>
    </row>
    <row r="7" spans="1:18" ht="15">
      <c r="A7" s="108" t="s">
        <v>104</v>
      </c>
      <c r="B7" s="112">
        <v>29</v>
      </c>
      <c r="C7" s="219">
        <f>C29</f>
        <v>40500</v>
      </c>
      <c r="D7" s="220">
        <f>E29</f>
        <v>45000</v>
      </c>
      <c r="E7" s="220">
        <f>G29</f>
        <v>49500.000000000007</v>
      </c>
      <c r="F7" s="220">
        <f>I29</f>
        <v>37683.333333333336</v>
      </c>
      <c r="G7" s="220">
        <f>K29</f>
        <v>44333.333333333336</v>
      </c>
      <c r="H7" s="220">
        <f>M29</f>
        <v>50983.333333333336</v>
      </c>
      <c r="I7" s="109">
        <f>O29</f>
        <v>36266.666666666664</v>
      </c>
      <c r="J7" s="109">
        <f>Q29</f>
        <v>42666.666666666664</v>
      </c>
      <c r="K7" s="109">
        <f>S29</f>
        <v>49066.666666666657</v>
      </c>
      <c r="L7" s="109">
        <f t="shared" ref="L7:L9" si="16">C79</f>
        <v>41166.666666666664</v>
      </c>
      <c r="M7" s="109">
        <f t="shared" ref="M7:M9" si="17">E79</f>
        <v>45500.000000000007</v>
      </c>
      <c r="N7" s="109">
        <f t="shared" ref="N7:N9" si="18">G79</f>
        <v>43333.333333333336</v>
      </c>
      <c r="O7" s="109">
        <f t="shared" si="8"/>
        <v>526029</v>
      </c>
      <c r="P7" s="202">
        <f>BARTEK!R6</f>
        <v>560117.89439999999</v>
      </c>
      <c r="Q7" s="108" t="s">
        <v>104</v>
      </c>
      <c r="R7" s="463">
        <f t="shared" si="10"/>
        <v>1.0648042111746692</v>
      </c>
    </row>
    <row r="8" spans="1:18" ht="15">
      <c r="A8" s="108" t="s">
        <v>31</v>
      </c>
      <c r="B8" s="112">
        <v>31</v>
      </c>
      <c r="C8" s="219">
        <f>C30</f>
        <v>61500</v>
      </c>
      <c r="D8" s="220">
        <f>E30</f>
        <v>68333.333333333328</v>
      </c>
      <c r="E8" s="220">
        <f>G30</f>
        <v>75166.666666666672</v>
      </c>
      <c r="F8" s="220">
        <f>I30</f>
        <v>56666.666666666672</v>
      </c>
      <c r="G8" s="220">
        <f>K30</f>
        <v>66666.666666666672</v>
      </c>
      <c r="H8" s="220">
        <f>M30</f>
        <v>76666.666666666672</v>
      </c>
      <c r="I8" s="109">
        <f>O30</f>
        <v>51000</v>
      </c>
      <c r="J8" s="109">
        <f>Q30</f>
        <v>60000</v>
      </c>
      <c r="K8" s="109">
        <f>S30</f>
        <v>69000</v>
      </c>
      <c r="L8" s="109">
        <f t="shared" si="16"/>
        <v>63333.333333333336</v>
      </c>
      <c r="M8" s="109">
        <f t="shared" si="17"/>
        <v>70000.000000000015</v>
      </c>
      <c r="N8" s="109">
        <f t="shared" si="18"/>
        <v>66666.666666666672</v>
      </c>
      <c r="O8" s="109">
        <f t="shared" si="8"/>
        <v>785031</v>
      </c>
      <c r="P8" s="202">
        <f>PIOTR!R6</f>
        <v>716741.32999999984</v>
      </c>
      <c r="Q8" s="108" t="s">
        <v>31</v>
      </c>
      <c r="R8" s="463">
        <f t="shared" si="10"/>
        <v>0.91301022507391405</v>
      </c>
    </row>
    <row r="9" spans="1:18" ht="15">
      <c r="A9" s="108" t="s">
        <v>32</v>
      </c>
      <c r="B9" s="112">
        <v>32</v>
      </c>
      <c r="C9" s="219">
        <f>C31</f>
        <v>41100</v>
      </c>
      <c r="D9" s="220">
        <f>E31</f>
        <v>45666.666666666664</v>
      </c>
      <c r="E9" s="220">
        <f>G31</f>
        <v>50233.333333333336</v>
      </c>
      <c r="F9" s="220">
        <f>I31</f>
        <v>37116.666666666664</v>
      </c>
      <c r="G9" s="220">
        <f>K31</f>
        <v>43666.666666666664</v>
      </c>
      <c r="H9" s="220">
        <f>M31</f>
        <v>50216.666666666657</v>
      </c>
      <c r="I9" s="109">
        <f>O31</f>
        <v>37116.666666666664</v>
      </c>
      <c r="J9" s="109">
        <f>Q31</f>
        <v>43666.666666666664</v>
      </c>
      <c r="K9" s="109">
        <f>S31</f>
        <v>50216.666666666657</v>
      </c>
      <c r="L9" s="109">
        <f t="shared" si="16"/>
        <v>43383.333333333328</v>
      </c>
      <c r="M9" s="109">
        <f t="shared" si="17"/>
        <v>47950</v>
      </c>
      <c r="N9" s="109">
        <f t="shared" si="18"/>
        <v>45666.666666666664</v>
      </c>
      <c r="O9" s="109">
        <f t="shared" si="8"/>
        <v>536032</v>
      </c>
      <c r="P9" s="202">
        <f>KRZYSZTOF!R6</f>
        <v>533309.17740000004</v>
      </c>
      <c r="Q9" s="108" t="s">
        <v>32</v>
      </c>
      <c r="R9" s="463">
        <f t="shared" si="10"/>
        <v>0.99492041034863599</v>
      </c>
    </row>
    <row r="10" spans="1:18">
      <c r="A10" s="108" t="s">
        <v>105</v>
      </c>
      <c r="B10" s="112"/>
      <c r="C10" s="202">
        <f>SUM(C3:C9)</f>
        <v>225833.33333333334</v>
      </c>
      <c r="D10" s="202">
        <f t="shared" ref="D10:N10" si="19">SUM(D3:D9)</f>
        <v>253333.33333333334</v>
      </c>
      <c r="E10" s="202">
        <f t="shared" si="19"/>
        <v>295833.33333333331</v>
      </c>
      <c r="F10" s="202">
        <f t="shared" si="19"/>
        <v>215899.99999999997</v>
      </c>
      <c r="G10" s="202">
        <f t="shared" si="19"/>
        <v>253999.99999999997</v>
      </c>
      <c r="H10" s="202">
        <f t="shared" si="19"/>
        <v>292100</v>
      </c>
      <c r="I10" s="202">
        <f t="shared" si="19"/>
        <v>207966.66666666666</v>
      </c>
      <c r="J10" s="202">
        <f t="shared" si="19"/>
        <v>244666.66666666666</v>
      </c>
      <c r="K10" s="202">
        <f t="shared" si="19"/>
        <v>281366.66666666663</v>
      </c>
      <c r="L10" s="202">
        <f t="shared" si="19"/>
        <v>234383.33333333331</v>
      </c>
      <c r="M10" s="202">
        <f t="shared" si="19"/>
        <v>261450.00000000006</v>
      </c>
      <c r="N10" s="202">
        <f t="shared" si="19"/>
        <v>251166.66666666666</v>
      </c>
      <c r="O10" s="202">
        <f>SUM(C10:N10)</f>
        <v>3018000</v>
      </c>
    </row>
    <row r="11" spans="1:18">
      <c r="A11" s="615" t="s">
        <v>106</v>
      </c>
      <c r="B11" s="615"/>
      <c r="C11" s="615"/>
      <c r="D11" s="615"/>
      <c r="E11" s="615"/>
      <c r="F11" s="615"/>
      <c r="G11" s="615"/>
      <c r="H11" s="615"/>
      <c r="I11" s="615"/>
      <c r="J11" s="615"/>
      <c r="K11" s="615"/>
      <c r="L11" s="615"/>
      <c r="M11" s="615"/>
      <c r="N11" s="615"/>
      <c r="O11" s="615"/>
    </row>
    <row r="12" spans="1:18">
      <c r="A12" s="108"/>
      <c r="B12" s="112"/>
      <c r="C12" s="108" t="s">
        <v>92</v>
      </c>
      <c r="D12" s="108" t="s">
        <v>93</v>
      </c>
      <c r="E12" s="108" t="s">
        <v>94</v>
      </c>
      <c r="F12" s="108" t="s">
        <v>95</v>
      </c>
      <c r="G12" s="108" t="s">
        <v>96</v>
      </c>
      <c r="H12" s="108" t="s">
        <v>97</v>
      </c>
      <c r="I12" s="108" t="s">
        <v>98</v>
      </c>
      <c r="J12" s="108" t="s">
        <v>99</v>
      </c>
      <c r="K12" s="108" t="s">
        <v>100</v>
      </c>
      <c r="L12" s="108" t="s">
        <v>101</v>
      </c>
      <c r="M12" s="108" t="s">
        <v>102</v>
      </c>
      <c r="N12" s="108" t="s">
        <v>103</v>
      </c>
      <c r="O12" s="108"/>
    </row>
    <row r="13" spans="1:18" ht="15">
      <c r="A13" s="108" t="s">
        <v>91</v>
      </c>
      <c r="B13" s="112">
        <v>22</v>
      </c>
      <c r="C13" s="219">
        <f t="shared" ref="C13:C15" si="20">B25</f>
        <v>79333.333333333328</v>
      </c>
      <c r="D13" s="220">
        <f t="shared" ref="D13:D16" si="21">D25</f>
        <v>93333.333333333328</v>
      </c>
      <c r="E13" s="220">
        <f t="shared" ref="E13:E15" si="22">F25</f>
        <v>107333.33333333333</v>
      </c>
      <c r="F13" s="220">
        <f t="shared" ref="F13:F15" si="23">H25</f>
        <v>85000</v>
      </c>
      <c r="G13" s="220">
        <f t="shared" ref="G13:G15" si="24">J25</f>
        <v>100000</v>
      </c>
      <c r="H13" s="220">
        <f t="shared" ref="H13:H15" si="25">L25</f>
        <v>115000</v>
      </c>
      <c r="I13" s="110">
        <f t="shared" ref="I13:I14" si="26">N25</f>
        <v>80750</v>
      </c>
      <c r="J13" s="110">
        <f t="shared" ref="J13:J14" si="27">P25</f>
        <v>95000</v>
      </c>
      <c r="K13" s="110">
        <f t="shared" ref="K13:K14" si="28">R25</f>
        <v>109250</v>
      </c>
      <c r="L13" s="110">
        <f>B76</f>
        <v>90000</v>
      </c>
      <c r="M13" s="110">
        <f>D76</f>
        <v>105000</v>
      </c>
      <c r="N13" s="110">
        <f>F76</f>
        <v>105000</v>
      </c>
      <c r="O13" s="109">
        <f t="shared" ref="O13:O19" si="29">SUM(B13:N13)</f>
        <v>1165022</v>
      </c>
      <c r="P13" s="202">
        <f>TOMEK!R13</f>
        <v>1323277.8006</v>
      </c>
      <c r="Q13" s="108" t="s">
        <v>91</v>
      </c>
      <c r="R13" s="463">
        <f t="shared" ref="R13:R19" si="30">P13/O13</f>
        <v>1.1358393237209254</v>
      </c>
    </row>
    <row r="14" spans="1:18" ht="15">
      <c r="A14" s="108" t="s">
        <v>84</v>
      </c>
      <c r="B14" s="112">
        <v>23</v>
      </c>
      <c r="C14" s="219">
        <f t="shared" si="20"/>
        <v>72000</v>
      </c>
      <c r="D14" s="220">
        <f t="shared" si="21"/>
        <v>80000</v>
      </c>
      <c r="E14" s="220">
        <f>F26</f>
        <v>88000</v>
      </c>
      <c r="F14" s="220">
        <f t="shared" si="23"/>
        <v>73666.666666666672</v>
      </c>
      <c r="G14" s="220">
        <f t="shared" si="24"/>
        <v>86666.666666666672</v>
      </c>
      <c r="H14" s="220">
        <f t="shared" si="25"/>
        <v>99666.666666666672</v>
      </c>
      <c r="I14" s="110">
        <f t="shared" si="26"/>
        <v>73666.666666666672</v>
      </c>
      <c r="J14" s="110">
        <f t="shared" si="27"/>
        <v>86666.666666666672</v>
      </c>
      <c r="K14" s="110">
        <f t="shared" si="28"/>
        <v>99666.666666666672</v>
      </c>
      <c r="L14" s="110">
        <f>B77</f>
        <v>82333.333333333328</v>
      </c>
      <c r="M14" s="110">
        <f>D77</f>
        <v>91000.000000000015</v>
      </c>
      <c r="N14" s="110">
        <f>F77</f>
        <v>86666.666666666672</v>
      </c>
      <c r="O14" s="109">
        <f t="shared" si="29"/>
        <v>1020023</v>
      </c>
      <c r="P14" s="202">
        <f>MIRU!R13</f>
        <v>568182.96</v>
      </c>
      <c r="Q14" s="108" t="s">
        <v>84</v>
      </c>
      <c r="R14" s="463">
        <f t="shared" si="30"/>
        <v>0.55702955717665181</v>
      </c>
    </row>
    <row r="15" spans="1:18" ht="15">
      <c r="A15" s="108" t="s">
        <v>236</v>
      </c>
      <c r="B15" s="112">
        <v>27</v>
      </c>
      <c r="C15" s="219">
        <f t="shared" si="20"/>
        <v>0</v>
      </c>
      <c r="D15" s="220">
        <f t="shared" si="21"/>
        <v>0</v>
      </c>
      <c r="E15" s="220">
        <f t="shared" si="22"/>
        <v>42000</v>
      </c>
      <c r="F15" s="220">
        <f t="shared" si="23"/>
        <v>38816.666666666664</v>
      </c>
      <c r="G15" s="220">
        <f t="shared" si="24"/>
        <v>45666.666666666664</v>
      </c>
      <c r="H15" s="220">
        <f t="shared" si="25"/>
        <v>52516.666666666664</v>
      </c>
      <c r="I15" s="110">
        <f>N28</f>
        <v>42500</v>
      </c>
      <c r="J15" s="110">
        <f>P28</f>
        <v>50000</v>
      </c>
      <c r="K15" s="110">
        <f>R28</f>
        <v>57500</v>
      </c>
      <c r="L15" s="110">
        <f>B78</f>
        <v>41166.666666666664</v>
      </c>
      <c r="M15" s="110">
        <f>D78</f>
        <v>45500.000000000007</v>
      </c>
      <c r="N15" s="489">
        <f>F78</f>
        <v>43333.333333333336</v>
      </c>
      <c r="O15" s="109">
        <f t="shared" si="29"/>
        <v>459027</v>
      </c>
      <c r="P15" s="202">
        <f>'PIOTR L'!R13</f>
        <v>440466.97920000006</v>
      </c>
      <c r="Q15" s="108" t="s">
        <v>83</v>
      </c>
      <c r="R15" s="463">
        <f t="shared" si="30"/>
        <v>0.95956660327170307</v>
      </c>
    </row>
    <row r="16" spans="1:18" ht="15">
      <c r="A16" s="108" t="s">
        <v>222</v>
      </c>
      <c r="B16" s="445">
        <v>27</v>
      </c>
      <c r="C16" s="219">
        <f t="shared" ref="C16" si="31">B28</f>
        <v>43500</v>
      </c>
      <c r="D16" s="220">
        <f t="shared" si="21"/>
        <v>48333.333333333336</v>
      </c>
      <c r="E16" s="220">
        <f t="shared" ref="E16" si="32">F28</f>
        <v>53166.666666666664</v>
      </c>
      <c r="F16" s="220">
        <f t="shared" ref="F16" si="33">H28</f>
        <v>0</v>
      </c>
      <c r="G16" s="220">
        <f t="shared" ref="G16" si="34">J28</f>
        <v>0</v>
      </c>
      <c r="H16" s="220">
        <f t="shared" ref="H16" si="35">L28</f>
        <v>0</v>
      </c>
      <c r="I16" s="110"/>
      <c r="J16" s="110"/>
      <c r="K16" s="110"/>
      <c r="L16" s="447"/>
      <c r="M16" s="110"/>
      <c r="N16" s="110"/>
      <c r="O16" s="109">
        <f t="shared" si="29"/>
        <v>145027</v>
      </c>
      <c r="P16" s="202">
        <f>Artur!R13</f>
        <v>47931.97</v>
      </c>
      <c r="Q16" s="108" t="s">
        <v>222</v>
      </c>
      <c r="R16" s="463">
        <f t="shared" si="30"/>
        <v>0.33050376826384054</v>
      </c>
    </row>
    <row r="17" spans="1:19" ht="15">
      <c r="A17" s="108" t="s">
        <v>104</v>
      </c>
      <c r="B17" s="112">
        <v>29</v>
      </c>
      <c r="C17" s="219">
        <f>B29</f>
        <v>123000</v>
      </c>
      <c r="D17" s="220">
        <f>D29</f>
        <v>136666.66666666666</v>
      </c>
      <c r="E17" s="220">
        <f>F29</f>
        <v>150333.33333333334</v>
      </c>
      <c r="F17" s="220">
        <f>H29</f>
        <v>113333.33333333334</v>
      </c>
      <c r="G17" s="220">
        <f>J29</f>
        <v>133333.33333333334</v>
      </c>
      <c r="H17" s="220">
        <f>L29</f>
        <v>153333.33333333331</v>
      </c>
      <c r="I17" s="110">
        <f>N29</f>
        <v>113333.33333333334</v>
      </c>
      <c r="J17" s="110">
        <f>P29</f>
        <v>133333.33333333334</v>
      </c>
      <c r="K17" s="110">
        <f>R29</f>
        <v>153333.33333333331</v>
      </c>
      <c r="L17" s="110">
        <f t="shared" ref="L17:L19" si="36">B79</f>
        <v>136166.66666666666</v>
      </c>
      <c r="M17" s="110">
        <f t="shared" ref="M17:M19" si="37">D79</f>
        <v>150500.00000000003</v>
      </c>
      <c r="N17" s="110">
        <f t="shared" ref="N17:N19" si="38">F79</f>
        <v>143333.33333333334</v>
      </c>
      <c r="O17" s="109">
        <f t="shared" si="29"/>
        <v>1640029</v>
      </c>
      <c r="P17" s="202">
        <f>BARTEK!R13</f>
        <v>1915951.9997</v>
      </c>
      <c r="Q17" s="108" t="s">
        <v>104</v>
      </c>
      <c r="R17" s="463">
        <f t="shared" si="30"/>
        <v>1.1682427565000375</v>
      </c>
    </row>
    <row r="18" spans="1:19" ht="15">
      <c r="A18" s="108" t="s">
        <v>31</v>
      </c>
      <c r="B18" s="112">
        <v>31</v>
      </c>
      <c r="C18" s="219">
        <f>B30</f>
        <v>201000</v>
      </c>
      <c r="D18" s="220">
        <f>D30</f>
        <v>223333.33333333334</v>
      </c>
      <c r="E18" s="220">
        <f>F30</f>
        <v>245666.66666666672</v>
      </c>
      <c r="F18" s="220">
        <f>H30</f>
        <v>185866.66666666666</v>
      </c>
      <c r="G18" s="220">
        <f>J30</f>
        <v>218666.66666666666</v>
      </c>
      <c r="H18" s="220">
        <f>L30</f>
        <v>251466.66666666663</v>
      </c>
      <c r="I18" s="110">
        <f>N30</f>
        <v>187000</v>
      </c>
      <c r="J18" s="110">
        <f>P30</f>
        <v>220000</v>
      </c>
      <c r="K18" s="110">
        <f>R30</f>
        <v>252999.99999999997</v>
      </c>
      <c r="L18" s="110">
        <f t="shared" si="36"/>
        <v>221666.66666666666</v>
      </c>
      <c r="M18" s="110">
        <f t="shared" si="37"/>
        <v>245000.00000000003</v>
      </c>
      <c r="N18" s="110">
        <f t="shared" si="38"/>
        <v>233333.33333333334</v>
      </c>
      <c r="O18" s="109">
        <f t="shared" si="29"/>
        <v>2686031</v>
      </c>
      <c r="P18" s="202">
        <f>PIOTR!R13</f>
        <v>2531763.8325</v>
      </c>
      <c r="Q18" s="108" t="s">
        <v>31</v>
      </c>
      <c r="R18" s="463">
        <f t="shared" si="30"/>
        <v>0.94256687003984685</v>
      </c>
    </row>
    <row r="19" spans="1:19" ht="15">
      <c r="A19" s="108" t="s">
        <v>32</v>
      </c>
      <c r="B19" s="112">
        <v>32</v>
      </c>
      <c r="C19" s="219">
        <f>B31</f>
        <v>129000.00000000001</v>
      </c>
      <c r="D19" s="220">
        <f>D31</f>
        <v>143333.33333333334</v>
      </c>
      <c r="E19" s="220">
        <f>F31</f>
        <v>157666.66666666669</v>
      </c>
      <c r="F19" s="220">
        <f>H31</f>
        <v>119566.66666666666</v>
      </c>
      <c r="G19" s="220">
        <f>J31</f>
        <v>140666.66666666666</v>
      </c>
      <c r="H19" s="220">
        <f>L31</f>
        <v>161766.66666666666</v>
      </c>
      <c r="I19" s="110">
        <f>N31</f>
        <v>119000</v>
      </c>
      <c r="J19" s="110">
        <f>P31</f>
        <v>140000</v>
      </c>
      <c r="K19" s="110">
        <f>R31</f>
        <v>160999.99999999997</v>
      </c>
      <c r="L19" s="110">
        <f t="shared" si="36"/>
        <v>133000</v>
      </c>
      <c r="M19" s="110">
        <f t="shared" si="37"/>
        <v>147000</v>
      </c>
      <c r="N19" s="110">
        <f t="shared" si="38"/>
        <v>140000</v>
      </c>
      <c r="O19" s="109">
        <f t="shared" si="29"/>
        <v>1692032</v>
      </c>
      <c r="P19" s="202">
        <f>KRZYSZTOF!R13</f>
        <v>1514737.2905999999</v>
      </c>
      <c r="Q19" s="108" t="s">
        <v>32</v>
      </c>
      <c r="R19" s="463">
        <f t="shared" si="30"/>
        <v>0.89521787448464329</v>
      </c>
    </row>
    <row r="20" spans="1:19">
      <c r="A20" s="108" t="s">
        <v>105</v>
      </c>
      <c r="B20" s="112"/>
      <c r="C20" s="202">
        <f>SUM(C13:C19)</f>
        <v>647833.33333333337</v>
      </c>
      <c r="D20" s="202">
        <f t="shared" ref="D20:N20" si="39">SUM(D13:D19)</f>
        <v>725000</v>
      </c>
      <c r="E20" s="202">
        <f t="shared" si="39"/>
        <v>844166.66666666674</v>
      </c>
      <c r="F20" s="202">
        <f t="shared" si="39"/>
        <v>616250</v>
      </c>
      <c r="G20" s="202">
        <f t="shared" si="39"/>
        <v>725000</v>
      </c>
      <c r="H20" s="202">
        <f t="shared" si="39"/>
        <v>833749.99999999988</v>
      </c>
      <c r="I20" s="202">
        <f t="shared" si="39"/>
        <v>616250</v>
      </c>
      <c r="J20" s="202">
        <f t="shared" si="39"/>
        <v>725000</v>
      </c>
      <c r="K20" s="202">
        <f t="shared" si="39"/>
        <v>833750</v>
      </c>
      <c r="L20" s="202">
        <f t="shared" si="39"/>
        <v>704333.33333333326</v>
      </c>
      <c r="M20" s="202">
        <f t="shared" si="39"/>
        <v>784000</v>
      </c>
      <c r="N20" s="202">
        <f t="shared" si="39"/>
        <v>751666.66666666674</v>
      </c>
      <c r="O20" s="202">
        <f>SUM(C20:N20)</f>
        <v>8807000</v>
      </c>
    </row>
    <row r="21" spans="1:19">
      <c r="N21" s="165"/>
    </row>
    <row r="23" spans="1:19">
      <c r="A23" s="108"/>
      <c r="B23" s="615" t="s">
        <v>153</v>
      </c>
      <c r="C23" s="615"/>
      <c r="D23" s="615" t="s">
        <v>154</v>
      </c>
      <c r="E23" s="615"/>
      <c r="F23" s="615" t="s">
        <v>155</v>
      </c>
      <c r="G23" s="615"/>
      <c r="H23" s="615" t="s">
        <v>15</v>
      </c>
      <c r="I23" s="615"/>
      <c r="J23" s="615" t="s">
        <v>185</v>
      </c>
      <c r="K23" s="615"/>
      <c r="L23" s="615" t="s">
        <v>17</v>
      </c>
      <c r="M23" s="615"/>
      <c r="N23" s="615" t="s">
        <v>189</v>
      </c>
      <c r="O23" s="615"/>
      <c r="P23" s="615" t="s">
        <v>190</v>
      </c>
      <c r="Q23" s="615"/>
      <c r="R23" s="615" t="s">
        <v>18</v>
      </c>
      <c r="S23" s="615"/>
    </row>
    <row r="24" spans="1:19" ht="15">
      <c r="A24" s="108"/>
      <c r="B24" s="358" t="s">
        <v>156</v>
      </c>
      <c r="C24" s="358" t="s">
        <v>130</v>
      </c>
      <c r="D24" s="358" t="s">
        <v>156</v>
      </c>
      <c r="E24" s="358" t="s">
        <v>130</v>
      </c>
      <c r="F24" s="358" t="s">
        <v>156</v>
      </c>
      <c r="G24" s="358" t="s">
        <v>130</v>
      </c>
      <c r="H24" s="112" t="s">
        <v>156</v>
      </c>
      <c r="I24" s="112" t="s">
        <v>130</v>
      </c>
      <c r="J24" s="112" t="s">
        <v>156</v>
      </c>
      <c r="K24" s="112" t="s">
        <v>130</v>
      </c>
      <c r="L24" s="112" t="s">
        <v>156</v>
      </c>
      <c r="M24" s="112" t="s">
        <v>130</v>
      </c>
      <c r="N24" s="112" t="s">
        <v>156</v>
      </c>
      <c r="O24" s="112" t="s">
        <v>130</v>
      </c>
      <c r="P24" s="112" t="s">
        <v>156</v>
      </c>
      <c r="Q24" s="112" t="s">
        <v>130</v>
      </c>
      <c r="R24" s="112" t="s">
        <v>156</v>
      </c>
      <c r="S24" s="112" t="s">
        <v>130</v>
      </c>
    </row>
    <row r="25" spans="1:19" ht="15">
      <c r="A25" s="108" t="s">
        <v>157</v>
      </c>
      <c r="B25" s="467">
        <f>B44</f>
        <v>79333.333333333328</v>
      </c>
      <c r="C25" s="471">
        <f t="shared" ref="C25:G25" si="40">C44</f>
        <v>36833.333333333336</v>
      </c>
      <c r="D25" s="471">
        <f t="shared" si="40"/>
        <v>93333.333333333328</v>
      </c>
      <c r="E25" s="471">
        <f t="shared" si="40"/>
        <v>43333.333333333336</v>
      </c>
      <c r="F25" s="471">
        <f t="shared" si="40"/>
        <v>107333.33333333333</v>
      </c>
      <c r="G25" s="471">
        <f t="shared" si="40"/>
        <v>49833.333333333336</v>
      </c>
      <c r="H25" s="439">
        <f>B55</f>
        <v>85000</v>
      </c>
      <c r="I25" s="439">
        <f t="shared" ref="I25:M25" si="41">C55</f>
        <v>39100</v>
      </c>
      <c r="J25" s="439">
        <f t="shared" si="41"/>
        <v>100000</v>
      </c>
      <c r="K25" s="439">
        <f t="shared" si="41"/>
        <v>46000</v>
      </c>
      <c r="L25" s="439">
        <f t="shared" si="41"/>
        <v>115000</v>
      </c>
      <c r="M25" s="439">
        <f t="shared" si="41"/>
        <v>52899.999999999993</v>
      </c>
      <c r="N25" s="219">
        <f>B66</f>
        <v>80750</v>
      </c>
      <c r="O25" s="219">
        <f t="shared" ref="O25:S25" si="42">C66</f>
        <v>36833.333333333336</v>
      </c>
      <c r="P25" s="219">
        <f t="shared" si="42"/>
        <v>95000</v>
      </c>
      <c r="Q25" s="219">
        <f t="shared" si="42"/>
        <v>43333.333333333336</v>
      </c>
      <c r="R25" s="219">
        <f t="shared" si="42"/>
        <v>109250</v>
      </c>
      <c r="S25" s="219">
        <f t="shared" si="42"/>
        <v>49833.333333333336</v>
      </c>
    </row>
    <row r="26" spans="1:19" ht="15">
      <c r="A26" s="108" t="s">
        <v>158</v>
      </c>
      <c r="B26" s="471">
        <f t="shared" ref="B26:G26" si="43">B45</f>
        <v>72000</v>
      </c>
      <c r="C26" s="471">
        <f t="shared" si="43"/>
        <v>30000.000000000004</v>
      </c>
      <c r="D26" s="471">
        <f t="shared" si="43"/>
        <v>80000</v>
      </c>
      <c r="E26" s="471">
        <f t="shared" si="43"/>
        <v>33333.333333333336</v>
      </c>
      <c r="F26" s="471">
        <f t="shared" si="43"/>
        <v>88000</v>
      </c>
      <c r="G26" s="471">
        <f t="shared" si="43"/>
        <v>36666.666666666672</v>
      </c>
      <c r="H26" s="439">
        <f t="shared" ref="H26:M26" si="44">B56</f>
        <v>73666.666666666672</v>
      </c>
      <c r="I26" s="439">
        <f t="shared" si="44"/>
        <v>31166.666666666664</v>
      </c>
      <c r="J26" s="439">
        <f t="shared" si="44"/>
        <v>86666.666666666672</v>
      </c>
      <c r="K26" s="439">
        <f t="shared" si="44"/>
        <v>36666.666666666664</v>
      </c>
      <c r="L26" s="439">
        <f t="shared" si="44"/>
        <v>99666.666666666672</v>
      </c>
      <c r="M26" s="439">
        <f t="shared" si="44"/>
        <v>42166.666666666664</v>
      </c>
      <c r="N26" s="219">
        <f>B67</f>
        <v>73666.666666666672</v>
      </c>
      <c r="O26" s="219">
        <f>C67</f>
        <v>31166.666666666664</v>
      </c>
      <c r="P26" s="219">
        <f>D67</f>
        <v>86666.666666666672</v>
      </c>
      <c r="Q26" s="219">
        <f>E67</f>
        <v>36666.666666666664</v>
      </c>
      <c r="R26" s="219">
        <f>F67</f>
        <v>99666.666666666672</v>
      </c>
      <c r="S26" s="219">
        <f>G67</f>
        <v>42166.666666666664</v>
      </c>
    </row>
    <row r="27" spans="1:19" ht="15">
      <c r="A27" s="108" t="s">
        <v>235</v>
      </c>
      <c r="B27" s="471">
        <f t="shared" ref="B27:G27" si="45">B46</f>
        <v>0</v>
      </c>
      <c r="C27" s="471">
        <f t="shared" si="45"/>
        <v>0</v>
      </c>
      <c r="D27" s="471">
        <f t="shared" si="45"/>
        <v>0</v>
      </c>
      <c r="E27" s="471">
        <f t="shared" si="45"/>
        <v>0</v>
      </c>
      <c r="F27" s="471">
        <f t="shared" si="45"/>
        <v>42000</v>
      </c>
      <c r="G27" s="471">
        <f t="shared" si="45"/>
        <v>15000</v>
      </c>
      <c r="H27" s="439">
        <f t="shared" ref="H27:M27" si="46">B57</f>
        <v>38816.666666666664</v>
      </c>
      <c r="I27" s="439">
        <f t="shared" si="46"/>
        <v>14166.666666666668</v>
      </c>
      <c r="J27" s="439">
        <f t="shared" si="46"/>
        <v>45666.666666666664</v>
      </c>
      <c r="K27" s="439">
        <f t="shared" si="46"/>
        <v>16666.666666666668</v>
      </c>
      <c r="L27" s="439">
        <f t="shared" si="46"/>
        <v>52516.666666666664</v>
      </c>
      <c r="M27" s="439">
        <f t="shared" si="46"/>
        <v>19166.666666666668</v>
      </c>
      <c r="N27" s="219"/>
      <c r="O27" s="219"/>
      <c r="P27" s="219"/>
      <c r="Q27" s="219"/>
      <c r="R27" s="219"/>
      <c r="S27" s="219"/>
    </row>
    <row r="28" spans="1:19" ht="15">
      <c r="A28" s="108" t="s">
        <v>223</v>
      </c>
      <c r="B28" s="471">
        <f t="shared" ref="B28:G28" si="47">B47</f>
        <v>43500</v>
      </c>
      <c r="C28" s="471">
        <f t="shared" si="47"/>
        <v>15900.000000000002</v>
      </c>
      <c r="D28" s="471">
        <f t="shared" si="47"/>
        <v>48333.333333333336</v>
      </c>
      <c r="E28" s="471">
        <f t="shared" si="47"/>
        <v>17666.666666666668</v>
      </c>
      <c r="F28" s="471">
        <f t="shared" si="47"/>
        <v>53166.666666666664</v>
      </c>
      <c r="G28" s="471">
        <f t="shared" si="47"/>
        <v>19433.333333333336</v>
      </c>
      <c r="H28" s="439"/>
      <c r="I28" s="439"/>
      <c r="J28" s="439"/>
      <c r="K28" s="439"/>
      <c r="L28" s="439"/>
      <c r="M28" s="439"/>
      <c r="N28" s="219">
        <f t="shared" ref="N28:S28" si="48">B68</f>
        <v>42500</v>
      </c>
      <c r="O28" s="219">
        <f t="shared" si="48"/>
        <v>15583.333333333332</v>
      </c>
      <c r="P28" s="219">
        <f t="shared" si="48"/>
        <v>50000</v>
      </c>
      <c r="Q28" s="219">
        <f t="shared" si="48"/>
        <v>18333.333333333332</v>
      </c>
      <c r="R28" s="219">
        <f t="shared" si="48"/>
        <v>57500</v>
      </c>
      <c r="S28" s="219">
        <f t="shared" si="48"/>
        <v>21083.333333333332</v>
      </c>
    </row>
    <row r="29" spans="1:19" ht="15">
      <c r="A29" s="108" t="s">
        <v>159</v>
      </c>
      <c r="B29" s="471">
        <f t="shared" ref="B29:G29" si="49">B48</f>
        <v>123000</v>
      </c>
      <c r="C29" s="471">
        <f t="shared" si="49"/>
        <v>40500</v>
      </c>
      <c r="D29" s="471">
        <f t="shared" si="49"/>
        <v>136666.66666666666</v>
      </c>
      <c r="E29" s="471">
        <f t="shared" si="49"/>
        <v>45000</v>
      </c>
      <c r="F29" s="471">
        <f t="shared" si="49"/>
        <v>150333.33333333334</v>
      </c>
      <c r="G29" s="471">
        <f t="shared" si="49"/>
        <v>49500.000000000007</v>
      </c>
      <c r="H29" s="439">
        <f>B58</f>
        <v>113333.33333333334</v>
      </c>
      <c r="I29" s="439">
        <f t="shared" ref="I29:M29" si="50">C58</f>
        <v>37683.333333333336</v>
      </c>
      <c r="J29" s="439">
        <f t="shared" si="50"/>
        <v>133333.33333333334</v>
      </c>
      <c r="K29" s="439">
        <f t="shared" si="50"/>
        <v>44333.333333333336</v>
      </c>
      <c r="L29" s="439">
        <f t="shared" si="50"/>
        <v>153333.33333333331</v>
      </c>
      <c r="M29" s="439">
        <f t="shared" si="50"/>
        <v>50983.333333333336</v>
      </c>
      <c r="N29" s="219">
        <f t="shared" ref="N29:N31" si="51">B69</f>
        <v>113333.33333333334</v>
      </c>
      <c r="O29" s="219">
        <f t="shared" ref="O29:O31" si="52">C69</f>
        <v>36266.666666666664</v>
      </c>
      <c r="P29" s="219">
        <f t="shared" ref="P29:P31" si="53">D69</f>
        <v>133333.33333333334</v>
      </c>
      <c r="Q29" s="219">
        <f t="shared" ref="Q29:Q31" si="54">E69</f>
        <v>42666.666666666664</v>
      </c>
      <c r="R29" s="219">
        <f t="shared" ref="R29:R31" si="55">F69</f>
        <v>153333.33333333331</v>
      </c>
      <c r="S29" s="219">
        <f t="shared" ref="S29:S31" si="56">G69</f>
        <v>49066.666666666657</v>
      </c>
    </row>
    <row r="30" spans="1:19" ht="15">
      <c r="A30" s="108" t="s">
        <v>160</v>
      </c>
      <c r="B30" s="471">
        <f t="shared" ref="B30:G30" si="57">B49</f>
        <v>201000</v>
      </c>
      <c r="C30" s="471">
        <f t="shared" si="57"/>
        <v>61500</v>
      </c>
      <c r="D30" s="471">
        <f t="shared" si="57"/>
        <v>223333.33333333334</v>
      </c>
      <c r="E30" s="471">
        <f t="shared" si="57"/>
        <v>68333.333333333328</v>
      </c>
      <c r="F30" s="471">
        <f t="shared" si="57"/>
        <v>245666.66666666672</v>
      </c>
      <c r="G30" s="471">
        <f t="shared" si="57"/>
        <v>75166.666666666672</v>
      </c>
      <c r="H30" s="439">
        <f t="shared" ref="H30:H31" si="58">B59</f>
        <v>185866.66666666666</v>
      </c>
      <c r="I30" s="439">
        <f t="shared" ref="I30:I31" si="59">C59</f>
        <v>56666.666666666672</v>
      </c>
      <c r="J30" s="439">
        <f t="shared" ref="J30:J31" si="60">D59</f>
        <v>218666.66666666666</v>
      </c>
      <c r="K30" s="439">
        <f t="shared" ref="K30:K31" si="61">E59</f>
        <v>66666.666666666672</v>
      </c>
      <c r="L30" s="439">
        <f t="shared" ref="L30:L31" si="62">F59</f>
        <v>251466.66666666663</v>
      </c>
      <c r="M30" s="439">
        <f t="shared" ref="M30:M31" si="63">G59</f>
        <v>76666.666666666672</v>
      </c>
      <c r="N30" s="219">
        <f t="shared" si="51"/>
        <v>187000</v>
      </c>
      <c r="O30" s="219">
        <f t="shared" si="52"/>
        <v>51000</v>
      </c>
      <c r="P30" s="219">
        <f t="shared" si="53"/>
        <v>220000</v>
      </c>
      <c r="Q30" s="219">
        <f t="shared" si="54"/>
        <v>60000</v>
      </c>
      <c r="R30" s="219">
        <f t="shared" si="55"/>
        <v>252999.99999999997</v>
      </c>
      <c r="S30" s="219">
        <f t="shared" si="56"/>
        <v>69000</v>
      </c>
    </row>
    <row r="31" spans="1:19" ht="15">
      <c r="A31" s="108" t="s">
        <v>161</v>
      </c>
      <c r="B31" s="471">
        <f t="shared" ref="B31:G31" si="64">B50</f>
        <v>129000.00000000001</v>
      </c>
      <c r="C31" s="471">
        <f t="shared" si="64"/>
        <v>41100</v>
      </c>
      <c r="D31" s="471">
        <f t="shared" si="64"/>
        <v>143333.33333333334</v>
      </c>
      <c r="E31" s="471">
        <f t="shared" si="64"/>
        <v>45666.666666666664</v>
      </c>
      <c r="F31" s="471">
        <f t="shared" si="64"/>
        <v>157666.66666666669</v>
      </c>
      <c r="G31" s="471">
        <f t="shared" si="64"/>
        <v>50233.333333333336</v>
      </c>
      <c r="H31" s="439">
        <f t="shared" si="58"/>
        <v>119566.66666666666</v>
      </c>
      <c r="I31" s="439">
        <f t="shared" si="59"/>
        <v>37116.666666666664</v>
      </c>
      <c r="J31" s="439">
        <f t="shared" si="60"/>
        <v>140666.66666666666</v>
      </c>
      <c r="K31" s="439">
        <f t="shared" si="61"/>
        <v>43666.666666666664</v>
      </c>
      <c r="L31" s="439">
        <f t="shared" si="62"/>
        <v>161766.66666666666</v>
      </c>
      <c r="M31" s="439">
        <f t="shared" si="63"/>
        <v>50216.666666666657</v>
      </c>
      <c r="N31" s="219">
        <f t="shared" si="51"/>
        <v>119000</v>
      </c>
      <c r="O31" s="219">
        <f t="shared" si="52"/>
        <v>37116.666666666664</v>
      </c>
      <c r="P31" s="219">
        <f t="shared" si="53"/>
        <v>140000</v>
      </c>
      <c r="Q31" s="219">
        <f t="shared" si="54"/>
        <v>43666.666666666664</v>
      </c>
      <c r="R31" s="219">
        <f t="shared" si="55"/>
        <v>160999.99999999997</v>
      </c>
      <c r="S31" s="219">
        <f t="shared" si="56"/>
        <v>50216.666666666657</v>
      </c>
    </row>
    <row r="32" spans="1:19" ht="15">
      <c r="A32" s="108"/>
      <c r="B32" s="219"/>
      <c r="C32" s="219"/>
      <c r="D32" s="219"/>
      <c r="E32" s="219"/>
      <c r="F32" s="219"/>
      <c r="G32" s="219"/>
      <c r="H32" s="439"/>
      <c r="I32" s="439"/>
      <c r="J32" s="439"/>
      <c r="K32" s="439"/>
      <c r="L32" s="439"/>
      <c r="M32" s="439"/>
    </row>
    <row r="35" spans="1:14" ht="15">
      <c r="A35" s="221" t="s">
        <v>130</v>
      </c>
      <c r="B35" s="465">
        <v>220200</v>
      </c>
      <c r="C35" s="465">
        <v>244666.66666666666</v>
      </c>
      <c r="D35" s="465">
        <v>256900</v>
      </c>
      <c r="E35" s="465">
        <v>244666.66666666666</v>
      </c>
      <c r="F35" s="465">
        <v>256900</v>
      </c>
      <c r="G35" s="465">
        <v>269133.33333333337</v>
      </c>
      <c r="H35" s="465">
        <v>220200</v>
      </c>
      <c r="I35" s="465">
        <v>220200</v>
      </c>
      <c r="J35" s="465">
        <v>244666.66666666666</v>
      </c>
      <c r="K35" s="465">
        <v>256900</v>
      </c>
      <c r="L35" s="465">
        <v>256900</v>
      </c>
      <c r="M35" s="465">
        <v>244666.66666666666</v>
      </c>
      <c r="N35" s="222">
        <f>SUM(B35:M35)</f>
        <v>2935999.9999999995</v>
      </c>
    </row>
    <row r="36" spans="1:14" ht="15">
      <c r="A36" s="221" t="s">
        <v>156</v>
      </c>
      <c r="B36" s="465">
        <v>652275</v>
      </c>
      <c r="C36" s="465">
        <v>724750</v>
      </c>
      <c r="D36" s="465">
        <v>760987.5</v>
      </c>
      <c r="E36" s="465">
        <v>724750</v>
      </c>
      <c r="F36" s="465">
        <v>760987.5</v>
      </c>
      <c r="G36" s="465">
        <v>797225.00000000012</v>
      </c>
      <c r="H36" s="465">
        <v>652275</v>
      </c>
      <c r="I36" s="465">
        <v>652275</v>
      </c>
      <c r="J36" s="465">
        <v>724750</v>
      </c>
      <c r="K36" s="465">
        <v>760987.5</v>
      </c>
      <c r="L36" s="465">
        <v>760987.5</v>
      </c>
      <c r="M36" s="465">
        <v>724750</v>
      </c>
      <c r="N36" s="222">
        <f>SUM(B36:M36)</f>
        <v>8697000</v>
      </c>
    </row>
    <row r="38" spans="1:14">
      <c r="B38" s="616">
        <v>2016</v>
      </c>
      <c r="C38" s="617"/>
      <c r="D38" s="616" t="s">
        <v>234</v>
      </c>
      <c r="E38" s="617"/>
      <c r="F38" s="618" t="s">
        <v>232</v>
      </c>
      <c r="G38" s="619"/>
      <c r="H38" s="616" t="s">
        <v>233</v>
      </c>
      <c r="I38" s="617"/>
    </row>
    <row r="39" spans="1:14">
      <c r="A39" s="221" t="s">
        <v>130</v>
      </c>
      <c r="B39" s="268">
        <f>DH!R3</f>
        <v>2668073.3448000001</v>
      </c>
      <c r="C39" s="268"/>
      <c r="D39" s="268">
        <f>F39*0.95</f>
        <v>2789199.9999999995</v>
      </c>
      <c r="E39" s="269">
        <f>D39/B39-1</f>
        <v>4.5398547770836961E-2</v>
      </c>
      <c r="F39" s="268">
        <f>DH!R6</f>
        <v>2935999.9999999995</v>
      </c>
      <c r="G39" s="269">
        <f>F39/B39-1</f>
        <v>0.10041952396930198</v>
      </c>
      <c r="H39" s="268">
        <f>F39*1.05</f>
        <v>3082799.9999999995</v>
      </c>
      <c r="I39" s="269">
        <f>H39/B39-1</f>
        <v>0.15544050016776723</v>
      </c>
      <c r="J39" s="165">
        <f>H39/4</f>
        <v>770699.99999999988</v>
      </c>
      <c r="K39" s="361"/>
      <c r="L39" s="362"/>
      <c r="M39" s="362"/>
      <c r="N39" s="362"/>
    </row>
    <row r="40" spans="1:14">
      <c r="A40" s="221" t="s">
        <v>156</v>
      </c>
      <c r="B40" s="268">
        <f>DH!R16</f>
        <v>7765732.4299999997</v>
      </c>
      <c r="C40" s="268"/>
      <c r="D40" s="268">
        <f>F40*0.95</f>
        <v>8262150</v>
      </c>
      <c r="E40" s="269">
        <f>D40/B40-1</f>
        <v>6.3924114624690942E-2</v>
      </c>
      <c r="F40" s="268">
        <f>DH!R19</f>
        <v>8697000</v>
      </c>
      <c r="G40" s="269">
        <f>F40/B40-1</f>
        <v>0.11992012065756952</v>
      </c>
      <c r="H40" s="268">
        <f>F40*1.05</f>
        <v>9131850</v>
      </c>
      <c r="I40" s="269">
        <f>H40/B40-1</f>
        <v>0.17591612669044787</v>
      </c>
      <c r="J40" s="165">
        <f>H40/4</f>
        <v>2282962.5</v>
      </c>
      <c r="K40" s="361"/>
      <c r="L40" s="362"/>
      <c r="M40" s="362"/>
      <c r="N40" s="362"/>
    </row>
    <row r="42" spans="1:14" ht="15">
      <c r="A42" s="357"/>
      <c r="B42" s="620" t="s">
        <v>153</v>
      </c>
      <c r="C42" s="620"/>
      <c r="D42" s="620" t="s">
        <v>154</v>
      </c>
      <c r="E42" s="620"/>
      <c r="F42" s="620" t="s">
        <v>155</v>
      </c>
      <c r="G42" s="620"/>
      <c r="H42" s="620" t="s">
        <v>201</v>
      </c>
      <c r="I42" s="620"/>
      <c r="J42" s="202">
        <f>B39/12*0.9</f>
        <v>200105.50086</v>
      </c>
    </row>
    <row r="43" spans="1:14" ht="15">
      <c r="A43" s="357"/>
      <c r="B43" s="358" t="s">
        <v>156</v>
      </c>
      <c r="C43" s="358" t="s">
        <v>130</v>
      </c>
      <c r="D43" s="358" t="s">
        <v>156</v>
      </c>
      <c r="E43" s="358" t="s">
        <v>130</v>
      </c>
      <c r="F43" s="358" t="s">
        <v>156</v>
      </c>
      <c r="G43" s="358" t="s">
        <v>130</v>
      </c>
      <c r="H43" s="358" t="s">
        <v>156</v>
      </c>
      <c r="I43" s="358" t="s">
        <v>130</v>
      </c>
    </row>
    <row r="44" spans="1:14" ht="15">
      <c r="A44" s="357" t="s">
        <v>157</v>
      </c>
      <c r="B44" s="469">
        <v>79333.333333333328</v>
      </c>
      <c r="C44" s="469">
        <v>36833.333333333336</v>
      </c>
      <c r="D44" s="468">
        <v>93333.333333333328</v>
      </c>
      <c r="E44" s="468">
        <v>43333.333333333336</v>
      </c>
      <c r="F44" s="468">
        <v>107333.33333333333</v>
      </c>
      <c r="G44" s="468">
        <v>49833.333333333336</v>
      </c>
      <c r="H44" s="350">
        <f>B44+D44+F44</f>
        <v>280000</v>
      </c>
      <c r="I44" s="350">
        <f>C44+E44+G44</f>
        <v>130000</v>
      </c>
    </row>
    <row r="45" spans="1:14" ht="15">
      <c r="A45" s="357" t="s">
        <v>158</v>
      </c>
      <c r="B45" s="469">
        <v>72000</v>
      </c>
      <c r="C45" s="469">
        <v>30000.000000000004</v>
      </c>
      <c r="D45" s="468">
        <v>80000</v>
      </c>
      <c r="E45" s="468">
        <v>33333.333333333336</v>
      </c>
      <c r="F45" s="468">
        <v>88000</v>
      </c>
      <c r="G45" s="468">
        <v>36666.666666666672</v>
      </c>
      <c r="H45" s="350">
        <f t="shared" ref="H45:H48" si="65">B45+D45+F45</f>
        <v>240000</v>
      </c>
      <c r="I45" s="350">
        <f t="shared" ref="I45:I50" si="66">C45+E45+G45</f>
        <v>100000.00000000001</v>
      </c>
    </row>
    <row r="46" spans="1:14" ht="15">
      <c r="A46" s="466" t="s">
        <v>235</v>
      </c>
      <c r="B46" s="469"/>
      <c r="C46" s="469"/>
      <c r="D46" s="468"/>
      <c r="E46" s="468"/>
      <c r="F46" s="468">
        <v>42000</v>
      </c>
      <c r="G46" s="468">
        <v>15000</v>
      </c>
      <c r="H46" s="350">
        <f t="shared" ref="H46" si="67">B46+D46+F46</f>
        <v>42000</v>
      </c>
      <c r="I46" s="350">
        <f t="shared" ref="I46" si="68">C46+E46+G46</f>
        <v>15000</v>
      </c>
    </row>
    <row r="47" spans="1:14" ht="15">
      <c r="A47" s="466" t="s">
        <v>223</v>
      </c>
      <c r="B47" s="471">
        <v>43500</v>
      </c>
      <c r="C47" s="471">
        <v>15900.000000000002</v>
      </c>
      <c r="D47" s="470">
        <v>48333.333333333336</v>
      </c>
      <c r="E47" s="470">
        <v>17666.666666666668</v>
      </c>
      <c r="F47" s="470">
        <v>53166.666666666664</v>
      </c>
      <c r="G47" s="470">
        <v>19433.333333333336</v>
      </c>
      <c r="H47" s="350">
        <f t="shared" si="65"/>
        <v>145000</v>
      </c>
      <c r="I47" s="350">
        <f t="shared" si="66"/>
        <v>53000.000000000007</v>
      </c>
    </row>
    <row r="48" spans="1:14" ht="15">
      <c r="A48" s="357" t="s">
        <v>159</v>
      </c>
      <c r="B48" s="471">
        <v>123000</v>
      </c>
      <c r="C48" s="471">
        <v>40500</v>
      </c>
      <c r="D48" s="470">
        <v>136666.66666666666</v>
      </c>
      <c r="E48" s="470">
        <v>45000</v>
      </c>
      <c r="F48" s="470">
        <v>150333.33333333334</v>
      </c>
      <c r="G48" s="470">
        <v>49500.000000000007</v>
      </c>
      <c r="H48" s="350">
        <f t="shared" si="65"/>
        <v>410000</v>
      </c>
      <c r="I48" s="350">
        <f t="shared" si="66"/>
        <v>135000</v>
      </c>
    </row>
    <row r="49" spans="1:9" ht="15">
      <c r="A49" s="357" t="s">
        <v>160</v>
      </c>
      <c r="B49" s="471">
        <v>201000</v>
      </c>
      <c r="C49" s="471">
        <v>61500</v>
      </c>
      <c r="D49" s="470">
        <v>223333.33333333334</v>
      </c>
      <c r="E49" s="470">
        <v>68333.333333333328</v>
      </c>
      <c r="F49" s="470">
        <v>245666.66666666672</v>
      </c>
      <c r="G49" s="470">
        <v>75166.666666666672</v>
      </c>
      <c r="H49" s="350">
        <f>B49+D49+F49</f>
        <v>670000.00000000012</v>
      </c>
      <c r="I49" s="350">
        <f t="shared" si="66"/>
        <v>205000</v>
      </c>
    </row>
    <row r="50" spans="1:9" ht="15">
      <c r="A50" s="357" t="s">
        <v>161</v>
      </c>
      <c r="B50" s="471">
        <v>129000.00000000001</v>
      </c>
      <c r="C50" s="471">
        <v>41100</v>
      </c>
      <c r="D50" s="470">
        <v>143333.33333333334</v>
      </c>
      <c r="E50" s="470">
        <v>45666.666666666664</v>
      </c>
      <c r="F50" s="470">
        <v>157666.66666666669</v>
      </c>
      <c r="G50" s="470">
        <v>50233.333333333336</v>
      </c>
      <c r="H50" s="350">
        <f t="shared" ref="H50" si="69">B50+D50+F50</f>
        <v>430000.00000000006</v>
      </c>
      <c r="I50" s="350">
        <f t="shared" si="66"/>
        <v>137000</v>
      </c>
    </row>
    <row r="51" spans="1:9" ht="15">
      <c r="A51" s="357" t="s">
        <v>192</v>
      </c>
      <c r="B51" s="351">
        <f t="shared" ref="B51:G51" si="70">SUM(B44:B50)</f>
        <v>647833.33333333337</v>
      </c>
      <c r="C51" s="351">
        <f t="shared" si="70"/>
        <v>225833.33333333334</v>
      </c>
      <c r="D51" s="351">
        <f t="shared" si="70"/>
        <v>725000</v>
      </c>
      <c r="E51" s="351">
        <f t="shared" si="70"/>
        <v>253333.33333333334</v>
      </c>
      <c r="F51" s="351">
        <f t="shared" si="70"/>
        <v>844166.66666666674</v>
      </c>
      <c r="G51" s="351">
        <f t="shared" si="70"/>
        <v>295833.33333333331</v>
      </c>
      <c r="H51" s="352">
        <f>SUM(H44:H50)</f>
        <v>2217000</v>
      </c>
      <c r="I51" s="352">
        <f>SUM(I44:I50)</f>
        <v>775000</v>
      </c>
    </row>
    <row r="53" spans="1:9">
      <c r="A53" s="474"/>
      <c r="B53" s="475" t="s">
        <v>217</v>
      </c>
      <c r="C53" s="475"/>
      <c r="D53" s="475" t="s">
        <v>218</v>
      </c>
      <c r="E53" s="475"/>
      <c r="F53" s="475" t="s">
        <v>219</v>
      </c>
      <c r="G53" s="475"/>
      <c r="H53" s="475" t="s">
        <v>216</v>
      </c>
      <c r="I53" s="475"/>
    </row>
    <row r="54" spans="1:9">
      <c r="A54" s="474"/>
      <c r="B54" s="475" t="s">
        <v>156</v>
      </c>
      <c r="C54" s="475" t="s">
        <v>130</v>
      </c>
      <c r="D54" s="475" t="s">
        <v>156</v>
      </c>
      <c r="E54" s="475" t="s">
        <v>130</v>
      </c>
      <c r="F54" s="475" t="s">
        <v>156</v>
      </c>
      <c r="G54" s="475" t="s">
        <v>130</v>
      </c>
      <c r="H54" s="475" t="s">
        <v>156</v>
      </c>
      <c r="I54" s="475" t="s">
        <v>130</v>
      </c>
    </row>
    <row r="55" spans="1:9">
      <c r="A55" s="476" t="s">
        <v>247</v>
      </c>
      <c r="B55" s="477">
        <v>85000</v>
      </c>
      <c r="C55" s="477">
        <v>39100</v>
      </c>
      <c r="D55" s="478">
        <v>100000</v>
      </c>
      <c r="E55" s="478">
        <v>46000</v>
      </c>
      <c r="F55" s="478">
        <v>115000</v>
      </c>
      <c r="G55" s="478">
        <v>52899.999999999993</v>
      </c>
      <c r="H55" s="479">
        <v>300000</v>
      </c>
      <c r="I55" s="479">
        <v>138000</v>
      </c>
    </row>
    <row r="56" spans="1:9">
      <c r="A56" s="476" t="s">
        <v>248</v>
      </c>
      <c r="B56" s="477">
        <v>73666.666666666672</v>
      </c>
      <c r="C56" s="477">
        <v>31166.666666666664</v>
      </c>
      <c r="D56" s="478">
        <v>86666.666666666672</v>
      </c>
      <c r="E56" s="478">
        <v>36666.666666666664</v>
      </c>
      <c r="F56" s="478">
        <v>99666.666666666672</v>
      </c>
      <c r="G56" s="478">
        <v>42166.666666666664</v>
      </c>
      <c r="H56" s="479">
        <v>260000</v>
      </c>
      <c r="I56" s="479">
        <v>110000</v>
      </c>
    </row>
    <row r="57" spans="1:9">
      <c r="A57" t="s">
        <v>249</v>
      </c>
      <c r="B57" s="477">
        <v>38816.666666666664</v>
      </c>
      <c r="C57" s="477">
        <v>14166.666666666668</v>
      </c>
      <c r="D57" s="478">
        <v>45666.666666666664</v>
      </c>
      <c r="E57" s="478">
        <v>16666.666666666668</v>
      </c>
      <c r="F57" s="478">
        <v>52516.666666666664</v>
      </c>
      <c r="G57" s="478">
        <v>19166.666666666668</v>
      </c>
      <c r="H57" s="479">
        <v>137000</v>
      </c>
      <c r="I57" s="479">
        <v>50000</v>
      </c>
    </row>
    <row r="58" spans="1:9">
      <c r="A58" s="476" t="s">
        <v>250</v>
      </c>
      <c r="B58" s="477">
        <v>113333.33333333334</v>
      </c>
      <c r="C58" s="477">
        <v>37683.333333333336</v>
      </c>
      <c r="D58" s="478">
        <v>133333.33333333334</v>
      </c>
      <c r="E58" s="478">
        <v>44333.333333333336</v>
      </c>
      <c r="F58" s="478">
        <v>153333.33333333331</v>
      </c>
      <c r="G58" s="478">
        <v>50983.333333333336</v>
      </c>
      <c r="H58" s="479">
        <v>400000</v>
      </c>
      <c r="I58" s="479">
        <v>133000</v>
      </c>
    </row>
    <row r="59" spans="1:9">
      <c r="A59" s="476" t="s">
        <v>251</v>
      </c>
      <c r="B59" s="477">
        <v>185866.66666666666</v>
      </c>
      <c r="C59" s="477">
        <v>56666.666666666672</v>
      </c>
      <c r="D59" s="478">
        <v>218666.66666666666</v>
      </c>
      <c r="E59" s="478">
        <v>66666.666666666672</v>
      </c>
      <c r="F59" s="478">
        <v>251466.66666666663</v>
      </c>
      <c r="G59" s="478">
        <v>76666.666666666672</v>
      </c>
      <c r="H59" s="479">
        <v>656000</v>
      </c>
      <c r="I59" s="479">
        <v>200000</v>
      </c>
    </row>
    <row r="60" spans="1:9">
      <c r="A60" s="476" t="s">
        <v>252</v>
      </c>
      <c r="B60" s="477">
        <v>119566.66666666666</v>
      </c>
      <c r="C60" s="477">
        <v>37116.666666666664</v>
      </c>
      <c r="D60" s="478">
        <v>140666.66666666666</v>
      </c>
      <c r="E60" s="478">
        <v>43666.666666666664</v>
      </c>
      <c r="F60" s="478">
        <v>161766.66666666666</v>
      </c>
      <c r="G60" s="478">
        <v>50216.666666666657</v>
      </c>
      <c r="H60" s="479">
        <v>422000</v>
      </c>
      <c r="I60" s="479">
        <v>130999.99999999999</v>
      </c>
    </row>
    <row r="61" spans="1:9">
      <c r="A61" s="474" t="s">
        <v>192</v>
      </c>
      <c r="B61" s="480">
        <v>616250</v>
      </c>
      <c r="C61" s="480">
        <v>215899.99999999997</v>
      </c>
      <c r="D61" s="480">
        <v>725000</v>
      </c>
      <c r="E61" s="480">
        <v>253999.99999999997</v>
      </c>
      <c r="F61" s="480">
        <v>833749.99999999988</v>
      </c>
      <c r="G61" s="480">
        <v>292100</v>
      </c>
      <c r="H61" s="481">
        <v>2175000</v>
      </c>
      <c r="I61" s="481">
        <v>762000</v>
      </c>
    </row>
    <row r="64" spans="1:9">
      <c r="A64" s="108"/>
      <c r="B64" s="615" t="s">
        <v>189</v>
      </c>
      <c r="C64" s="615"/>
      <c r="D64" s="615" t="s">
        <v>190</v>
      </c>
      <c r="E64" s="615"/>
      <c r="F64" s="615" t="s">
        <v>18</v>
      </c>
      <c r="G64" s="615"/>
      <c r="H64" s="615" t="s">
        <v>191</v>
      </c>
      <c r="I64" s="615"/>
    </row>
    <row r="65" spans="1:9">
      <c r="A65" s="108"/>
      <c r="B65" s="112" t="s">
        <v>156</v>
      </c>
      <c r="C65" s="112" t="s">
        <v>130</v>
      </c>
      <c r="D65" s="112" t="s">
        <v>156</v>
      </c>
      <c r="E65" s="112" t="s">
        <v>130</v>
      </c>
      <c r="F65" s="112" t="s">
        <v>156</v>
      </c>
      <c r="G65" s="112" t="s">
        <v>130</v>
      </c>
      <c r="H65" s="112" t="s">
        <v>156</v>
      </c>
      <c r="I65" s="112" t="s">
        <v>130</v>
      </c>
    </row>
    <row r="66" spans="1:9" ht="15">
      <c r="A66" s="484" t="s">
        <v>247</v>
      </c>
      <c r="B66" s="486">
        <v>80750</v>
      </c>
      <c r="C66" s="486">
        <v>36833.333333333336</v>
      </c>
      <c r="D66" s="485">
        <v>95000</v>
      </c>
      <c r="E66" s="485">
        <v>43333.333333333336</v>
      </c>
      <c r="F66" s="485">
        <v>109250</v>
      </c>
      <c r="G66" s="485">
        <v>49833.333333333336</v>
      </c>
      <c r="H66" s="350">
        <f>B66+D66+F66</f>
        <v>285000</v>
      </c>
      <c r="I66" s="350">
        <f>C66+E66+G66</f>
        <v>130000</v>
      </c>
    </row>
    <row r="67" spans="1:9" ht="15">
      <c r="A67" s="484" t="s">
        <v>248</v>
      </c>
      <c r="B67" s="486">
        <v>73666.666666666672</v>
      </c>
      <c r="C67" s="486">
        <v>31166.666666666664</v>
      </c>
      <c r="D67" s="485">
        <v>86666.666666666672</v>
      </c>
      <c r="E67" s="485">
        <v>36666.666666666664</v>
      </c>
      <c r="F67" s="485">
        <v>99666.666666666672</v>
      </c>
      <c r="G67" s="485">
        <v>42166.666666666664</v>
      </c>
      <c r="H67" s="350">
        <f t="shared" ref="H67:I71" si="71">B67+D67+F67</f>
        <v>260000</v>
      </c>
      <c r="I67" s="350">
        <f t="shared" si="71"/>
        <v>110000</v>
      </c>
    </row>
    <row r="68" spans="1:9" ht="15">
      <c r="A68" s="484" t="s">
        <v>255</v>
      </c>
      <c r="B68" s="486">
        <v>42500</v>
      </c>
      <c r="C68" s="486">
        <v>15583.333333333332</v>
      </c>
      <c r="D68" s="485">
        <v>50000</v>
      </c>
      <c r="E68" s="485">
        <v>18333.333333333332</v>
      </c>
      <c r="F68" s="485">
        <v>57500</v>
      </c>
      <c r="G68" s="485">
        <v>21083.333333333332</v>
      </c>
      <c r="H68" s="350">
        <f t="shared" si="71"/>
        <v>150000</v>
      </c>
      <c r="I68" s="350">
        <f t="shared" si="71"/>
        <v>55000</v>
      </c>
    </row>
    <row r="69" spans="1:9" ht="15">
      <c r="A69" s="484" t="s">
        <v>250</v>
      </c>
      <c r="B69" s="486">
        <v>113333.33333333334</v>
      </c>
      <c r="C69" s="486">
        <v>36266.666666666664</v>
      </c>
      <c r="D69" s="485">
        <v>133333.33333333334</v>
      </c>
      <c r="E69" s="485">
        <v>42666.666666666664</v>
      </c>
      <c r="F69" s="485">
        <v>153333.33333333331</v>
      </c>
      <c r="G69" s="485">
        <v>49066.666666666657</v>
      </c>
      <c r="H69" s="350">
        <f t="shared" si="71"/>
        <v>400000</v>
      </c>
      <c r="I69" s="350">
        <f t="shared" si="71"/>
        <v>127999.99999999999</v>
      </c>
    </row>
    <row r="70" spans="1:9" ht="15">
      <c r="A70" s="484" t="s">
        <v>251</v>
      </c>
      <c r="B70" s="486">
        <v>187000</v>
      </c>
      <c r="C70" s="486">
        <v>51000</v>
      </c>
      <c r="D70" s="485">
        <v>220000</v>
      </c>
      <c r="E70" s="485">
        <v>60000</v>
      </c>
      <c r="F70" s="485">
        <v>252999.99999999997</v>
      </c>
      <c r="G70" s="485">
        <v>69000</v>
      </c>
      <c r="H70" s="350">
        <f>B70+D70+F70</f>
        <v>660000</v>
      </c>
      <c r="I70" s="350">
        <f t="shared" si="71"/>
        <v>180000</v>
      </c>
    </row>
    <row r="71" spans="1:9" ht="15">
      <c r="A71" s="484" t="s">
        <v>252</v>
      </c>
      <c r="B71" s="486">
        <v>119000</v>
      </c>
      <c r="C71" s="486">
        <v>37116.666666666664</v>
      </c>
      <c r="D71" s="485">
        <v>140000</v>
      </c>
      <c r="E71" s="485">
        <v>43666.666666666664</v>
      </c>
      <c r="F71" s="485">
        <v>160999.99999999997</v>
      </c>
      <c r="G71" s="485">
        <v>50216.666666666657</v>
      </c>
      <c r="H71" s="350">
        <f t="shared" si="71"/>
        <v>420000</v>
      </c>
      <c r="I71" s="350">
        <f t="shared" si="71"/>
        <v>130999.99999999999</v>
      </c>
    </row>
    <row r="72" spans="1:9" ht="15">
      <c r="A72" s="108" t="s">
        <v>192</v>
      </c>
      <c r="B72" s="351">
        <f t="shared" ref="B72:G72" si="72">SUM(B66:B71)</f>
        <v>616250</v>
      </c>
      <c r="C72" s="351">
        <f t="shared" si="72"/>
        <v>207966.66666666666</v>
      </c>
      <c r="D72" s="351">
        <f t="shared" si="72"/>
        <v>725000</v>
      </c>
      <c r="E72" s="351">
        <f t="shared" si="72"/>
        <v>244666.66666666666</v>
      </c>
      <c r="F72" s="351">
        <f t="shared" si="72"/>
        <v>833750</v>
      </c>
      <c r="G72" s="351">
        <f t="shared" si="72"/>
        <v>281366.66666666663</v>
      </c>
      <c r="H72" s="352">
        <f>SUM(H66:H71)</f>
        <v>2175000</v>
      </c>
      <c r="I72" s="352">
        <f>SUM(I66:I71)</f>
        <v>734000</v>
      </c>
    </row>
    <row r="74" spans="1:9">
      <c r="A74" s="108"/>
      <c r="B74" s="438" t="s">
        <v>10</v>
      </c>
      <c r="C74" s="438"/>
      <c r="D74" s="438" t="s">
        <v>11</v>
      </c>
      <c r="E74" s="438"/>
      <c r="F74" s="438" t="s">
        <v>12</v>
      </c>
      <c r="G74" s="438"/>
      <c r="H74" s="438" t="s">
        <v>196</v>
      </c>
      <c r="I74" s="438"/>
    </row>
    <row r="75" spans="1:9">
      <c r="A75" s="108"/>
      <c r="B75" s="438" t="s">
        <v>156</v>
      </c>
      <c r="C75" s="438" t="s">
        <v>130</v>
      </c>
      <c r="D75" s="438" t="s">
        <v>156</v>
      </c>
      <c r="E75" s="438" t="s">
        <v>130</v>
      </c>
      <c r="F75" s="438" t="s">
        <v>156</v>
      </c>
      <c r="G75" s="438" t="s">
        <v>130</v>
      </c>
      <c r="H75" s="438" t="s">
        <v>156</v>
      </c>
      <c r="I75" s="438" t="s">
        <v>130</v>
      </c>
    </row>
    <row r="76" spans="1:9" ht="15">
      <c r="A76" s="476" t="s">
        <v>247</v>
      </c>
      <c r="B76" s="488">
        <v>90000</v>
      </c>
      <c r="C76" s="488">
        <v>39000</v>
      </c>
      <c r="D76" s="478">
        <v>105000</v>
      </c>
      <c r="E76" s="478">
        <v>45500.000000000007</v>
      </c>
      <c r="F76" s="478">
        <v>105000</v>
      </c>
      <c r="G76" s="478">
        <v>45500.000000000007</v>
      </c>
      <c r="H76" s="350">
        <f>B76+D76+F76</f>
        <v>300000</v>
      </c>
      <c r="I76" s="350">
        <f>C76+E76+G76</f>
        <v>130000</v>
      </c>
    </row>
    <row r="77" spans="1:9" ht="15">
      <c r="A77" s="476" t="s">
        <v>248</v>
      </c>
      <c r="B77" s="488">
        <v>82333.333333333328</v>
      </c>
      <c r="C77" s="488">
        <v>31666.666666666668</v>
      </c>
      <c r="D77" s="478">
        <v>91000.000000000015</v>
      </c>
      <c r="E77" s="478">
        <v>35000.000000000007</v>
      </c>
      <c r="F77" s="478">
        <v>86666.666666666672</v>
      </c>
      <c r="G77" s="478">
        <v>33333.333333333336</v>
      </c>
      <c r="H77" s="350">
        <f t="shared" ref="H77:H79" si="73">B77+D77+F77</f>
        <v>260000</v>
      </c>
      <c r="I77" s="350">
        <f t="shared" ref="I77:I81" si="74">C77+E77+G77</f>
        <v>100000</v>
      </c>
    </row>
    <row r="78" spans="1:9" ht="15">
      <c r="A78" s="476" t="s">
        <v>255</v>
      </c>
      <c r="B78" s="488">
        <v>41166.666666666664</v>
      </c>
      <c r="C78" s="488">
        <v>15833.333333333334</v>
      </c>
      <c r="D78" s="478">
        <v>45500.000000000007</v>
      </c>
      <c r="E78" s="478">
        <v>17500.000000000004</v>
      </c>
      <c r="F78" s="478">
        <v>43333.333333333336</v>
      </c>
      <c r="G78" s="478">
        <v>16666.666666666668</v>
      </c>
      <c r="H78" s="350">
        <f t="shared" si="73"/>
        <v>130000</v>
      </c>
      <c r="I78" s="350">
        <f t="shared" si="74"/>
        <v>50000</v>
      </c>
    </row>
    <row r="79" spans="1:9" ht="15">
      <c r="A79" s="476" t="s">
        <v>250</v>
      </c>
      <c r="B79" s="488">
        <v>136166.66666666666</v>
      </c>
      <c r="C79" s="488">
        <v>41166.666666666664</v>
      </c>
      <c r="D79" s="478">
        <v>150500.00000000003</v>
      </c>
      <c r="E79" s="478">
        <v>45500.000000000007</v>
      </c>
      <c r="F79" s="478">
        <v>143333.33333333334</v>
      </c>
      <c r="G79" s="478">
        <v>43333.333333333336</v>
      </c>
      <c r="H79" s="350">
        <f t="shared" si="73"/>
        <v>430000</v>
      </c>
      <c r="I79" s="350">
        <f t="shared" si="74"/>
        <v>130000</v>
      </c>
    </row>
    <row r="80" spans="1:9" ht="15">
      <c r="A80" s="476" t="s">
        <v>251</v>
      </c>
      <c r="B80" s="488">
        <v>221666.66666666666</v>
      </c>
      <c r="C80" s="488">
        <v>63333.333333333336</v>
      </c>
      <c r="D80" s="478">
        <v>245000.00000000003</v>
      </c>
      <c r="E80" s="478">
        <v>70000.000000000015</v>
      </c>
      <c r="F80" s="478">
        <v>233333.33333333334</v>
      </c>
      <c r="G80" s="478">
        <v>66666.666666666672</v>
      </c>
      <c r="H80" s="350">
        <f>B80+D80+F80</f>
        <v>700000</v>
      </c>
      <c r="I80" s="350">
        <f t="shared" si="74"/>
        <v>200000</v>
      </c>
    </row>
    <row r="81" spans="1:9" ht="15">
      <c r="A81" s="476" t="s">
        <v>252</v>
      </c>
      <c r="B81" s="488">
        <v>133000</v>
      </c>
      <c r="C81" s="488">
        <v>43383.333333333328</v>
      </c>
      <c r="D81" s="478">
        <v>147000</v>
      </c>
      <c r="E81" s="478">
        <v>47950</v>
      </c>
      <c r="F81" s="478">
        <v>140000</v>
      </c>
      <c r="G81" s="478">
        <v>45666.666666666664</v>
      </c>
      <c r="H81" s="350">
        <f t="shared" ref="H81" si="75">B81+D81+F81</f>
        <v>420000</v>
      </c>
      <c r="I81" s="350">
        <f t="shared" si="74"/>
        <v>137000</v>
      </c>
    </row>
    <row r="82" spans="1:9" ht="15">
      <c r="A82" s="108" t="s">
        <v>192</v>
      </c>
      <c r="B82" s="351">
        <f t="shared" ref="B82:G82" si="76">SUM(B76:B81)</f>
        <v>704333.33333333326</v>
      </c>
      <c r="C82" s="351">
        <f t="shared" si="76"/>
        <v>234383.33333333331</v>
      </c>
      <c r="D82" s="351">
        <f t="shared" si="76"/>
        <v>784000</v>
      </c>
      <c r="E82" s="351">
        <f t="shared" si="76"/>
        <v>261450.00000000006</v>
      </c>
      <c r="F82" s="351">
        <f t="shared" si="76"/>
        <v>751666.66666666674</v>
      </c>
      <c r="G82" s="351">
        <f t="shared" si="76"/>
        <v>251166.66666666666</v>
      </c>
      <c r="H82" s="352">
        <f>SUM(H76:H81)</f>
        <v>2240000</v>
      </c>
      <c r="I82" s="352">
        <f>SUM(I76:I81)</f>
        <v>747000</v>
      </c>
    </row>
    <row r="83" spans="1:9">
      <c r="B83" s="250"/>
      <c r="C83" s="250"/>
      <c r="D83" s="250"/>
      <c r="E83" s="250"/>
      <c r="F83" s="250"/>
      <c r="G83" s="250"/>
      <c r="H83" s="250"/>
      <c r="I83" s="250"/>
    </row>
  </sheetData>
  <mergeCells count="23">
    <mergeCell ref="P23:Q23"/>
    <mergeCell ref="B64:C64"/>
    <mergeCell ref="D64:E64"/>
    <mergeCell ref="F64:G64"/>
    <mergeCell ref="R23:S23"/>
    <mergeCell ref="H64:I64"/>
    <mergeCell ref="D38:E38"/>
    <mergeCell ref="F38:G38"/>
    <mergeCell ref="H38:I38"/>
    <mergeCell ref="B38:C38"/>
    <mergeCell ref="D42:E42"/>
    <mergeCell ref="F42:G42"/>
    <mergeCell ref="H42:I42"/>
    <mergeCell ref="B42:C42"/>
    <mergeCell ref="A1:O1"/>
    <mergeCell ref="A11:O11"/>
    <mergeCell ref="B23:C23"/>
    <mergeCell ref="D23:E23"/>
    <mergeCell ref="F23:G23"/>
    <mergeCell ref="N23:O23"/>
    <mergeCell ref="J23:K23"/>
    <mergeCell ref="L23:M23"/>
    <mergeCell ref="H23:I23"/>
  </mergeCells>
  <pageMargins left="0.7" right="0.7" top="0.75" bottom="0.75" header="0.3" footer="0.3"/>
  <pageSetup paperSize="9" orientation="landscape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8"/>
  <sheetViews>
    <sheetView workbookViewId="0">
      <selection activeCell="D3" sqref="D3"/>
    </sheetView>
  </sheetViews>
  <sheetFormatPr defaultRowHeight="12.75"/>
  <cols>
    <col min="1" max="1" width="19.28515625" customWidth="1"/>
    <col min="4" max="4" width="12.28515625" bestFit="1" customWidth="1"/>
    <col min="5" max="5" width="11.42578125" customWidth="1"/>
    <col min="6" max="6" width="13.140625" customWidth="1"/>
    <col min="7" max="7" width="13" customWidth="1"/>
    <col min="8" max="9" width="13.42578125" bestFit="1" customWidth="1"/>
    <col min="10" max="10" width="9.28515625" bestFit="1" customWidth="1"/>
  </cols>
  <sheetData>
    <row r="1" spans="1:10">
      <c r="A1" s="196" t="s">
        <v>204</v>
      </c>
      <c r="B1" s="196" t="s">
        <v>205</v>
      </c>
      <c r="C1" s="196" t="s">
        <v>206</v>
      </c>
      <c r="D1" s="196" t="s">
        <v>207</v>
      </c>
      <c r="E1" s="196" t="s">
        <v>208</v>
      </c>
      <c r="F1" s="196" t="s">
        <v>209</v>
      </c>
      <c r="G1" s="196" t="s">
        <v>210</v>
      </c>
      <c r="H1" s="196" t="s">
        <v>211</v>
      </c>
      <c r="I1" s="196" t="s">
        <v>212</v>
      </c>
      <c r="J1" s="196" t="s">
        <v>130</v>
      </c>
    </row>
    <row r="2" spans="1:10">
      <c r="A2" s="196" t="s">
        <v>222</v>
      </c>
      <c r="B2" s="196"/>
      <c r="C2" s="196"/>
      <c r="D2" s="250">
        <v>1665.8030000000001</v>
      </c>
      <c r="E2" s="250"/>
      <c r="F2" s="250">
        <v>39849.46</v>
      </c>
      <c r="G2" s="250">
        <v>32397.93</v>
      </c>
      <c r="H2" s="250">
        <v>21174.355</v>
      </c>
      <c r="I2" s="250">
        <v>11223.575000000001</v>
      </c>
      <c r="J2" s="250">
        <v>34.642800000000001</v>
      </c>
    </row>
    <row r="3" spans="1:10">
      <c r="A3" s="196" t="s">
        <v>84</v>
      </c>
      <c r="B3" s="196"/>
      <c r="C3" s="196"/>
      <c r="D3" s="250">
        <v>779.05499999999995</v>
      </c>
      <c r="E3" s="250"/>
      <c r="F3" s="250">
        <v>55989.36</v>
      </c>
      <c r="G3" s="250">
        <v>45519.79</v>
      </c>
      <c r="H3" s="250">
        <v>22537.738099999999</v>
      </c>
      <c r="I3" s="250">
        <v>22982.051899999999</v>
      </c>
      <c r="J3" s="250">
        <v>50.488</v>
      </c>
    </row>
    <row r="4" spans="1:10">
      <c r="A4" s="196" t="s">
        <v>91</v>
      </c>
      <c r="B4" s="196"/>
      <c r="C4" s="196"/>
      <c r="D4" s="250">
        <v>3348.6770000000001</v>
      </c>
      <c r="E4" s="250"/>
      <c r="F4" s="250">
        <v>114164.85</v>
      </c>
      <c r="G4" s="250">
        <v>92816.9</v>
      </c>
      <c r="H4" s="250">
        <v>53833.2984</v>
      </c>
      <c r="I4" s="250">
        <v>38983.601600000002</v>
      </c>
      <c r="J4" s="250">
        <v>42.000500000000002</v>
      </c>
    </row>
    <row r="5" spans="1:10">
      <c r="A5" s="196" t="s">
        <v>90</v>
      </c>
      <c r="B5" s="196"/>
      <c r="C5" s="196"/>
      <c r="D5" s="250">
        <v>3883.7040000000002</v>
      </c>
      <c r="E5" s="250"/>
      <c r="F5" s="250">
        <v>163917.1</v>
      </c>
      <c r="G5" s="250">
        <v>133265.91</v>
      </c>
      <c r="H5" s="250">
        <v>93191.714000000007</v>
      </c>
      <c r="I5" s="250">
        <v>40074.196000000004</v>
      </c>
      <c r="J5" s="250">
        <v>30.070799999999998</v>
      </c>
    </row>
    <row r="6" spans="1:10">
      <c r="A6" s="196" t="s">
        <v>32</v>
      </c>
      <c r="B6" s="196"/>
      <c r="C6" s="196"/>
      <c r="D6" s="250">
        <v>3644.0630000000001</v>
      </c>
      <c r="E6" s="250"/>
      <c r="F6" s="250">
        <v>153170.29999999999</v>
      </c>
      <c r="G6" s="250">
        <v>125682.56</v>
      </c>
      <c r="H6" s="250">
        <v>84685.739400000006</v>
      </c>
      <c r="I6" s="441">
        <f>40996.8206-216.46</f>
        <v>40780.3606</v>
      </c>
      <c r="J6" s="250">
        <v>32.619300000000003</v>
      </c>
    </row>
    <row r="7" spans="1:10">
      <c r="A7" s="196" t="s">
        <v>31</v>
      </c>
      <c r="B7" s="196"/>
      <c r="C7" s="196"/>
      <c r="D7" s="250">
        <v>8532.491</v>
      </c>
      <c r="E7" s="250"/>
      <c r="F7" s="250">
        <v>293507.09999999998</v>
      </c>
      <c r="G7" s="250">
        <v>238698.05</v>
      </c>
      <c r="H7" s="250">
        <v>164853.43669999999</v>
      </c>
      <c r="I7" s="250">
        <v>73844.613299999997</v>
      </c>
      <c r="J7" s="250">
        <v>30.936399999999999</v>
      </c>
    </row>
    <row r="8" spans="1:10">
      <c r="A8" s="196" t="s">
        <v>213</v>
      </c>
      <c r="B8" s="196"/>
      <c r="C8" s="196"/>
      <c r="D8" s="250">
        <v>21853.793000000001</v>
      </c>
      <c r="E8" s="250"/>
      <c r="F8" s="250">
        <v>820598.17</v>
      </c>
      <c r="G8" s="250">
        <v>668381.14</v>
      </c>
      <c r="H8" s="250">
        <v>440276.28159999999</v>
      </c>
      <c r="I8" s="250">
        <v>228104.8584</v>
      </c>
      <c r="J8" s="250">
        <v>34.127899999999997</v>
      </c>
    </row>
  </sheetData>
  <pageMargins left="0.7" right="0.7" top="0.75" bottom="0.75" header="0.3" footer="0.3"/>
  <pageSetup paperSize="9" orientation="portrait" verticalDpi="0"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selection activeCell="F17" sqref="F17"/>
    </sheetView>
  </sheetViews>
  <sheetFormatPr defaultRowHeight="12.75"/>
  <cols>
    <col min="1" max="1" width="18.5703125" customWidth="1"/>
  </cols>
  <sheetData>
    <row r="1" spans="1:10">
      <c r="A1" t="s">
        <v>204</v>
      </c>
      <c r="B1" t="s">
        <v>205</v>
      </c>
      <c r="C1" t="s">
        <v>206</v>
      </c>
      <c r="D1" t="s">
        <v>207</v>
      </c>
      <c r="E1" t="s">
        <v>208</v>
      </c>
      <c r="F1" t="s">
        <v>209</v>
      </c>
      <c r="G1" t="s">
        <v>210</v>
      </c>
      <c r="H1" t="s">
        <v>211</v>
      </c>
      <c r="I1" t="s">
        <v>212</v>
      </c>
      <c r="J1" t="s">
        <v>130</v>
      </c>
    </row>
    <row r="2" spans="1:10">
      <c r="A2" t="s">
        <v>222</v>
      </c>
      <c r="D2">
        <v>38.450000000000003</v>
      </c>
      <c r="F2">
        <v>9473.01</v>
      </c>
      <c r="G2">
        <v>7701.63</v>
      </c>
      <c r="H2">
        <v>3252.4005999999999</v>
      </c>
      <c r="I2">
        <v>4449.2294000000002</v>
      </c>
      <c r="J2">
        <v>57.7699</v>
      </c>
    </row>
    <row r="3" spans="1:10">
      <c r="A3" t="s">
        <v>236</v>
      </c>
      <c r="D3">
        <v>1761.85</v>
      </c>
      <c r="F3">
        <v>24453.99</v>
      </c>
      <c r="G3">
        <v>19881.29</v>
      </c>
      <c r="H3">
        <v>13186.0195</v>
      </c>
      <c r="I3">
        <v>6695.2704999999996</v>
      </c>
      <c r="J3">
        <v>33.676200000000001</v>
      </c>
    </row>
    <row r="4" spans="1:10">
      <c r="A4" t="s">
        <v>84</v>
      </c>
      <c r="D4">
        <v>1354.42</v>
      </c>
      <c r="F4">
        <v>86649.06</v>
      </c>
      <c r="G4">
        <v>70446.38</v>
      </c>
      <c r="H4">
        <v>38625.362500000003</v>
      </c>
      <c r="I4">
        <v>31821.017500000002</v>
      </c>
      <c r="J4">
        <v>45.170499999999997</v>
      </c>
    </row>
    <row r="5" spans="1:10">
      <c r="A5" t="s">
        <v>90</v>
      </c>
      <c r="D5">
        <v>6358.1589999999997</v>
      </c>
      <c r="F5">
        <v>109087.7</v>
      </c>
      <c r="G5">
        <v>88689.13</v>
      </c>
      <c r="H5">
        <v>53321.782599999999</v>
      </c>
      <c r="I5">
        <v>35367.347399999999</v>
      </c>
      <c r="J5">
        <v>39.877800000000001</v>
      </c>
    </row>
    <row r="6" spans="1:10">
      <c r="A6" t="s">
        <v>91</v>
      </c>
      <c r="D6">
        <v>3503.9690000000001</v>
      </c>
      <c r="F6">
        <v>138050.17000000001</v>
      </c>
      <c r="G6">
        <v>112235.87</v>
      </c>
      <c r="H6">
        <v>67177.147500000006</v>
      </c>
      <c r="I6">
        <v>45058.722500000003</v>
      </c>
      <c r="J6">
        <v>40.1464</v>
      </c>
    </row>
    <row r="7" spans="1:10">
      <c r="A7" t="s">
        <v>32</v>
      </c>
      <c r="D7">
        <v>6107.8620000000001</v>
      </c>
      <c r="F7">
        <v>178586.58</v>
      </c>
      <c r="G7">
        <v>145192.32999999999</v>
      </c>
      <c r="H7">
        <v>92781.502299999993</v>
      </c>
      <c r="I7">
        <v>52410.827700000002</v>
      </c>
      <c r="J7">
        <v>36.097499999999997</v>
      </c>
    </row>
    <row r="8" spans="1:10">
      <c r="A8" t="s">
        <v>31</v>
      </c>
      <c r="D8">
        <v>3515.049</v>
      </c>
      <c r="F8">
        <v>244874.87</v>
      </c>
      <c r="G8">
        <v>199550.58</v>
      </c>
      <c r="H8">
        <v>144661.8897</v>
      </c>
      <c r="I8">
        <v>54888.690300000002</v>
      </c>
      <c r="J8">
        <v>27.5061</v>
      </c>
    </row>
    <row r="9" spans="1:10">
      <c r="A9" t="s">
        <v>213</v>
      </c>
      <c r="D9">
        <v>22639.758999999998</v>
      </c>
      <c r="F9">
        <v>791175.38</v>
      </c>
      <c r="G9">
        <v>643697.21</v>
      </c>
      <c r="H9">
        <v>413006.10470000003</v>
      </c>
      <c r="I9">
        <v>230691.1053</v>
      </c>
      <c r="J9">
        <v>35.8384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selection activeCell="J13" sqref="J13"/>
    </sheetView>
  </sheetViews>
  <sheetFormatPr defaultRowHeight="12.75"/>
  <cols>
    <col min="1" max="1" width="23.140625" customWidth="1"/>
    <col min="2" max="9" width="15.5703125" customWidth="1"/>
  </cols>
  <sheetData>
    <row r="1" spans="1:10">
      <c r="A1" s="285" t="s">
        <v>204</v>
      </c>
      <c r="B1" s="285" t="s">
        <v>205</v>
      </c>
      <c r="C1" s="285" t="s">
        <v>206</v>
      </c>
      <c r="D1" s="285" t="s">
        <v>207</v>
      </c>
      <c r="E1" s="285" t="s">
        <v>208</v>
      </c>
      <c r="F1" s="285" t="s">
        <v>209</v>
      </c>
      <c r="G1" s="285" t="s">
        <v>210</v>
      </c>
      <c r="H1" s="285" t="s">
        <v>211</v>
      </c>
      <c r="I1" s="285" t="s">
        <v>212</v>
      </c>
      <c r="J1" s="196" t="s">
        <v>130</v>
      </c>
    </row>
    <row r="2" spans="1:10">
      <c r="A2" s="196" t="s">
        <v>213</v>
      </c>
      <c r="B2" s="196"/>
      <c r="C2" s="196"/>
      <c r="D2" s="250">
        <v>28895.102999999999</v>
      </c>
      <c r="E2" s="250"/>
      <c r="F2" s="250">
        <v>1116299.26</v>
      </c>
      <c r="G2" s="250">
        <v>907634.51</v>
      </c>
      <c r="H2" s="250">
        <v>584065.38089999999</v>
      </c>
      <c r="I2" s="250">
        <v>323569.12910000002</v>
      </c>
      <c r="J2" s="196">
        <v>35.649700000000003</v>
      </c>
    </row>
    <row r="3" spans="1:10">
      <c r="A3" s="196" t="s">
        <v>84</v>
      </c>
      <c r="B3" s="196"/>
      <c r="C3" s="196"/>
      <c r="D3" s="250">
        <v>1929.38</v>
      </c>
      <c r="E3" s="250"/>
      <c r="F3" s="250">
        <v>206794.17</v>
      </c>
      <c r="G3" s="250">
        <v>168125.31</v>
      </c>
      <c r="H3" s="250">
        <v>95024.459000000003</v>
      </c>
      <c r="I3" s="250">
        <v>73100.850999999995</v>
      </c>
      <c r="J3" s="196">
        <v>43.479900000000001</v>
      </c>
    </row>
    <row r="4" spans="1:10">
      <c r="A4" s="196" t="s">
        <v>31</v>
      </c>
      <c r="B4" s="196"/>
      <c r="C4" s="196"/>
      <c r="D4" s="250">
        <v>6849.9719999999998</v>
      </c>
      <c r="E4" s="250"/>
      <c r="F4" s="250">
        <v>309293.86</v>
      </c>
      <c r="G4" s="250">
        <v>251532.77</v>
      </c>
      <c r="H4" s="250">
        <v>179823.13690000001</v>
      </c>
      <c r="I4" s="250">
        <v>71709.633100000006</v>
      </c>
      <c r="J4" s="196">
        <v>28.509</v>
      </c>
    </row>
    <row r="5" spans="1:10">
      <c r="A5" s="196" t="s">
        <v>91</v>
      </c>
      <c r="B5" s="196"/>
      <c r="C5" s="196"/>
      <c r="D5" s="250">
        <v>4345.3990000000003</v>
      </c>
      <c r="E5" s="250"/>
      <c r="F5" s="250">
        <v>134825.47</v>
      </c>
      <c r="G5" s="250">
        <v>109614.17</v>
      </c>
      <c r="H5" s="250">
        <v>60005.601600000002</v>
      </c>
      <c r="I5" s="250">
        <v>49608.568399999996</v>
      </c>
      <c r="J5" s="196">
        <v>45.257399999999997</v>
      </c>
    </row>
    <row r="6" spans="1:10">
      <c r="A6" s="196" t="s">
        <v>90</v>
      </c>
      <c r="B6" s="196"/>
      <c r="C6" s="196"/>
      <c r="D6" s="250">
        <v>8031.3770000000004</v>
      </c>
      <c r="E6" s="250"/>
      <c r="F6" s="250">
        <v>195764.57</v>
      </c>
      <c r="G6" s="250">
        <v>159158.04999999999</v>
      </c>
      <c r="H6" s="250">
        <v>110401.758</v>
      </c>
      <c r="I6" s="250">
        <v>48756.292000000001</v>
      </c>
      <c r="J6" s="196">
        <v>30.633800000000001</v>
      </c>
    </row>
    <row r="7" spans="1:10">
      <c r="A7" s="196" t="s">
        <v>32</v>
      </c>
      <c r="B7" s="196"/>
      <c r="C7" s="196"/>
      <c r="D7" s="250">
        <v>4910.951</v>
      </c>
      <c r="E7" s="250"/>
      <c r="F7" s="250">
        <v>167570.47</v>
      </c>
      <c r="G7" s="250">
        <v>136236.14000000001</v>
      </c>
      <c r="H7" s="250">
        <v>88904.551800000001</v>
      </c>
      <c r="I7" s="250">
        <v>47331.588199999998</v>
      </c>
      <c r="J7" s="196">
        <v>34.7423</v>
      </c>
    </row>
    <row r="8" spans="1:10">
      <c r="A8" s="196" t="s">
        <v>236</v>
      </c>
      <c r="B8" s="196"/>
      <c r="C8" s="196"/>
      <c r="D8" s="196">
        <v>2781.22</v>
      </c>
      <c r="E8" s="196"/>
      <c r="F8" s="196">
        <v>92416.86</v>
      </c>
      <c r="G8" s="196">
        <v>75135.66</v>
      </c>
      <c r="H8" s="196">
        <v>46069.368399999999</v>
      </c>
      <c r="I8" s="196">
        <v>29066.2916</v>
      </c>
      <c r="J8" s="196">
        <v>38.685000000000002</v>
      </c>
    </row>
    <row r="9" spans="1:10">
      <c r="A9" s="196" t="s">
        <v>222</v>
      </c>
      <c r="B9" s="196"/>
      <c r="C9" s="196"/>
      <c r="D9" s="250">
        <v>46.804000000000002</v>
      </c>
      <c r="E9" s="250"/>
      <c r="F9" s="250">
        <v>9633.86</v>
      </c>
      <c r="G9" s="250">
        <v>7832.41</v>
      </c>
      <c r="H9" s="250">
        <v>3836.5052000000001</v>
      </c>
      <c r="I9" s="250">
        <v>3995.9047999999998</v>
      </c>
      <c r="J9" s="196">
        <v>51.017499999999998</v>
      </c>
    </row>
  </sheetData>
  <sortState ref="A2:J9">
    <sortCondition descending="1" ref="A6"/>
  </sortState>
  <pageMargins left="0.7" right="0.7" top="0.75" bottom="0.75" header="0.3" footer="0.3"/>
  <pageSetup paperSize="9" orientation="portrait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activeCell="E27" sqref="E27"/>
    </sheetView>
  </sheetViews>
  <sheetFormatPr defaultRowHeight="12.75"/>
  <cols>
    <col min="1" max="1" width="21.5703125" customWidth="1"/>
    <col min="2" max="2" width="6.42578125" customWidth="1"/>
  </cols>
  <sheetData>
    <row r="1" spans="1:10">
      <c r="A1" t="s">
        <v>204</v>
      </c>
      <c r="B1" t="s">
        <v>205</v>
      </c>
      <c r="C1" t="s">
        <v>206</v>
      </c>
      <c r="D1" t="s">
        <v>207</v>
      </c>
      <c r="E1" t="s">
        <v>208</v>
      </c>
      <c r="F1" t="s">
        <v>209</v>
      </c>
      <c r="G1" t="s">
        <v>210</v>
      </c>
      <c r="H1" t="s">
        <v>211</v>
      </c>
      <c r="I1" t="s">
        <v>212</v>
      </c>
      <c r="J1" t="s">
        <v>130</v>
      </c>
    </row>
    <row r="2" spans="1:10">
      <c r="A2" t="s">
        <v>236</v>
      </c>
      <c r="D2">
        <v>3549.8</v>
      </c>
      <c r="F2">
        <v>54345.65</v>
      </c>
      <c r="G2">
        <v>44183.45</v>
      </c>
      <c r="H2">
        <v>28999.3825</v>
      </c>
      <c r="I2">
        <v>15184.067499999999</v>
      </c>
      <c r="J2">
        <v>34.365900000000003</v>
      </c>
    </row>
    <row r="3" spans="1:10">
      <c r="A3" t="s">
        <v>84</v>
      </c>
      <c r="D3">
        <v>2171.8449999999998</v>
      </c>
      <c r="F3">
        <v>98217.81</v>
      </c>
      <c r="G3">
        <v>79851.850000000006</v>
      </c>
      <c r="H3">
        <v>50854.406499999997</v>
      </c>
      <c r="I3">
        <v>28997.443500000001</v>
      </c>
      <c r="J3">
        <v>36.314</v>
      </c>
    </row>
    <row r="4" spans="1:10">
      <c r="A4" t="s">
        <v>90</v>
      </c>
      <c r="D4">
        <v>5834.4880000000003</v>
      </c>
      <c r="F4">
        <v>153380.15</v>
      </c>
      <c r="G4">
        <v>124699.24</v>
      </c>
      <c r="H4">
        <v>86416.386899999998</v>
      </c>
      <c r="I4">
        <v>38282.8531</v>
      </c>
      <c r="J4">
        <v>30.700099999999999</v>
      </c>
    </row>
    <row r="5" spans="1:10">
      <c r="A5" t="s">
        <v>91</v>
      </c>
      <c r="D5">
        <v>3942.915</v>
      </c>
      <c r="F5">
        <v>169930.54</v>
      </c>
      <c r="G5">
        <v>138154.85</v>
      </c>
      <c r="H5">
        <v>86572.203500000003</v>
      </c>
      <c r="I5">
        <v>51582.646500000003</v>
      </c>
      <c r="J5">
        <v>37.336799999999997</v>
      </c>
    </row>
    <row r="6" spans="1:10">
      <c r="A6" t="s">
        <v>32</v>
      </c>
      <c r="D6">
        <v>4205.817</v>
      </c>
      <c r="F6">
        <v>181902.03</v>
      </c>
      <c r="G6">
        <v>147887.82</v>
      </c>
      <c r="H6">
        <v>94151.754000000001</v>
      </c>
      <c r="I6">
        <v>53736.065999999999</v>
      </c>
      <c r="J6">
        <v>36.335599999999999</v>
      </c>
    </row>
    <row r="7" spans="1:10">
      <c r="A7" t="s">
        <v>31</v>
      </c>
      <c r="D7">
        <v>4103.0630000000001</v>
      </c>
      <c r="F7">
        <v>268053.42</v>
      </c>
      <c r="G7">
        <v>218004.05</v>
      </c>
      <c r="H7">
        <v>156301.74720000001</v>
      </c>
      <c r="I7">
        <v>61702.302799999998</v>
      </c>
      <c r="J7">
        <v>28.3032</v>
      </c>
    </row>
    <row r="8" spans="1:10">
      <c r="A8" t="s">
        <v>213</v>
      </c>
      <c r="D8">
        <v>23807.928</v>
      </c>
      <c r="F8">
        <v>925829.6</v>
      </c>
      <c r="G8">
        <v>752781.26</v>
      </c>
      <c r="H8">
        <v>503295.88059999997</v>
      </c>
      <c r="I8">
        <v>249485.37940000001</v>
      </c>
      <c r="J8">
        <v>33.141800000000003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8"/>
  <sheetViews>
    <sheetView workbookViewId="0">
      <selection activeCell="I3" sqref="I3"/>
    </sheetView>
  </sheetViews>
  <sheetFormatPr defaultRowHeight="12.75"/>
  <cols>
    <col min="1" max="1" width="20.28515625" customWidth="1"/>
    <col min="6" max="9" width="13.42578125" bestFit="1" customWidth="1"/>
  </cols>
  <sheetData>
    <row r="1" spans="1:10">
      <c r="A1" s="196" t="s">
        <v>204</v>
      </c>
      <c r="B1" s="196" t="s">
        <v>205</v>
      </c>
      <c r="C1" s="196" t="s">
        <v>206</v>
      </c>
      <c r="D1" s="196" t="s">
        <v>207</v>
      </c>
      <c r="E1" s="196" t="s">
        <v>208</v>
      </c>
      <c r="F1" s="196" t="s">
        <v>209</v>
      </c>
      <c r="G1" s="196" t="s">
        <v>210</v>
      </c>
      <c r="H1" s="196" t="s">
        <v>211</v>
      </c>
      <c r="I1" s="196" t="s">
        <v>212</v>
      </c>
      <c r="J1" s="196" t="s">
        <v>130</v>
      </c>
    </row>
    <row r="2" spans="1:10">
      <c r="A2" s="196" t="s">
        <v>213</v>
      </c>
      <c r="B2" s="196"/>
      <c r="C2" s="196"/>
      <c r="D2" s="196">
        <v>22180.274000000001</v>
      </c>
      <c r="E2" s="196"/>
      <c r="F2" s="250">
        <v>953437.72</v>
      </c>
      <c r="G2" s="250">
        <v>775226.8</v>
      </c>
      <c r="H2" s="250">
        <v>517607.68910000002</v>
      </c>
      <c r="I2" s="250">
        <v>257619.1109</v>
      </c>
      <c r="J2" s="196">
        <v>33.231400000000001</v>
      </c>
    </row>
    <row r="3" spans="1:10">
      <c r="A3" s="196" t="s">
        <v>90</v>
      </c>
      <c r="B3" s="196"/>
      <c r="C3" s="196"/>
      <c r="D3" s="196">
        <v>7374.1710000000003</v>
      </c>
      <c r="E3" s="196"/>
      <c r="F3" s="250">
        <v>316212.02</v>
      </c>
      <c r="G3" s="250">
        <v>257082.76</v>
      </c>
      <c r="H3" s="250">
        <v>188134.0545</v>
      </c>
      <c r="I3" s="441">
        <f>68948.7055-1092</f>
        <v>67856.705499999996</v>
      </c>
      <c r="J3" s="196">
        <v>26.819600000000001</v>
      </c>
    </row>
    <row r="4" spans="1:10">
      <c r="A4" s="196" t="s">
        <v>84</v>
      </c>
      <c r="B4" s="196"/>
      <c r="C4" s="196"/>
      <c r="D4" s="196">
        <v>1438.625</v>
      </c>
      <c r="E4" s="196"/>
      <c r="F4" s="250">
        <v>146368.99</v>
      </c>
      <c r="G4" s="250">
        <v>118999.17</v>
      </c>
      <c r="H4" s="250">
        <v>64197.698799999998</v>
      </c>
      <c r="I4" s="250">
        <v>54801.4712</v>
      </c>
      <c r="J4" s="196">
        <v>46.051900000000003</v>
      </c>
    </row>
    <row r="5" spans="1:10">
      <c r="A5" s="196" t="s">
        <v>31</v>
      </c>
      <c r="B5" s="196"/>
      <c r="C5" s="196"/>
      <c r="D5" s="196">
        <v>4607.1930000000002</v>
      </c>
      <c r="E5" s="196"/>
      <c r="F5" s="250">
        <v>220094.5</v>
      </c>
      <c r="G5" s="250">
        <v>179012.98</v>
      </c>
      <c r="H5" s="250">
        <v>132466.57949999999</v>
      </c>
      <c r="I5" s="250">
        <v>46546.400500000003</v>
      </c>
      <c r="J5" s="196">
        <v>26.0016</v>
      </c>
    </row>
    <row r="6" spans="1:10">
      <c r="A6" s="196" t="s">
        <v>32</v>
      </c>
      <c r="B6" s="196"/>
      <c r="C6" s="196"/>
      <c r="D6" s="196">
        <v>4250.451</v>
      </c>
      <c r="E6" s="196"/>
      <c r="F6" s="250">
        <v>144018.51</v>
      </c>
      <c r="G6" s="250">
        <v>117088.24</v>
      </c>
      <c r="H6" s="250">
        <v>76280.310899999997</v>
      </c>
      <c r="I6" s="250">
        <v>40807.929100000001</v>
      </c>
      <c r="J6" s="196">
        <v>34.852200000000003</v>
      </c>
    </row>
    <row r="7" spans="1:10">
      <c r="A7" s="196" t="s">
        <v>91</v>
      </c>
      <c r="B7" s="196"/>
      <c r="C7" s="196"/>
      <c r="D7" s="196">
        <v>3817.8339999999998</v>
      </c>
      <c r="E7" s="196"/>
      <c r="F7" s="250">
        <v>104346.21</v>
      </c>
      <c r="G7" s="250">
        <v>84834.31</v>
      </c>
      <c r="H7" s="250">
        <v>45862.938399999999</v>
      </c>
      <c r="I7" s="250">
        <v>38971.371599999999</v>
      </c>
      <c r="J7" s="196">
        <v>45.938200000000002</v>
      </c>
    </row>
    <row r="8" spans="1:10">
      <c r="A8" s="196" t="s">
        <v>236</v>
      </c>
      <c r="B8" s="196"/>
      <c r="C8" s="196"/>
      <c r="D8" s="196">
        <v>692</v>
      </c>
      <c r="E8" s="196"/>
      <c r="F8" s="250">
        <v>22397.49</v>
      </c>
      <c r="G8" s="250">
        <v>18209.34</v>
      </c>
      <c r="H8" s="250">
        <v>10666.107</v>
      </c>
      <c r="I8" s="250">
        <v>7543.2330000000002</v>
      </c>
      <c r="J8" s="196">
        <v>41.424999999999997</v>
      </c>
    </row>
  </sheetData>
  <pageMargins left="0.7" right="0.7" top="0.75" bottom="0.75" header="0.3" footer="0.3"/>
  <pageSetup paperSize="9" orientation="portrait" verticalDpi="0" r:id="rId1"/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9"/>
  <sheetViews>
    <sheetView workbookViewId="0">
      <selection activeCell="B19" sqref="B19"/>
    </sheetView>
  </sheetViews>
  <sheetFormatPr defaultRowHeight="12.75"/>
  <cols>
    <col min="1" max="1" width="23.140625" customWidth="1"/>
    <col min="9" max="9" width="9.5703125" bestFit="1" customWidth="1"/>
  </cols>
  <sheetData>
    <row r="1" spans="1:10">
      <c r="A1" s="196" t="s">
        <v>204</v>
      </c>
      <c r="B1" s="196" t="s">
        <v>205</v>
      </c>
      <c r="C1" s="196" t="s">
        <v>206</v>
      </c>
      <c r="D1" s="196" t="s">
        <v>207</v>
      </c>
      <c r="E1" s="196" t="s">
        <v>208</v>
      </c>
      <c r="F1" s="196" t="s">
        <v>209</v>
      </c>
      <c r="G1" s="196" t="s">
        <v>210</v>
      </c>
      <c r="H1" s="196" t="s">
        <v>211</v>
      </c>
      <c r="I1" s="196" t="s">
        <v>212</v>
      </c>
      <c r="J1" s="196" t="s">
        <v>130</v>
      </c>
    </row>
    <row r="2" spans="1:10">
      <c r="A2" s="196" t="s">
        <v>213</v>
      </c>
      <c r="B2" s="196"/>
      <c r="C2" s="196"/>
      <c r="D2" s="196">
        <v>22034.317999999999</v>
      </c>
      <c r="E2" s="196"/>
      <c r="F2" s="196">
        <v>861767.31</v>
      </c>
      <c r="G2" s="196">
        <v>700623.58</v>
      </c>
      <c r="H2" s="196">
        <v>462314.90220000001</v>
      </c>
      <c r="I2" s="487">
        <v>238308.6778</v>
      </c>
      <c r="J2" s="196">
        <v>34.0137</v>
      </c>
    </row>
    <row r="3" spans="1:10">
      <c r="A3" s="196" t="s">
        <v>91</v>
      </c>
      <c r="B3" s="196"/>
      <c r="C3" s="196"/>
      <c r="D3" s="196">
        <v>3709.34</v>
      </c>
      <c r="E3" s="196"/>
      <c r="F3" s="196">
        <v>141405.51</v>
      </c>
      <c r="G3" s="196">
        <v>114963.77</v>
      </c>
      <c r="H3" s="196">
        <v>66186.877099999998</v>
      </c>
      <c r="I3" s="196">
        <v>48776.892899999999</v>
      </c>
      <c r="J3" s="196">
        <v>42.427999999999997</v>
      </c>
    </row>
    <row r="4" spans="1:10">
      <c r="A4" s="196" t="s">
        <v>31</v>
      </c>
      <c r="B4" s="196"/>
      <c r="C4" s="196"/>
      <c r="D4" s="196">
        <v>4488.7219999999998</v>
      </c>
      <c r="E4" s="196"/>
      <c r="F4" s="196">
        <v>206662.68</v>
      </c>
      <c r="G4" s="196">
        <v>168018.47</v>
      </c>
      <c r="H4" s="196">
        <v>121279.3844</v>
      </c>
      <c r="I4" s="196">
        <v>46739.085599999999</v>
      </c>
      <c r="J4" s="196">
        <v>27.817799999999998</v>
      </c>
    </row>
    <row r="5" spans="1:10">
      <c r="A5" s="196" t="s">
        <v>84</v>
      </c>
      <c r="B5" s="196"/>
      <c r="C5" s="196"/>
      <c r="D5" s="196">
        <v>2151.2199999999998</v>
      </c>
      <c r="E5" s="196"/>
      <c r="F5" s="196">
        <v>141228.29</v>
      </c>
      <c r="G5" s="196">
        <v>114819.72</v>
      </c>
      <c r="H5" s="196">
        <v>70082.538499999995</v>
      </c>
      <c r="I5" s="354">
        <f>44737.1815-4100</f>
        <v>40637.181499999999</v>
      </c>
      <c r="J5" s="196">
        <v>38.962899999999998</v>
      </c>
    </row>
    <row r="6" spans="1:10">
      <c r="A6" s="196" t="s">
        <v>90</v>
      </c>
      <c r="B6" s="196"/>
      <c r="C6" s="196"/>
      <c r="D6" s="196">
        <v>5452.7659999999996</v>
      </c>
      <c r="E6" s="196"/>
      <c r="F6" s="196">
        <v>185434.18</v>
      </c>
      <c r="G6" s="196">
        <v>150759.35</v>
      </c>
      <c r="H6" s="196">
        <v>106730.21490000001</v>
      </c>
      <c r="I6" s="354">
        <f>44029.1351-3760</f>
        <v>40269.1351</v>
      </c>
      <c r="J6" s="196">
        <v>29.204899999999999</v>
      </c>
    </row>
    <row r="7" spans="1:10">
      <c r="A7" s="196" t="s">
        <v>32</v>
      </c>
      <c r="B7" s="196"/>
      <c r="C7" s="196"/>
      <c r="D7" s="196">
        <v>4106.2380000000003</v>
      </c>
      <c r="E7" s="196"/>
      <c r="F7" s="196">
        <v>141949.1</v>
      </c>
      <c r="G7" s="196">
        <v>115405.72</v>
      </c>
      <c r="H7" s="196">
        <v>75578.577699999994</v>
      </c>
      <c r="I7" s="196">
        <v>39827.1423</v>
      </c>
      <c r="J7" s="196">
        <v>34.5105</v>
      </c>
    </row>
    <row r="8" spans="1:10">
      <c r="A8" s="196" t="s">
        <v>236</v>
      </c>
      <c r="B8" s="196"/>
      <c r="C8" s="196"/>
      <c r="D8" s="196">
        <v>2126.0320000000002</v>
      </c>
      <c r="E8" s="196"/>
      <c r="F8" s="196">
        <v>45087.55</v>
      </c>
      <c r="G8" s="196">
        <v>36656.550000000003</v>
      </c>
      <c r="H8" s="196">
        <v>22457.309600000001</v>
      </c>
      <c r="I8" s="196">
        <v>14199.240400000001</v>
      </c>
      <c r="J8" s="196">
        <v>38.735799999999998</v>
      </c>
    </row>
    <row r="9" spans="1:10">
      <c r="A9" s="196"/>
      <c r="B9" s="196"/>
      <c r="C9" s="196"/>
      <c r="D9" s="196"/>
      <c r="E9" s="196"/>
      <c r="F9" s="196"/>
      <c r="G9" s="196"/>
      <c r="H9" s="196"/>
      <c r="I9" s="196"/>
      <c r="J9" s="196"/>
    </row>
  </sheetData>
  <pageMargins left="0.7" right="0.7" top="0.75" bottom="0.75" header="0.3" footer="0.3"/>
  <pageSetup paperSize="9" orientation="portrait" verticalDpi="300" r:id="rId1"/>
  <legacy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8"/>
  <sheetViews>
    <sheetView workbookViewId="0">
      <selection activeCell="A8" sqref="A8"/>
    </sheetView>
  </sheetViews>
  <sheetFormatPr defaultRowHeight="12.75"/>
  <cols>
    <col min="1" max="1" width="42.7109375" customWidth="1"/>
    <col min="4" max="4" width="14.7109375" customWidth="1"/>
    <col min="6" max="8" width="13.42578125" bestFit="1" customWidth="1"/>
    <col min="9" max="9" width="17.7109375" customWidth="1"/>
  </cols>
  <sheetData>
    <row r="1" spans="1:10">
      <c r="A1" t="s">
        <v>204</v>
      </c>
      <c r="B1" t="s">
        <v>205</v>
      </c>
      <c r="C1" t="s">
        <v>206</v>
      </c>
      <c r="D1" t="s">
        <v>207</v>
      </c>
      <c r="E1" t="s">
        <v>208</v>
      </c>
      <c r="F1" t="s">
        <v>209</v>
      </c>
      <c r="G1" t="s">
        <v>210</v>
      </c>
      <c r="H1" t="s">
        <v>211</v>
      </c>
      <c r="I1" t="s">
        <v>212</v>
      </c>
      <c r="J1" t="s">
        <v>130</v>
      </c>
    </row>
    <row r="2" spans="1:10">
      <c r="A2" s="250" t="s">
        <v>213</v>
      </c>
      <c r="B2" s="250"/>
      <c r="C2" s="250"/>
      <c r="D2" s="250">
        <v>20836.067999999999</v>
      </c>
      <c r="E2" s="250"/>
      <c r="F2" s="250">
        <v>915538.64</v>
      </c>
      <c r="G2" s="250">
        <v>744340.06</v>
      </c>
      <c r="H2" s="250">
        <v>499810.22690000001</v>
      </c>
      <c r="I2" s="250">
        <v>244529.83309999999</v>
      </c>
      <c r="J2">
        <v>32.851799999999997</v>
      </c>
    </row>
    <row r="3" spans="1:10">
      <c r="A3" s="250" t="s">
        <v>31</v>
      </c>
      <c r="B3" s="250"/>
      <c r="C3" s="250"/>
      <c r="D3" s="250">
        <v>3756.1509999999998</v>
      </c>
      <c r="E3" s="250"/>
      <c r="F3" s="250">
        <v>273286.81</v>
      </c>
      <c r="G3" s="250">
        <v>222184.33</v>
      </c>
      <c r="H3" s="250">
        <v>166473.83600000001</v>
      </c>
      <c r="I3" s="250">
        <v>55710.493999999999</v>
      </c>
      <c r="J3">
        <v>25.073899999999998</v>
      </c>
    </row>
    <row r="4" spans="1:10">
      <c r="A4" s="250" t="s">
        <v>91</v>
      </c>
      <c r="B4" s="250"/>
      <c r="C4" s="250"/>
      <c r="D4" s="250">
        <v>3878.623</v>
      </c>
      <c r="E4" s="250"/>
      <c r="F4" s="250">
        <v>149387.45000000001</v>
      </c>
      <c r="G4" s="250">
        <v>121453.12</v>
      </c>
      <c r="H4" s="250">
        <v>70035.3361</v>
      </c>
      <c r="I4" s="250">
        <v>51417.783900000002</v>
      </c>
      <c r="J4">
        <v>42.3354</v>
      </c>
    </row>
    <row r="5" spans="1:10">
      <c r="A5" s="250" t="s">
        <v>32</v>
      </c>
      <c r="B5" s="250"/>
      <c r="C5" s="250"/>
      <c r="D5" s="250">
        <v>4359.1210000000001</v>
      </c>
      <c r="E5" s="250"/>
      <c r="F5" s="250">
        <v>149793.60000000001</v>
      </c>
      <c r="G5" s="250">
        <v>121783.42</v>
      </c>
      <c r="H5" s="250">
        <v>79911.545299999998</v>
      </c>
      <c r="I5" s="250">
        <v>41871.8747</v>
      </c>
      <c r="J5">
        <v>34.382199999999997</v>
      </c>
    </row>
    <row r="6" spans="1:10">
      <c r="A6" s="250" t="s">
        <v>90</v>
      </c>
      <c r="B6" s="250"/>
      <c r="C6" s="250"/>
      <c r="D6" s="250">
        <v>5291.9359999999997</v>
      </c>
      <c r="E6" s="250"/>
      <c r="F6" s="250">
        <v>186581.78</v>
      </c>
      <c r="G6" s="250">
        <v>151692.35999999999</v>
      </c>
      <c r="H6" s="250">
        <v>109939.9271</v>
      </c>
      <c r="I6" s="441">
        <f>41752.4329-740</f>
        <v>41012.4329</v>
      </c>
      <c r="J6">
        <v>27.5244</v>
      </c>
    </row>
    <row r="7" spans="1:10">
      <c r="A7" s="250" t="s">
        <v>84</v>
      </c>
      <c r="B7" s="250"/>
      <c r="C7" s="250"/>
      <c r="D7" s="250">
        <v>1465.085</v>
      </c>
      <c r="E7" s="250"/>
      <c r="F7" s="250">
        <v>102342.91</v>
      </c>
      <c r="G7" s="250">
        <v>83205.62</v>
      </c>
      <c r="H7" s="250">
        <v>45337.4499</v>
      </c>
      <c r="I7" s="250">
        <v>37868.170100000003</v>
      </c>
      <c r="J7">
        <v>45.511499999999998</v>
      </c>
    </row>
    <row r="8" spans="1:10">
      <c r="A8" s="250" t="s">
        <v>236</v>
      </c>
      <c r="B8" s="250"/>
      <c r="C8" s="250"/>
      <c r="D8" s="250">
        <v>2085.152</v>
      </c>
      <c r="E8" s="250"/>
      <c r="F8" s="250">
        <v>54146.09</v>
      </c>
      <c r="G8" s="250">
        <v>44021.21</v>
      </c>
      <c r="H8" s="250">
        <v>28112.1325</v>
      </c>
      <c r="I8" s="250">
        <v>15909.077499999999</v>
      </c>
      <c r="J8">
        <v>36.139499999999998</v>
      </c>
    </row>
  </sheetData>
  <pageMargins left="0.7" right="0.7" top="0.75" bottom="0.75" header="0.3" footer="0.3"/>
  <pageSetup paperSize="9" orientation="portrait" verticalDpi="0" r:id="rId1"/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activeCell="I2" sqref="I2"/>
    </sheetView>
  </sheetViews>
  <sheetFormatPr defaultRowHeight="12.75"/>
  <cols>
    <col min="1" max="1" width="21.140625" customWidth="1"/>
    <col min="2" max="2" width="10" customWidth="1"/>
    <col min="9" max="9" width="13.42578125" customWidth="1"/>
  </cols>
  <sheetData>
    <row r="1" spans="1:10">
      <c r="A1" t="s">
        <v>204</v>
      </c>
      <c r="B1" t="s">
        <v>205</v>
      </c>
      <c r="C1" t="s">
        <v>206</v>
      </c>
      <c r="D1" t="s">
        <v>207</v>
      </c>
      <c r="E1" t="s">
        <v>208</v>
      </c>
      <c r="F1" t="s">
        <v>209</v>
      </c>
      <c r="G1" t="s">
        <v>210</v>
      </c>
      <c r="H1" t="s">
        <v>211</v>
      </c>
      <c r="I1" t="s">
        <v>212</v>
      </c>
      <c r="J1" t="s">
        <v>130</v>
      </c>
    </row>
    <row r="2" spans="1:10">
      <c r="A2" t="s">
        <v>213</v>
      </c>
      <c r="D2">
        <v>16449.508999999998</v>
      </c>
      <c r="F2">
        <v>706126.59</v>
      </c>
      <c r="G2">
        <v>574086.62</v>
      </c>
      <c r="H2">
        <v>387797.66450000001</v>
      </c>
      <c r="I2">
        <v>186288.95550000001</v>
      </c>
      <c r="J2">
        <v>32.449599999999997</v>
      </c>
    </row>
    <row r="3" spans="1:10">
      <c r="A3" t="s">
        <v>31</v>
      </c>
      <c r="D3">
        <v>3940.5219999999999</v>
      </c>
      <c r="F3">
        <v>198107.56</v>
      </c>
      <c r="G3">
        <v>161063.04999999999</v>
      </c>
      <c r="H3">
        <v>110821.01669999999</v>
      </c>
      <c r="I3">
        <v>50242.033300000003</v>
      </c>
      <c r="J3">
        <v>31.193999999999999</v>
      </c>
    </row>
    <row r="4" spans="1:10">
      <c r="A4" t="s">
        <v>91</v>
      </c>
      <c r="D4">
        <v>3359.9830000000002</v>
      </c>
      <c r="F4">
        <v>123459.58</v>
      </c>
      <c r="G4">
        <v>100373.63</v>
      </c>
      <c r="H4">
        <v>55586.856500000002</v>
      </c>
      <c r="I4">
        <v>44786.773500000003</v>
      </c>
      <c r="J4">
        <v>44.62</v>
      </c>
    </row>
    <row r="5" spans="1:10">
      <c r="A5" t="s">
        <v>32</v>
      </c>
      <c r="D5">
        <v>3368.076</v>
      </c>
      <c r="F5">
        <v>118653.81</v>
      </c>
      <c r="G5">
        <v>96466.53</v>
      </c>
      <c r="H5">
        <v>61405.407399999996</v>
      </c>
      <c r="I5">
        <v>35061.122600000002</v>
      </c>
      <c r="J5">
        <v>36.345300000000002</v>
      </c>
    </row>
    <row r="6" spans="1:10">
      <c r="A6" t="s">
        <v>90</v>
      </c>
      <c r="D6">
        <v>3687.7629999999999</v>
      </c>
      <c r="F6">
        <v>172237.12</v>
      </c>
      <c r="G6">
        <v>140030.16</v>
      </c>
      <c r="H6">
        <v>110524.7705</v>
      </c>
      <c r="I6" s="354">
        <f>29505.3895+6739.38-6455</f>
        <v>29789.769500000002</v>
      </c>
      <c r="J6">
        <v>21.070699999999999</v>
      </c>
    </row>
    <row r="7" spans="1:10">
      <c r="A7" t="s">
        <v>84</v>
      </c>
      <c r="D7">
        <v>1651.0650000000001</v>
      </c>
      <c r="F7">
        <v>64548.07</v>
      </c>
      <c r="G7">
        <v>52478.080000000002</v>
      </c>
      <c r="H7">
        <v>33409.814400000003</v>
      </c>
      <c r="I7">
        <v>19068.265599999999</v>
      </c>
      <c r="J7">
        <v>36.335599999999999</v>
      </c>
    </row>
    <row r="8" spans="1:10">
      <c r="A8" t="s">
        <v>236</v>
      </c>
      <c r="D8">
        <v>442.1</v>
      </c>
      <c r="F8">
        <v>29120.45</v>
      </c>
      <c r="G8">
        <v>23675.17</v>
      </c>
      <c r="H8">
        <v>16049.799000000001</v>
      </c>
      <c r="I8">
        <v>7625.3710000000001</v>
      </c>
      <c r="J8">
        <v>32.208300000000001</v>
      </c>
    </row>
  </sheetData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workbookViewId="0">
      <selection activeCell="I14" sqref="I14"/>
    </sheetView>
  </sheetViews>
  <sheetFormatPr defaultRowHeight="12.75"/>
  <cols>
    <col min="1" max="1" width="20.85546875" customWidth="1"/>
    <col min="6" max="9" width="13.7109375" customWidth="1"/>
  </cols>
  <sheetData>
    <row r="1" spans="1:10">
      <c r="A1" t="s">
        <v>204</v>
      </c>
      <c r="B1" t="s">
        <v>205</v>
      </c>
      <c r="C1" t="s">
        <v>206</v>
      </c>
      <c r="D1" t="s">
        <v>207</v>
      </c>
      <c r="E1" t="s">
        <v>208</v>
      </c>
      <c r="F1" t="s">
        <v>209</v>
      </c>
      <c r="G1" t="s">
        <v>210</v>
      </c>
      <c r="H1" t="s">
        <v>211</v>
      </c>
      <c r="I1" t="s">
        <v>212</v>
      </c>
      <c r="J1" t="s">
        <v>130</v>
      </c>
    </row>
    <row r="2" spans="1:10">
      <c r="A2" t="s">
        <v>213</v>
      </c>
      <c r="D2">
        <v>25837.576000000001</v>
      </c>
      <c r="F2">
        <v>964249.41</v>
      </c>
      <c r="G2">
        <v>783942.46</v>
      </c>
      <c r="H2" s="250">
        <v>530385.56000000006</v>
      </c>
      <c r="I2" s="250">
        <v>253556.9</v>
      </c>
      <c r="J2">
        <v>32.343800000000002</v>
      </c>
    </row>
    <row r="3" spans="1:10">
      <c r="A3" t="s">
        <v>90</v>
      </c>
      <c r="D3">
        <v>7593.9040000000005</v>
      </c>
      <c r="F3">
        <v>276329.28999999998</v>
      </c>
      <c r="G3">
        <v>224657.98</v>
      </c>
      <c r="H3" s="250">
        <v>164353.3781</v>
      </c>
      <c r="I3" s="441">
        <f>60304.6019-420</f>
        <v>59884.601900000001</v>
      </c>
      <c r="J3">
        <v>26.8428</v>
      </c>
    </row>
    <row r="4" spans="1:10">
      <c r="A4" t="s">
        <v>31</v>
      </c>
      <c r="D4">
        <v>5232.0550000000003</v>
      </c>
      <c r="F4">
        <v>237930</v>
      </c>
      <c r="G4">
        <v>193439.03</v>
      </c>
      <c r="H4" s="250">
        <v>133800.3928</v>
      </c>
      <c r="I4" s="441">
        <f>59638.6371999999-691.95</f>
        <v>58946.687199999906</v>
      </c>
      <c r="J4">
        <v>30.8307</v>
      </c>
    </row>
    <row r="5" spans="1:10">
      <c r="A5" t="s">
        <v>91</v>
      </c>
      <c r="D5">
        <v>4159.866</v>
      </c>
      <c r="F5">
        <v>139012.87</v>
      </c>
      <c r="G5">
        <v>113018.48</v>
      </c>
      <c r="H5" s="250">
        <v>63495.845500000003</v>
      </c>
      <c r="I5" s="250">
        <v>49522.6345</v>
      </c>
      <c r="J5">
        <v>43.818100000000001</v>
      </c>
    </row>
    <row r="6" spans="1:10">
      <c r="A6" t="s">
        <v>32</v>
      </c>
      <c r="D6">
        <v>5163.7560000000003</v>
      </c>
      <c r="F6">
        <v>145054.95000000001</v>
      </c>
      <c r="G6">
        <v>117930.85</v>
      </c>
      <c r="H6" s="250">
        <v>76531.505999999994</v>
      </c>
      <c r="I6" s="250">
        <v>41399.343999999997</v>
      </c>
      <c r="J6">
        <v>35.104700000000001</v>
      </c>
    </row>
    <row r="7" spans="1:10">
      <c r="A7" t="s">
        <v>84</v>
      </c>
      <c r="D7">
        <v>2232.7449999999999</v>
      </c>
      <c r="F7">
        <v>125344.28</v>
      </c>
      <c r="G7">
        <v>101905.87</v>
      </c>
      <c r="H7" s="250">
        <v>69520.491599999994</v>
      </c>
      <c r="I7" s="250">
        <v>32385.378400000001</v>
      </c>
      <c r="J7">
        <v>31.779599999999999</v>
      </c>
    </row>
    <row r="8" spans="1:10">
      <c r="A8" t="s">
        <v>236</v>
      </c>
      <c r="D8">
        <v>1455.25</v>
      </c>
      <c r="F8">
        <v>40578.019999999997</v>
      </c>
      <c r="G8">
        <v>32990.25</v>
      </c>
      <c r="H8" s="250">
        <v>22683.946</v>
      </c>
      <c r="I8" s="250">
        <v>10306.304</v>
      </c>
      <c r="J8">
        <v>31.240400000000001</v>
      </c>
    </row>
    <row r="13" spans="1:10">
      <c r="F13">
        <v>420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8"/>
  <sheetViews>
    <sheetView workbookViewId="0">
      <selection activeCell="I8" sqref="I8"/>
    </sheetView>
  </sheetViews>
  <sheetFormatPr defaultRowHeight="12.75"/>
  <cols>
    <col min="1" max="1" width="24.28515625" customWidth="1"/>
    <col min="4" max="4" width="12.28515625" bestFit="1" customWidth="1"/>
    <col min="6" max="6" width="15.42578125" customWidth="1"/>
    <col min="7" max="9" width="13.42578125" bestFit="1" customWidth="1"/>
    <col min="10" max="10" width="9.28515625" bestFit="1" customWidth="1"/>
  </cols>
  <sheetData>
    <row r="1" spans="1:10">
      <c r="A1" s="196" t="s">
        <v>204</v>
      </c>
      <c r="B1" s="196" t="s">
        <v>205</v>
      </c>
      <c r="C1" s="196" t="s">
        <v>206</v>
      </c>
      <c r="D1" s="196" t="s">
        <v>207</v>
      </c>
      <c r="E1" s="196" t="s">
        <v>208</v>
      </c>
      <c r="F1" s="196" t="s">
        <v>209</v>
      </c>
      <c r="G1" s="196" t="s">
        <v>210</v>
      </c>
      <c r="H1" s="196" t="s">
        <v>211</v>
      </c>
      <c r="I1" s="196" t="s">
        <v>212</v>
      </c>
      <c r="J1" t="s">
        <v>130</v>
      </c>
    </row>
    <row r="2" spans="1:10">
      <c r="A2" s="196" t="s">
        <v>213</v>
      </c>
      <c r="B2" s="196"/>
      <c r="C2" s="196"/>
      <c r="D2" s="250">
        <v>26494.522000000001</v>
      </c>
      <c r="E2" s="250"/>
      <c r="F2" s="250">
        <v>1082871.67</v>
      </c>
      <c r="G2" s="250">
        <v>880383.3</v>
      </c>
      <c r="H2" s="250">
        <v>562178.21129999997</v>
      </c>
      <c r="I2" s="250">
        <v>318205.08870000002</v>
      </c>
      <c r="J2" s="250">
        <v>36.143900000000002</v>
      </c>
    </row>
    <row r="3" spans="1:10">
      <c r="A3" s="196" t="s">
        <v>31</v>
      </c>
      <c r="B3" s="196"/>
      <c r="C3" s="196"/>
      <c r="D3" s="250">
        <v>5419.5460000000003</v>
      </c>
      <c r="E3" s="250"/>
      <c r="F3" s="250">
        <v>312518.39</v>
      </c>
      <c r="G3" s="250">
        <v>254079.93</v>
      </c>
      <c r="H3" s="250">
        <v>170627.90549999999</v>
      </c>
      <c r="I3" s="250">
        <v>83452.0245</v>
      </c>
      <c r="J3" s="250">
        <v>32.844700000000003</v>
      </c>
    </row>
    <row r="4" spans="1:10">
      <c r="A4" s="196" t="s">
        <v>90</v>
      </c>
      <c r="B4" s="196"/>
      <c r="C4" s="196"/>
      <c r="D4" s="250">
        <v>7945.32</v>
      </c>
      <c r="E4" s="250"/>
      <c r="F4" s="250">
        <v>251788.1</v>
      </c>
      <c r="G4" s="250">
        <v>204705.79</v>
      </c>
      <c r="H4" s="250">
        <v>132914.86850000001</v>
      </c>
      <c r="I4" s="441">
        <f>71790.9215-2350</f>
        <v>69440.921499999997</v>
      </c>
      <c r="J4" s="250">
        <v>35.0702</v>
      </c>
    </row>
    <row r="5" spans="1:10">
      <c r="A5" s="196" t="s">
        <v>32</v>
      </c>
      <c r="B5" s="196"/>
      <c r="C5" s="196"/>
      <c r="D5" s="250">
        <v>4518.4189999999999</v>
      </c>
      <c r="E5" s="250"/>
      <c r="F5" s="250">
        <v>176115.85</v>
      </c>
      <c r="G5" s="250">
        <v>143183.62</v>
      </c>
      <c r="H5" s="250">
        <v>88158.618900000001</v>
      </c>
      <c r="I5" s="250">
        <v>55025.001100000001</v>
      </c>
      <c r="J5" s="250">
        <v>38.429600000000001</v>
      </c>
    </row>
    <row r="6" spans="1:10">
      <c r="A6" s="196" t="s">
        <v>91</v>
      </c>
      <c r="B6" s="196"/>
      <c r="C6" s="196"/>
      <c r="D6" s="250">
        <v>3532.3510000000001</v>
      </c>
      <c r="E6" s="250"/>
      <c r="F6" s="250">
        <v>147948.1</v>
      </c>
      <c r="G6" s="250">
        <v>120282.94</v>
      </c>
      <c r="H6" s="250">
        <v>72625.393200000006</v>
      </c>
      <c r="I6" s="250">
        <v>47657.546799999996</v>
      </c>
      <c r="J6" s="250">
        <v>39.621200000000002</v>
      </c>
    </row>
    <row r="7" spans="1:10">
      <c r="A7" t="s">
        <v>84</v>
      </c>
      <c r="D7" s="250">
        <v>2246.29</v>
      </c>
      <c r="E7" s="250"/>
      <c r="F7" s="250">
        <v>124483.67</v>
      </c>
      <c r="G7" s="250">
        <v>101206.22</v>
      </c>
      <c r="H7" s="250">
        <v>60707.960299999999</v>
      </c>
      <c r="I7" s="250">
        <v>40498.259700000002</v>
      </c>
      <c r="J7" s="250">
        <v>40.015500000000003</v>
      </c>
    </row>
    <row r="8" spans="1:10">
      <c r="A8" t="s">
        <v>236</v>
      </c>
      <c r="D8" s="250">
        <v>2832.596</v>
      </c>
      <c r="E8" s="250"/>
      <c r="F8" s="250">
        <v>70017.56</v>
      </c>
      <c r="G8" s="250">
        <v>56924.800000000003</v>
      </c>
      <c r="H8" s="250">
        <v>37143.464899999999</v>
      </c>
      <c r="I8" s="441">
        <f>19781.3351-399.42</f>
        <v>19381.915100000002</v>
      </c>
      <c r="J8" s="250">
        <v>34.749899999999997</v>
      </c>
    </row>
  </sheetData>
  <pageMargins left="0.7" right="0.7" top="0.75" bottom="0.75" header="0.3" footer="0.3"/>
  <pageSetup paperSize="9" orientation="portrait" verticalDpi="0" r:id="rId1"/>
  <legacy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8"/>
  <sheetViews>
    <sheetView workbookViewId="0">
      <selection activeCell="I3" sqref="I3"/>
    </sheetView>
  </sheetViews>
  <sheetFormatPr defaultRowHeight="12.75"/>
  <cols>
    <col min="1" max="1" width="19.28515625" customWidth="1"/>
    <col min="4" max="9" width="11.140625" customWidth="1"/>
  </cols>
  <sheetData>
    <row r="1" spans="1:10">
      <c r="A1" t="s">
        <v>204</v>
      </c>
      <c r="B1" t="s">
        <v>205</v>
      </c>
      <c r="C1" t="s">
        <v>206</v>
      </c>
      <c r="D1" t="s">
        <v>207</v>
      </c>
      <c r="E1" t="s">
        <v>208</v>
      </c>
      <c r="F1" t="s">
        <v>209</v>
      </c>
      <c r="G1" t="s">
        <v>210</v>
      </c>
      <c r="H1" t="s">
        <v>211</v>
      </c>
      <c r="I1" t="s">
        <v>212</v>
      </c>
      <c r="J1" t="s">
        <v>130</v>
      </c>
    </row>
    <row r="2" spans="1:10">
      <c r="A2" t="s">
        <v>213</v>
      </c>
      <c r="D2">
        <v>24648.787</v>
      </c>
      <c r="F2">
        <v>919863.04</v>
      </c>
      <c r="G2">
        <v>748485.91</v>
      </c>
      <c r="H2">
        <v>497528.0552</v>
      </c>
      <c r="I2">
        <v>250957.8548</v>
      </c>
      <c r="J2">
        <v>33.528700000000001</v>
      </c>
    </row>
    <row r="3" spans="1:10">
      <c r="A3" t="s">
        <v>90</v>
      </c>
      <c r="D3">
        <v>8455.9670000000006</v>
      </c>
      <c r="F3">
        <v>289758.21999999997</v>
      </c>
      <c r="G3" s="196">
        <v>235575.59</v>
      </c>
      <c r="H3">
        <v>161486.45250000001</v>
      </c>
      <c r="I3" s="354">
        <f>74089.1375-1690</f>
        <v>72399.137499999997</v>
      </c>
      <c r="J3">
        <v>31.450199999999999</v>
      </c>
    </row>
    <row r="4" spans="1:10">
      <c r="A4" t="s">
        <v>31</v>
      </c>
      <c r="D4">
        <v>4812.174</v>
      </c>
      <c r="F4">
        <v>256787.63</v>
      </c>
      <c r="G4">
        <v>208919.28</v>
      </c>
      <c r="H4">
        <v>150183.899</v>
      </c>
      <c r="I4">
        <v>58735.381000000001</v>
      </c>
      <c r="J4">
        <v>28.113900000000001</v>
      </c>
    </row>
    <row r="5" spans="1:10">
      <c r="A5" t="s">
        <v>91</v>
      </c>
      <c r="D5">
        <v>3450.616</v>
      </c>
      <c r="F5">
        <v>123618.31</v>
      </c>
      <c r="G5">
        <v>100983.87</v>
      </c>
      <c r="H5">
        <v>55496.761100000003</v>
      </c>
      <c r="I5">
        <v>45487.108899999999</v>
      </c>
      <c r="J5">
        <v>45.043900000000001</v>
      </c>
    </row>
    <row r="6" spans="1:10">
      <c r="A6" t="s">
        <v>32</v>
      </c>
      <c r="D6">
        <v>4931.5730000000003</v>
      </c>
      <c r="F6">
        <v>150900.64000000001</v>
      </c>
      <c r="G6">
        <v>122683.42</v>
      </c>
      <c r="H6">
        <v>79990.096600000004</v>
      </c>
      <c r="I6">
        <v>42693.323400000001</v>
      </c>
      <c r="J6">
        <v>34.799500000000002</v>
      </c>
    </row>
    <row r="7" spans="1:10">
      <c r="A7" t="s">
        <v>236</v>
      </c>
      <c r="D7">
        <v>1968.7619999999999</v>
      </c>
      <c r="F7">
        <v>56264.29</v>
      </c>
      <c r="G7">
        <v>45743.31</v>
      </c>
      <c r="H7">
        <v>28126.0726</v>
      </c>
      <c r="I7">
        <v>17617.237400000002</v>
      </c>
      <c r="J7">
        <v>38.513199999999998</v>
      </c>
    </row>
    <row r="8" spans="1:10">
      <c r="A8" t="s">
        <v>84</v>
      </c>
      <c r="D8">
        <v>1029.6949999999999</v>
      </c>
      <c r="F8">
        <v>42533.95</v>
      </c>
      <c r="G8">
        <v>34580.44</v>
      </c>
      <c r="H8">
        <v>22244.773399999998</v>
      </c>
      <c r="I8">
        <v>12335.6666</v>
      </c>
      <c r="J8">
        <v>35.6723</v>
      </c>
    </row>
  </sheetData>
  <pageMargins left="0.7" right="0.7" top="0.75" bottom="0.75" header="0.3" footer="0.3"/>
  <pageSetup paperSize="9" orientation="portrait" verticalDpi="0" r:id="rId1"/>
  <legacy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selection activeCell="I17" sqref="I17"/>
    </sheetView>
  </sheetViews>
  <sheetFormatPr defaultRowHeight="12.75"/>
  <cols>
    <col min="1" max="1" width="21.42578125" customWidth="1"/>
    <col min="2" max="3" width="10.85546875" customWidth="1"/>
    <col min="4" max="4" width="13.28515625" customWidth="1"/>
    <col min="5" max="5" width="10.85546875" customWidth="1"/>
    <col min="6" max="10" width="14.85546875" customWidth="1"/>
  </cols>
  <sheetData>
    <row r="1" spans="1:10">
      <c r="A1" t="s">
        <v>204</v>
      </c>
      <c r="B1" t="s">
        <v>205</v>
      </c>
      <c r="C1" t="s">
        <v>206</v>
      </c>
      <c r="D1" t="s">
        <v>207</v>
      </c>
      <c r="E1" t="s">
        <v>208</v>
      </c>
      <c r="F1" t="s">
        <v>209</v>
      </c>
      <c r="G1" t="s">
        <v>210</v>
      </c>
      <c r="H1" t="s">
        <v>211</v>
      </c>
      <c r="I1" t="s">
        <v>212</v>
      </c>
      <c r="J1" t="s">
        <v>130</v>
      </c>
    </row>
    <row r="2" spans="1:10">
      <c r="A2" t="s">
        <v>213</v>
      </c>
      <c r="D2">
        <v>20089.314999999999</v>
      </c>
      <c r="F2">
        <v>862106.25</v>
      </c>
      <c r="G2">
        <v>700899.25</v>
      </c>
      <c r="H2">
        <v>455377.15620000003</v>
      </c>
      <c r="I2">
        <v>245522.10939999999</v>
      </c>
      <c r="J2">
        <v>35.029499999999999</v>
      </c>
    </row>
    <row r="3" spans="1:10">
      <c r="A3" t="s">
        <v>84</v>
      </c>
      <c r="D3">
        <v>1234.9749999999999</v>
      </c>
      <c r="F3">
        <v>166312.95310000001</v>
      </c>
      <c r="G3">
        <v>135213.79689999999</v>
      </c>
      <c r="H3">
        <v>70558.874500000005</v>
      </c>
      <c r="I3">
        <v>64654.914100000002</v>
      </c>
      <c r="J3">
        <v>47.816800000000001</v>
      </c>
    </row>
    <row r="4" spans="1:10">
      <c r="A4" t="s">
        <v>31</v>
      </c>
      <c r="D4">
        <v>4848.53</v>
      </c>
      <c r="F4">
        <v>291831.53129999997</v>
      </c>
      <c r="G4">
        <v>237261.3125</v>
      </c>
      <c r="H4">
        <v>183037.33679999999</v>
      </c>
      <c r="I4">
        <v>54223.984400000001</v>
      </c>
      <c r="J4">
        <v>22.854099999999999</v>
      </c>
    </row>
    <row r="5" spans="1:10">
      <c r="A5" t="s">
        <v>91</v>
      </c>
      <c r="D5">
        <v>2671.07</v>
      </c>
      <c r="F5">
        <v>140891.48439999999</v>
      </c>
      <c r="G5">
        <v>114545.8906</v>
      </c>
      <c r="H5">
        <v>70438.867299999998</v>
      </c>
      <c r="I5" s="196">
        <v>44107.023399999998</v>
      </c>
      <c r="J5">
        <v>38.505899999999997</v>
      </c>
    </row>
    <row r="6" spans="1:10">
      <c r="A6" t="s">
        <v>32</v>
      </c>
      <c r="D6">
        <v>5359.8710000000001</v>
      </c>
      <c r="F6">
        <v>153991.85939999999</v>
      </c>
      <c r="G6">
        <v>125196.6406</v>
      </c>
      <c r="H6">
        <v>82832.040699999998</v>
      </c>
      <c r="I6">
        <v>42364.597699999998</v>
      </c>
      <c r="J6">
        <v>33.8384</v>
      </c>
    </row>
    <row r="7" spans="1:10">
      <c r="A7" t="s">
        <v>90</v>
      </c>
      <c r="D7">
        <v>4248.5370000000003</v>
      </c>
      <c r="F7">
        <v>56131.871099999997</v>
      </c>
      <c r="G7">
        <v>45635.679700000001</v>
      </c>
      <c r="H7">
        <v>21248.177500000002</v>
      </c>
      <c r="I7" s="354">
        <f>24387.502-J13</f>
        <v>16984.502</v>
      </c>
      <c r="J7">
        <v>53.439500000000002</v>
      </c>
    </row>
    <row r="8" spans="1:10">
      <c r="A8" t="s">
        <v>236</v>
      </c>
      <c r="D8">
        <v>1726.3320000000001</v>
      </c>
      <c r="F8">
        <v>52946.531300000002</v>
      </c>
      <c r="G8">
        <v>43045.949200000003</v>
      </c>
      <c r="H8">
        <v>27261.859400000001</v>
      </c>
      <c r="I8" s="250">
        <f>15784.0908-J14</f>
        <v>15449.890799999999</v>
      </c>
      <c r="J8">
        <v>36.667999999999999</v>
      </c>
    </row>
    <row r="13" spans="1:10">
      <c r="I13" t="s">
        <v>256</v>
      </c>
      <c r="J13">
        <f>6850+553</f>
        <v>7403</v>
      </c>
    </row>
    <row r="14" spans="1:10">
      <c r="I14" t="s">
        <v>257</v>
      </c>
      <c r="J14">
        <v>334.2</v>
      </c>
    </row>
  </sheetData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F4" sqref="F4"/>
    </sheetView>
  </sheetViews>
  <sheetFormatPr defaultRowHeight="12.75"/>
  <cols>
    <col min="1" max="1" width="115" customWidth="1"/>
    <col min="2" max="5" width="13.140625" customWidth="1"/>
    <col min="6" max="6" width="12.28515625" bestFit="1" customWidth="1"/>
  </cols>
  <sheetData>
    <row r="1" spans="1:6">
      <c r="A1" t="s">
        <v>131</v>
      </c>
    </row>
    <row r="2" spans="1:6">
      <c r="A2" t="s">
        <v>132</v>
      </c>
      <c r="B2" s="202">
        <f>KRZYSZTOF!I6+KRZYSZTOF!M6+KRZYSZTOF!Q6</f>
        <v>393226.25520000001</v>
      </c>
      <c r="C2" s="202">
        <f>KRZYSZTOF!E6</f>
        <v>140082.9222</v>
      </c>
      <c r="D2" s="353">
        <f>(C2/2)/(B2/9)-1</f>
        <v>0.60308001198796868</v>
      </c>
      <c r="E2" s="162" t="s">
        <v>161</v>
      </c>
    </row>
    <row r="3" spans="1:6">
      <c r="A3" t="s">
        <v>133</v>
      </c>
      <c r="B3" s="202">
        <f>TOMEK!I6+TOMEK!M6+TOMEK!Q6</f>
        <v>418708.99540000001</v>
      </c>
      <c r="C3" s="202">
        <f>TOMEK!E6</f>
        <v>137251.67910000001</v>
      </c>
      <c r="D3" s="353">
        <f>(C3/2)/(B3/9)-1</f>
        <v>0.47508785991083125</v>
      </c>
      <c r="E3" s="162" t="s">
        <v>157</v>
      </c>
    </row>
    <row r="4" spans="1:6">
      <c r="A4" t="s">
        <v>134</v>
      </c>
      <c r="B4" s="202">
        <f>BARTEK!I6+BARTEK!M6+BARTEK!Q6</f>
        <v>401293.3334</v>
      </c>
      <c r="C4" s="202">
        <f>BARTEK!E6</f>
        <v>158824.56100000002</v>
      </c>
      <c r="D4" s="353">
        <f>(C4/2)/(B4/9)-1</f>
        <v>0.78101768709821284</v>
      </c>
      <c r="E4" s="162" t="s">
        <v>159</v>
      </c>
      <c r="F4" s="202">
        <f>C4/2</f>
        <v>79412.280500000008</v>
      </c>
    </row>
    <row r="5" spans="1:6">
      <c r="A5" t="s">
        <v>135</v>
      </c>
      <c r="B5" s="202">
        <f>'PIOTR L'!I6+'PIOTR L'!M6+'PIOTR L'!Q6</f>
        <v>106528.85550000001</v>
      </c>
      <c r="C5" s="202">
        <f>'PIOTR L'!E6</f>
        <v>52449.043300000005</v>
      </c>
      <c r="D5" s="353">
        <f>(C5/2)/(B5/9)-1</f>
        <v>1.2155564681721378</v>
      </c>
      <c r="E5" s="162" t="s">
        <v>199</v>
      </c>
    </row>
    <row r="6" spans="1:6">
      <c r="A6" t="s">
        <v>136</v>
      </c>
      <c r="B6" s="202">
        <f>PIOTR!I6+PIOTR!M6+PIOTR!Q6</f>
        <v>520329.94009999995</v>
      </c>
      <c r="C6" s="202">
        <f>PIOTR!E6</f>
        <v>196411.38990000001</v>
      </c>
      <c r="D6" s="353">
        <f>(C6/2)/(B6/9)-1</f>
        <v>0.69863616608365153</v>
      </c>
      <c r="E6" s="162" t="s">
        <v>160</v>
      </c>
    </row>
    <row r="7" spans="1:6">
      <c r="A7" t="s">
        <v>137</v>
      </c>
    </row>
    <row r="8" spans="1:6">
      <c r="A8" t="s">
        <v>134</v>
      </c>
    </row>
    <row r="9" spans="1:6">
      <c r="A9" t="s">
        <v>138</v>
      </c>
    </row>
    <row r="10" spans="1:6">
      <c r="A10" t="s">
        <v>139</v>
      </c>
    </row>
    <row r="11" spans="1:6">
      <c r="A11" t="s">
        <v>140</v>
      </c>
    </row>
    <row r="12" spans="1:6">
      <c r="A12" t="s">
        <v>141</v>
      </c>
    </row>
    <row r="13" spans="1:6">
      <c r="A13" t="s">
        <v>142</v>
      </c>
    </row>
    <row r="14" spans="1:6">
      <c r="A14" t="s">
        <v>143</v>
      </c>
    </row>
    <row r="15" spans="1:6">
      <c r="A15" t="s">
        <v>144</v>
      </c>
    </row>
    <row r="16" spans="1:6">
      <c r="A16" t="s">
        <v>145</v>
      </c>
    </row>
    <row r="17" spans="1:1">
      <c r="A17" t="s">
        <v>146</v>
      </c>
    </row>
    <row r="18" spans="1:1">
      <c r="A18" t="s">
        <v>141</v>
      </c>
    </row>
    <row r="19" spans="1:1">
      <c r="A19" t="s">
        <v>147</v>
      </c>
    </row>
    <row r="20" spans="1:1">
      <c r="A20" t="s">
        <v>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24</vt:i4>
      </vt:variant>
      <vt:variant>
        <vt:lpstr>Wykresy</vt:lpstr>
      </vt:variant>
      <vt:variant>
        <vt:i4>1</vt:i4>
      </vt:variant>
    </vt:vector>
  </HeadingPairs>
  <TitlesOfParts>
    <vt:vector size="25" baseType="lpstr">
      <vt:lpstr>TOMEK</vt:lpstr>
      <vt:lpstr>MIRU</vt:lpstr>
      <vt:lpstr>PIOTR L</vt:lpstr>
      <vt:lpstr>BARTEK</vt:lpstr>
      <vt:lpstr>PIOTR</vt:lpstr>
      <vt:lpstr>KRZYSZTOF</vt:lpstr>
      <vt:lpstr>Artur</vt:lpstr>
      <vt:lpstr>DH</vt:lpstr>
      <vt:lpstr>WYPŁATY</vt:lpstr>
      <vt:lpstr>REALIZACJE</vt:lpstr>
      <vt:lpstr>Target 2017</vt:lpstr>
      <vt:lpstr>I</vt:lpstr>
      <vt:lpstr>II</vt:lpstr>
      <vt:lpstr>III</vt:lpstr>
      <vt:lpstr>IV</vt:lpstr>
      <vt:lpstr>V</vt:lpstr>
      <vt:lpstr>VI</vt:lpstr>
      <vt:lpstr>VII</vt:lpstr>
      <vt:lpstr>VIII</vt:lpstr>
      <vt:lpstr>IX</vt:lpstr>
      <vt:lpstr>X</vt:lpstr>
      <vt:lpstr>XI</vt:lpstr>
      <vt:lpstr>XII</vt:lpstr>
      <vt:lpstr>Arkusz1</vt:lpstr>
      <vt:lpstr>Wykres1</vt:lpstr>
    </vt:vector>
  </TitlesOfParts>
  <Company>Etisoft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Mirek</dc:creator>
  <cp:lastModifiedBy>katarzynao</cp:lastModifiedBy>
  <cp:lastPrinted>2014-02-04T11:12:21Z</cp:lastPrinted>
  <dcterms:created xsi:type="dcterms:W3CDTF">2009-01-30T23:10:02Z</dcterms:created>
  <dcterms:modified xsi:type="dcterms:W3CDTF">2018-01-09T11:54:22Z</dcterms:modified>
</cp:coreProperties>
</file>