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1572" yWindow="180" windowWidth="17028" windowHeight="5916" tabRatio="928" activeTab="7"/>
  </bookViews>
  <sheets>
    <sheet name="TOMEK" sheetId="6" r:id="rId1"/>
    <sheet name="MIRU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 2021" sheetId="88" r:id="rId9"/>
    <sheet name="XII" sheetId="100" r:id="rId10"/>
    <sheet name="I" sheetId="89" r:id="rId11"/>
    <sheet name="II" sheetId="90" r:id="rId12"/>
    <sheet name="III" sheetId="91" r:id="rId13"/>
    <sheet name="IV" sheetId="92" r:id="rId14"/>
    <sheet name="V" sheetId="93" r:id="rId15"/>
    <sheet name="VI" sheetId="94" r:id="rId16"/>
    <sheet name="VII" sheetId="95" r:id="rId17"/>
    <sheet name="VIII" sheetId="96" r:id="rId18"/>
    <sheet name="IX" sheetId="97" r:id="rId19"/>
    <sheet name="X" sheetId="98" r:id="rId20"/>
    <sheet name="XI" sheetId="99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Q8" i="8" l="1"/>
  <c r="Q7" i="8"/>
  <c r="Q6" i="8"/>
  <c r="Q4" i="8"/>
  <c r="Q17" i="8"/>
  <c r="Q16" i="8"/>
  <c r="Q15" i="8"/>
  <c r="Q14" i="8"/>
  <c r="S57" i="70" l="1"/>
  <c r="S55" i="70"/>
  <c r="S56" i="70"/>
  <c r="D41" i="2"/>
  <c r="C41" i="2"/>
  <c r="B41" i="2"/>
  <c r="D41" i="5"/>
  <c r="C41" i="5"/>
  <c r="B41" i="5"/>
  <c r="D41" i="4"/>
  <c r="B41" i="4"/>
  <c r="D21" i="1"/>
  <c r="C21" i="1"/>
  <c r="B21" i="1"/>
  <c r="D41" i="6"/>
  <c r="C41" i="6"/>
  <c r="B41" i="6"/>
  <c r="I7" i="100"/>
  <c r="I2" i="100"/>
  <c r="I6" i="100" l="1"/>
  <c r="I5" i="100"/>
  <c r="I3" i="100"/>
  <c r="M19" i="104"/>
  <c r="M23" i="104"/>
  <c r="M18" i="104"/>
  <c r="L15" i="104"/>
  <c r="L16" i="104"/>
  <c r="L17" i="104"/>
  <c r="L18" i="104"/>
  <c r="L19" i="104"/>
  <c r="L20" i="104"/>
  <c r="L21" i="104"/>
  <c r="L22" i="104"/>
  <c r="L23" i="104"/>
  <c r="L14" i="104"/>
  <c r="E8" i="2" l="1"/>
  <c r="R4" i="6" l="1"/>
  <c r="D4" i="4"/>
  <c r="C4" i="4"/>
  <c r="I3" i="99" l="1"/>
  <c r="D6" i="2" l="1"/>
  <c r="Y10" i="70" l="1"/>
  <c r="B4" i="4" l="1"/>
  <c r="C6" i="4"/>
  <c r="C27" i="5" l="1"/>
  <c r="I4" i="98" l="1"/>
  <c r="I6" i="98" l="1"/>
  <c r="I6" i="97" l="1"/>
  <c r="I84" i="88" l="1"/>
  <c r="I83" i="88"/>
  <c r="I82" i="88"/>
  <c r="I79" i="88"/>
  <c r="I78" i="88"/>
  <c r="I85" i="88" s="1"/>
  <c r="H4" i="2" l="1"/>
  <c r="G4" i="2"/>
  <c r="F4" i="2"/>
  <c r="H4" i="4"/>
  <c r="G4" i="4"/>
  <c r="I4" i="96"/>
  <c r="G6" i="2" l="1"/>
  <c r="I6" i="95" l="1"/>
  <c r="I5" i="95"/>
  <c r="I4" i="95"/>
  <c r="L4" i="2"/>
  <c r="F4" i="4" l="1"/>
  <c r="N4" i="2" l="1"/>
  <c r="I6" i="94"/>
  <c r="I5" i="94"/>
  <c r="I3" i="94"/>
  <c r="L4" i="4" l="1"/>
  <c r="L6" i="2"/>
  <c r="I73" i="88" l="1"/>
  <c r="I72" i="88"/>
  <c r="I71" i="88"/>
  <c r="I68" i="88"/>
  <c r="I67" i="88"/>
  <c r="I74" i="88" s="1"/>
  <c r="I5" i="93" l="1"/>
  <c r="L4" i="5" l="1"/>
  <c r="K4" i="5"/>
  <c r="K4" i="4"/>
  <c r="I6" i="92" l="1"/>
  <c r="I7" i="92" l="1"/>
  <c r="I3" i="92"/>
  <c r="I4" i="92"/>
  <c r="C6" i="70" l="1"/>
  <c r="F4" i="88" l="1"/>
  <c r="F3" i="88"/>
  <c r="J4" i="6"/>
  <c r="I61" i="88"/>
  <c r="I60" i="88"/>
  <c r="I59" i="88"/>
  <c r="I56" i="88"/>
  <c r="I55" i="88"/>
  <c r="I62" i="88" s="1"/>
  <c r="I4" i="91" l="1"/>
  <c r="I4" i="90" l="1"/>
  <c r="I6" i="90"/>
  <c r="I3" i="90"/>
  <c r="P4" i="5" l="1"/>
  <c r="O4" i="5"/>
  <c r="F6" i="70" l="1"/>
  <c r="P4" i="2" l="1"/>
  <c r="O4" i="2"/>
  <c r="O6" i="2"/>
  <c r="O6" i="5" l="1"/>
  <c r="B6" i="70" l="1"/>
  <c r="D6" i="70" l="1"/>
  <c r="N4" i="5" l="1"/>
  <c r="B13" i="102" l="1"/>
  <c r="F41" i="70" l="1"/>
  <c r="B41" i="70" l="1"/>
  <c r="C41" i="70"/>
  <c r="D41" i="70"/>
  <c r="B42" i="70"/>
  <c r="C42" i="70"/>
  <c r="D42" i="70"/>
  <c r="B43" i="70"/>
  <c r="C43" i="70"/>
  <c r="D43" i="70"/>
  <c r="B44" i="70"/>
  <c r="C44" i="70"/>
  <c r="D44" i="70"/>
  <c r="B45" i="70"/>
  <c r="C45" i="70"/>
  <c r="D45" i="70"/>
  <c r="B46" i="70"/>
  <c r="C46" i="70"/>
  <c r="D46" i="70"/>
  <c r="B47" i="70"/>
  <c r="C47" i="70"/>
  <c r="D47" i="70"/>
  <c r="B48" i="70"/>
  <c r="C48" i="70"/>
  <c r="D48" i="70"/>
  <c r="B49" i="70"/>
  <c r="C49" i="70"/>
  <c r="D49" i="70"/>
  <c r="B50" i="70"/>
  <c r="C50" i="70"/>
  <c r="D50" i="70"/>
  <c r="B51" i="70"/>
  <c r="C51" i="70"/>
  <c r="D51" i="70"/>
  <c r="B52" i="70"/>
  <c r="C52" i="70"/>
  <c r="D52" i="70"/>
  <c r="B53" i="70"/>
  <c r="C53" i="70"/>
  <c r="D53" i="70"/>
  <c r="B54" i="70"/>
  <c r="C54" i="70"/>
  <c r="D54" i="70"/>
  <c r="B55" i="70"/>
  <c r="C55" i="70"/>
  <c r="D55" i="70"/>
  <c r="B56" i="70"/>
  <c r="C56" i="70"/>
  <c r="D56" i="70"/>
  <c r="B57" i="70"/>
  <c r="C57" i="70"/>
  <c r="D57" i="70"/>
  <c r="B58" i="70"/>
  <c r="C58" i="70"/>
  <c r="D58" i="70"/>
  <c r="G41" i="70"/>
  <c r="H41" i="70"/>
  <c r="F42" i="70"/>
  <c r="G42" i="70"/>
  <c r="H42" i="70"/>
  <c r="F43" i="70"/>
  <c r="G43" i="70"/>
  <c r="H43" i="70"/>
  <c r="F44" i="70"/>
  <c r="G44" i="70"/>
  <c r="H44" i="70"/>
  <c r="F45" i="70"/>
  <c r="G45" i="70"/>
  <c r="H45" i="70"/>
  <c r="F46" i="70"/>
  <c r="G46" i="70"/>
  <c r="H46" i="70"/>
  <c r="F47" i="70"/>
  <c r="G47" i="70"/>
  <c r="H47" i="70"/>
  <c r="F48" i="70"/>
  <c r="G48" i="70"/>
  <c r="H48" i="70"/>
  <c r="F49" i="70"/>
  <c r="G49" i="70"/>
  <c r="H49" i="70"/>
  <c r="F50" i="70"/>
  <c r="G50" i="70"/>
  <c r="H50" i="70"/>
  <c r="F51" i="70"/>
  <c r="G51" i="70"/>
  <c r="H51" i="70"/>
  <c r="F52" i="70"/>
  <c r="G52" i="70"/>
  <c r="H52" i="70"/>
  <c r="F53" i="70"/>
  <c r="G53" i="70"/>
  <c r="H53" i="70"/>
  <c r="F54" i="70"/>
  <c r="G54" i="70"/>
  <c r="H54" i="70"/>
  <c r="F55" i="70"/>
  <c r="G55" i="70"/>
  <c r="H55" i="70"/>
  <c r="F56" i="70"/>
  <c r="G56" i="70"/>
  <c r="H56" i="70"/>
  <c r="F57" i="70"/>
  <c r="G57" i="70"/>
  <c r="H57" i="70"/>
  <c r="F58" i="70"/>
  <c r="G58" i="70"/>
  <c r="H58" i="70"/>
  <c r="J41" i="70"/>
  <c r="K41" i="70"/>
  <c r="L41" i="70"/>
  <c r="J42" i="70"/>
  <c r="K42" i="70"/>
  <c r="L42" i="70"/>
  <c r="J43" i="70"/>
  <c r="K43" i="70"/>
  <c r="L43" i="70"/>
  <c r="J44" i="70"/>
  <c r="K44" i="70"/>
  <c r="L44" i="70"/>
  <c r="J46" i="70"/>
  <c r="K46" i="70"/>
  <c r="L46" i="70"/>
  <c r="J47" i="70"/>
  <c r="K47" i="70"/>
  <c r="L47" i="70"/>
  <c r="J48" i="70"/>
  <c r="K48" i="70"/>
  <c r="L48" i="70"/>
  <c r="J49" i="70"/>
  <c r="K49" i="70"/>
  <c r="L49" i="70"/>
  <c r="J50" i="70"/>
  <c r="K50" i="70"/>
  <c r="L50" i="70"/>
  <c r="J51" i="70"/>
  <c r="K51" i="70"/>
  <c r="L51" i="70"/>
  <c r="J52" i="70"/>
  <c r="K52" i="70"/>
  <c r="L52" i="70"/>
  <c r="J53" i="70"/>
  <c r="K53" i="70"/>
  <c r="L53" i="70"/>
  <c r="J54" i="70"/>
  <c r="K54" i="70"/>
  <c r="L54" i="70"/>
  <c r="J55" i="70"/>
  <c r="K55" i="70"/>
  <c r="L55" i="70"/>
  <c r="J56" i="70"/>
  <c r="K56" i="70"/>
  <c r="L56" i="70"/>
  <c r="J57" i="70"/>
  <c r="K57" i="70"/>
  <c r="L57" i="70"/>
  <c r="J58" i="70"/>
  <c r="K58" i="70"/>
  <c r="L58" i="70"/>
  <c r="N41" i="70"/>
  <c r="O41" i="70"/>
  <c r="P41" i="70"/>
  <c r="N42" i="70"/>
  <c r="O42" i="70"/>
  <c r="P42" i="70"/>
  <c r="N43" i="70"/>
  <c r="O43" i="70"/>
  <c r="P43" i="70"/>
  <c r="N44" i="70"/>
  <c r="O44" i="70"/>
  <c r="P44" i="70"/>
  <c r="N46" i="70"/>
  <c r="O46" i="70"/>
  <c r="P46" i="70"/>
  <c r="N47" i="70"/>
  <c r="O47" i="70"/>
  <c r="P47" i="70"/>
  <c r="N48" i="70"/>
  <c r="O48" i="70"/>
  <c r="P48" i="70"/>
  <c r="N49" i="70"/>
  <c r="O49" i="70"/>
  <c r="P49" i="70"/>
  <c r="N50" i="70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N56" i="70"/>
  <c r="O56" i="70"/>
  <c r="P56" i="70"/>
  <c r="N57" i="70"/>
  <c r="O57" i="70"/>
  <c r="P57" i="70"/>
  <c r="N58" i="70"/>
  <c r="O58" i="70"/>
  <c r="P58" i="70"/>
  <c r="N45" i="70" l="1"/>
  <c r="O45" i="70"/>
  <c r="J45" i="70"/>
  <c r="P45" i="70"/>
  <c r="K45" i="70"/>
  <c r="L45" i="70"/>
  <c r="I51" i="88"/>
  <c r="I50" i="88"/>
  <c r="I49" i="88"/>
  <c r="I48" i="88"/>
  <c r="I45" i="88"/>
  <c r="I44" i="88"/>
  <c r="C25" i="88"/>
  <c r="C26" i="88"/>
  <c r="C27" i="88"/>
  <c r="C28" i="88"/>
  <c r="C29" i="88"/>
  <c r="C31" i="88"/>
  <c r="C30" i="88"/>
  <c r="E25" i="88"/>
  <c r="E26" i="88"/>
  <c r="E27" i="88"/>
  <c r="E28" i="88"/>
  <c r="E29" i="88"/>
  <c r="E31" i="88"/>
  <c r="E30" i="88"/>
  <c r="G25" i="88"/>
  <c r="G26" i="88"/>
  <c r="G29" i="88"/>
  <c r="G30" i="88"/>
  <c r="G31" i="88"/>
  <c r="P11" i="2" l="1"/>
  <c r="P4" i="3"/>
  <c r="G19" i="70"/>
  <c r="H19" i="70"/>
  <c r="P6" i="70"/>
  <c r="O6" i="70"/>
  <c r="L6" i="70"/>
  <c r="K6" i="70"/>
  <c r="H6" i="70"/>
  <c r="G6" i="70"/>
  <c r="N32" i="5" l="1"/>
  <c r="P25" i="5"/>
  <c r="P27" i="5" s="1"/>
  <c r="O25" i="5"/>
  <c r="O27" i="5" s="1"/>
  <c r="N25" i="5"/>
  <c r="N27" i="5" s="1"/>
  <c r="P21" i="5"/>
  <c r="O21" i="5"/>
  <c r="N21" i="5"/>
  <c r="J32" i="5"/>
  <c r="L25" i="5"/>
  <c r="L27" i="5" s="1"/>
  <c r="K25" i="5"/>
  <c r="K27" i="5" s="1"/>
  <c r="J25" i="5"/>
  <c r="J27" i="5" s="1"/>
  <c r="L21" i="5"/>
  <c r="K21" i="5"/>
  <c r="J21" i="5"/>
  <c r="F32" i="5"/>
  <c r="H25" i="5"/>
  <c r="H27" i="5" s="1"/>
  <c r="G25" i="5"/>
  <c r="G27" i="5" s="1"/>
  <c r="F25" i="5"/>
  <c r="F27" i="5" s="1"/>
  <c r="H21" i="5"/>
  <c r="G21" i="5"/>
  <c r="F21" i="5"/>
  <c r="B32" i="5"/>
  <c r="D25" i="5"/>
  <c r="D27" i="5" s="1"/>
  <c r="C25" i="5"/>
  <c r="B25" i="5"/>
  <c r="B27" i="5" s="1"/>
  <c r="D21" i="5"/>
  <c r="C21" i="5"/>
  <c r="B21" i="5"/>
  <c r="N32" i="4"/>
  <c r="P25" i="4"/>
  <c r="P27" i="4" s="1"/>
  <c r="O25" i="4"/>
  <c r="O27" i="4" s="1"/>
  <c r="N25" i="4"/>
  <c r="N27" i="4" s="1"/>
  <c r="P21" i="4"/>
  <c r="O21" i="4"/>
  <c r="N21" i="4"/>
  <c r="J32" i="4"/>
  <c r="L25" i="4"/>
  <c r="L27" i="4" s="1"/>
  <c r="K25" i="4"/>
  <c r="K27" i="4" s="1"/>
  <c r="J25" i="4"/>
  <c r="J27" i="4" s="1"/>
  <c r="L21" i="4"/>
  <c r="K21" i="4"/>
  <c r="J21" i="4"/>
  <c r="F32" i="4"/>
  <c r="H25" i="4"/>
  <c r="H27" i="4" s="1"/>
  <c r="G25" i="4"/>
  <c r="G27" i="4" s="1"/>
  <c r="F25" i="4"/>
  <c r="F27" i="4" s="1"/>
  <c r="H21" i="4"/>
  <c r="G21" i="4"/>
  <c r="F21" i="4"/>
  <c r="B32" i="4"/>
  <c r="D25" i="4"/>
  <c r="D27" i="4" s="1"/>
  <c r="C25" i="4"/>
  <c r="C27" i="4" s="1"/>
  <c r="B25" i="4"/>
  <c r="B27" i="4" s="1"/>
  <c r="D21" i="4"/>
  <c r="C21" i="4"/>
  <c r="B21" i="4"/>
  <c r="N32" i="2"/>
  <c r="P25" i="2"/>
  <c r="P27" i="2" s="1"/>
  <c r="O25" i="2"/>
  <c r="O27" i="2" s="1"/>
  <c r="N25" i="2"/>
  <c r="N27" i="2" s="1"/>
  <c r="P21" i="2"/>
  <c r="O21" i="2"/>
  <c r="N21" i="2"/>
  <c r="J32" i="2"/>
  <c r="L25" i="2"/>
  <c r="L27" i="2" s="1"/>
  <c r="K25" i="2"/>
  <c r="K27" i="2" s="1"/>
  <c r="J25" i="2"/>
  <c r="J27" i="2" s="1"/>
  <c r="L21" i="2"/>
  <c r="K21" i="2"/>
  <c r="J21" i="2"/>
  <c r="F32" i="2"/>
  <c r="H25" i="2"/>
  <c r="H27" i="2" s="1"/>
  <c r="G25" i="2"/>
  <c r="G27" i="2" s="1"/>
  <c r="F25" i="2"/>
  <c r="F27" i="2" s="1"/>
  <c r="H21" i="2"/>
  <c r="G21" i="2"/>
  <c r="F21" i="2"/>
  <c r="B32" i="2"/>
  <c r="D25" i="2"/>
  <c r="D27" i="2" s="1"/>
  <c r="C25" i="2"/>
  <c r="C27" i="2" s="1"/>
  <c r="B25" i="2"/>
  <c r="B27" i="2" s="1"/>
  <c r="D21" i="2"/>
  <c r="C21" i="2"/>
  <c r="B21" i="2"/>
  <c r="P21" i="6"/>
  <c r="P25" i="6"/>
  <c r="P27" i="6" s="1"/>
  <c r="O25" i="6"/>
  <c r="O27" i="6" s="1"/>
  <c r="O21" i="6"/>
  <c r="N25" i="6"/>
  <c r="N27" i="6" s="1"/>
  <c r="N21" i="6"/>
  <c r="L25" i="6"/>
  <c r="L27" i="6" s="1"/>
  <c r="L21" i="6"/>
  <c r="K25" i="6"/>
  <c r="K27" i="6" s="1"/>
  <c r="K21" i="6"/>
  <c r="J25" i="6"/>
  <c r="J27" i="6" s="1"/>
  <c r="J21" i="6"/>
  <c r="H25" i="6"/>
  <c r="H27" i="6" s="1"/>
  <c r="H21" i="6"/>
  <c r="G25" i="6"/>
  <c r="G27" i="6" s="1"/>
  <c r="G21" i="6"/>
  <c r="F25" i="6"/>
  <c r="F27" i="6" s="1"/>
  <c r="F21" i="6"/>
  <c r="D25" i="6"/>
  <c r="D27" i="6" s="1"/>
  <c r="D21" i="6"/>
  <c r="C25" i="6"/>
  <c r="C27" i="6" s="1"/>
  <c r="C21" i="6"/>
  <c r="B21" i="6"/>
  <c r="B25" i="6"/>
  <c r="N6" i="70" l="1"/>
  <c r="B74" i="88" l="1"/>
  <c r="B85" i="88"/>
  <c r="H74" i="88"/>
  <c r="G74" i="88"/>
  <c r="F74" i="88"/>
  <c r="E74" i="88"/>
  <c r="D74" i="88"/>
  <c r="C74" i="88"/>
  <c r="M10" i="102" l="1"/>
  <c r="H6" i="102" l="1"/>
  <c r="L29" i="88" l="1"/>
  <c r="H17" i="88" s="1"/>
  <c r="K11" i="5" l="1"/>
  <c r="G62" i="88" l="1"/>
  <c r="F62" i="88"/>
  <c r="E62" i="88"/>
  <c r="D62" i="88"/>
  <c r="C62" i="88"/>
  <c r="B62" i="88"/>
  <c r="H62" i="88"/>
  <c r="R19" i="102" l="1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R3" i="102"/>
  <c r="Q3" i="102"/>
  <c r="P3" i="102"/>
  <c r="O3" i="102"/>
  <c r="N3" i="102"/>
  <c r="M3" i="102"/>
  <c r="L3" i="102"/>
  <c r="K3" i="102"/>
  <c r="J3" i="102"/>
  <c r="I3" i="102"/>
  <c r="H3" i="102"/>
  <c r="G3" i="102"/>
  <c r="F3" i="102"/>
  <c r="E3" i="102"/>
  <c r="D3" i="102"/>
  <c r="C3" i="102"/>
  <c r="B3" i="102"/>
  <c r="O36" i="88"/>
  <c r="O35" i="88"/>
  <c r="J6" i="70" l="1"/>
  <c r="B39" i="88"/>
  <c r="J42" i="88" s="1"/>
  <c r="B40" i="88"/>
  <c r="T18" i="70" l="1"/>
  <c r="G13" i="103" l="1"/>
  <c r="L6" i="103"/>
  <c r="G6" i="103"/>
  <c r="K6" i="5"/>
  <c r="E3" i="104" l="1"/>
  <c r="E2" i="104"/>
  <c r="E4" i="104" s="1"/>
  <c r="J11" i="6" l="1"/>
  <c r="P11" i="6" l="1"/>
  <c r="P6" i="6"/>
  <c r="J6" i="6"/>
  <c r="B11" i="2" l="1"/>
  <c r="O11" i="2"/>
  <c r="B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B20" i="102" l="1"/>
  <c r="C20" i="102" s="1"/>
  <c r="D20" i="102" s="1"/>
  <c r="F20" i="102" s="1"/>
  <c r="G20" i="102" s="1"/>
  <c r="H20" i="102" s="1"/>
  <c r="J20" i="102" s="1"/>
  <c r="K20" i="102" s="1"/>
  <c r="L20" i="102" s="1"/>
  <c r="N20" i="102" s="1"/>
  <c r="O20" i="102" s="1"/>
  <c r="P20" i="102" s="1"/>
  <c r="B17" i="70"/>
  <c r="C17" i="70" s="1"/>
  <c r="D17" i="70" s="1"/>
  <c r="F17" i="70" s="1"/>
  <c r="G17" i="70" s="1"/>
  <c r="H17" i="70" s="1"/>
  <c r="J17" i="70" s="1"/>
  <c r="K17" i="70" s="1"/>
  <c r="L17" i="70" s="1"/>
  <c r="N17" i="70" s="1"/>
  <c r="O17" i="70" s="1"/>
  <c r="P17" i="70" s="1"/>
  <c r="L36" i="3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N36" i="88"/>
  <c r="N35" i="88"/>
  <c r="L6" i="88" l="1"/>
  <c r="M6" i="88"/>
  <c r="N6" i="88"/>
  <c r="N5" i="88"/>
  <c r="D4" i="3" s="1"/>
  <c r="M5" i="88"/>
  <c r="C4" i="3" s="1"/>
  <c r="L5" i="88"/>
  <c r="B4" i="3" s="1"/>
  <c r="P28" i="88"/>
  <c r="Q28" i="88"/>
  <c r="R28" i="88"/>
  <c r="S28" i="88"/>
  <c r="O28" i="88"/>
  <c r="N28" i="88"/>
  <c r="S27" i="88"/>
  <c r="K5" i="88" s="1"/>
  <c r="H4" i="3" s="1"/>
  <c r="R27" i="88"/>
  <c r="K15" i="88" s="1"/>
  <c r="H11" i="3" s="1"/>
  <c r="Q27" i="88"/>
  <c r="J5" i="88" s="1"/>
  <c r="G4" i="3" s="1"/>
  <c r="P27" i="88"/>
  <c r="J15" i="88" s="1"/>
  <c r="G11" i="3" s="1"/>
  <c r="O27" i="88"/>
  <c r="I5" i="88" s="1"/>
  <c r="N27" i="88"/>
  <c r="I15" i="88" s="1"/>
  <c r="E85" i="88" l="1"/>
  <c r="N31" i="88" l="1"/>
  <c r="O31" i="88"/>
  <c r="P31" i="88"/>
  <c r="Q31" i="88"/>
  <c r="R31" i="88"/>
  <c r="S31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K11" i="2" l="1"/>
  <c r="K13" i="3"/>
  <c r="O13" i="2" l="1"/>
  <c r="P6" i="5" l="1"/>
  <c r="B35" i="70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M53" i="5"/>
  <c r="I53" i="5"/>
  <c r="E53" i="5"/>
  <c r="Q53" i="5"/>
  <c r="M52" i="5"/>
  <c r="I52" i="5"/>
  <c r="E52" i="5"/>
  <c r="Q52" i="5"/>
  <c r="M51" i="5"/>
  <c r="I51" i="5"/>
  <c r="E51" i="5"/>
  <c r="Q51" i="5"/>
  <c r="M49" i="5"/>
  <c r="I49" i="5"/>
  <c r="E49" i="5"/>
  <c r="Q49" i="5"/>
  <c r="M48" i="5"/>
  <c r="I48" i="5"/>
  <c r="E48" i="5"/>
  <c r="Q48" i="5"/>
  <c r="M47" i="5"/>
  <c r="I47" i="5"/>
  <c r="E47" i="5"/>
  <c r="Q47" i="5"/>
  <c r="M46" i="5"/>
  <c r="I46" i="5"/>
  <c r="E46" i="5"/>
  <c r="Q46" i="5"/>
  <c r="M45" i="5"/>
  <c r="I45" i="5"/>
  <c r="E45" i="5"/>
  <c r="Q45" i="5"/>
  <c r="M43" i="5"/>
  <c r="I43" i="5"/>
  <c r="E43" i="5"/>
  <c r="Q43" i="5"/>
  <c r="M42" i="5"/>
  <c r="I42" i="5"/>
  <c r="E42" i="5"/>
  <c r="Q42" i="5"/>
  <c r="M37" i="5"/>
  <c r="I37" i="5"/>
  <c r="E37" i="5"/>
  <c r="Q37" i="5"/>
  <c r="M53" i="4"/>
  <c r="I53" i="4"/>
  <c r="E53" i="4"/>
  <c r="Q53" i="4"/>
  <c r="M52" i="4"/>
  <c r="I52" i="4"/>
  <c r="E52" i="4"/>
  <c r="Q52" i="4"/>
  <c r="M51" i="4"/>
  <c r="I51" i="4"/>
  <c r="E51" i="4"/>
  <c r="Q51" i="4"/>
  <c r="M49" i="4"/>
  <c r="I49" i="4"/>
  <c r="E49" i="4"/>
  <c r="Q49" i="4"/>
  <c r="M48" i="4"/>
  <c r="I48" i="4"/>
  <c r="E48" i="4"/>
  <c r="Q48" i="4"/>
  <c r="M47" i="4"/>
  <c r="I47" i="4"/>
  <c r="E47" i="4"/>
  <c r="Q47" i="4"/>
  <c r="M46" i="4"/>
  <c r="I46" i="4"/>
  <c r="E46" i="4"/>
  <c r="Q46" i="4"/>
  <c r="M45" i="4"/>
  <c r="I45" i="4"/>
  <c r="E45" i="4"/>
  <c r="Q45" i="4"/>
  <c r="M43" i="4"/>
  <c r="I43" i="4"/>
  <c r="E43" i="4"/>
  <c r="Q43" i="4"/>
  <c r="M42" i="4"/>
  <c r="I42" i="4"/>
  <c r="E42" i="4"/>
  <c r="Q42" i="4"/>
  <c r="M37" i="4"/>
  <c r="I37" i="4"/>
  <c r="E37" i="4"/>
  <c r="Q37" i="4"/>
  <c r="M53" i="2"/>
  <c r="I53" i="2"/>
  <c r="E53" i="2"/>
  <c r="Q53" i="2"/>
  <c r="M52" i="2"/>
  <c r="I52" i="2"/>
  <c r="E52" i="2"/>
  <c r="Q52" i="2"/>
  <c r="M51" i="2"/>
  <c r="I51" i="2"/>
  <c r="E51" i="2"/>
  <c r="Q51" i="2"/>
  <c r="M49" i="2"/>
  <c r="I49" i="2"/>
  <c r="E49" i="2"/>
  <c r="Q49" i="2"/>
  <c r="M48" i="2"/>
  <c r="I48" i="2"/>
  <c r="E48" i="2"/>
  <c r="Q48" i="2"/>
  <c r="M47" i="2"/>
  <c r="I47" i="2"/>
  <c r="E47" i="2"/>
  <c r="Q47" i="2"/>
  <c r="M46" i="2"/>
  <c r="I46" i="2"/>
  <c r="E46" i="2"/>
  <c r="Q46" i="2"/>
  <c r="M45" i="2"/>
  <c r="I45" i="2"/>
  <c r="E45" i="2"/>
  <c r="Q45" i="2"/>
  <c r="M43" i="2"/>
  <c r="I43" i="2"/>
  <c r="E43" i="2"/>
  <c r="Q43" i="2"/>
  <c r="M42" i="2"/>
  <c r="I42" i="2"/>
  <c r="E42" i="2"/>
  <c r="Q42" i="2"/>
  <c r="M37" i="2"/>
  <c r="I37" i="2"/>
  <c r="E37" i="2"/>
  <c r="Q37" i="2"/>
  <c r="M64" i="3"/>
  <c r="M63" i="3"/>
  <c r="M62" i="3"/>
  <c r="M60" i="3"/>
  <c r="M59" i="3"/>
  <c r="M58" i="3"/>
  <c r="M57" i="3"/>
  <c r="M56" i="3"/>
  <c r="M54" i="3"/>
  <c r="M53" i="3"/>
  <c r="M48" i="3"/>
  <c r="Q33" i="1"/>
  <c r="I33" i="1"/>
  <c r="E33" i="1"/>
  <c r="P33" i="1"/>
  <c r="Q32" i="1"/>
  <c r="I32" i="1"/>
  <c r="E32" i="1"/>
  <c r="P32" i="1"/>
  <c r="Q31" i="1"/>
  <c r="I31" i="1"/>
  <c r="E31" i="1"/>
  <c r="P31" i="1"/>
  <c r="Q29" i="1"/>
  <c r="I29" i="1"/>
  <c r="E29" i="1"/>
  <c r="P29" i="1"/>
  <c r="Q28" i="1"/>
  <c r="I28" i="1"/>
  <c r="E28" i="1"/>
  <c r="P28" i="1"/>
  <c r="Q27" i="1"/>
  <c r="I27" i="1"/>
  <c r="E27" i="1"/>
  <c r="P27" i="1"/>
  <c r="Q26" i="1"/>
  <c r="I26" i="1"/>
  <c r="E26" i="1"/>
  <c r="P26" i="1"/>
  <c r="Q25" i="1"/>
  <c r="I25" i="1"/>
  <c r="E25" i="1"/>
  <c r="P25" i="1"/>
  <c r="Q23" i="1"/>
  <c r="I23" i="1"/>
  <c r="E23" i="1"/>
  <c r="P23" i="1"/>
  <c r="Q22" i="1"/>
  <c r="I22" i="1"/>
  <c r="E22" i="1"/>
  <c r="P22" i="1"/>
  <c r="Q17" i="1"/>
  <c r="I17" i="1"/>
  <c r="E17" i="1"/>
  <c r="P17" i="1"/>
  <c r="M53" i="6"/>
  <c r="M52" i="6"/>
  <c r="M51" i="6"/>
  <c r="M49" i="6"/>
  <c r="M48" i="6"/>
  <c r="M47" i="6"/>
  <c r="M46" i="6"/>
  <c r="M45" i="6"/>
  <c r="M43" i="6"/>
  <c r="M42" i="6"/>
  <c r="M37" i="6"/>
  <c r="I53" i="6"/>
  <c r="I52" i="6"/>
  <c r="I51" i="6"/>
  <c r="I49" i="6"/>
  <c r="I48" i="6"/>
  <c r="I47" i="6"/>
  <c r="I46" i="6"/>
  <c r="I45" i="6"/>
  <c r="I43" i="6"/>
  <c r="I42" i="6"/>
  <c r="I37" i="6"/>
  <c r="E53" i="6"/>
  <c r="E52" i="6"/>
  <c r="E51" i="6"/>
  <c r="E49" i="6"/>
  <c r="E48" i="6"/>
  <c r="E47" i="6"/>
  <c r="E46" i="6"/>
  <c r="E45" i="6"/>
  <c r="E43" i="6"/>
  <c r="E42" i="6"/>
  <c r="E37" i="6"/>
  <c r="Q53" i="6"/>
  <c r="Q52" i="6"/>
  <c r="Q51" i="6"/>
  <c r="Q49" i="6"/>
  <c r="Q48" i="6"/>
  <c r="Q47" i="6"/>
  <c r="Q46" i="6"/>
  <c r="Q45" i="6"/>
  <c r="Q43" i="6"/>
  <c r="Q42" i="6"/>
  <c r="Q37" i="6"/>
  <c r="G85" i="88"/>
  <c r="F85" i="88"/>
  <c r="D85" i="88"/>
  <c r="C85" i="88"/>
  <c r="G51" i="88"/>
  <c r="E51" i="88"/>
  <c r="C51" i="88"/>
  <c r="B51" i="88"/>
  <c r="H85" i="88" l="1"/>
  <c r="R56" i="103"/>
  <c r="R60" i="103"/>
  <c r="R51" i="4"/>
  <c r="R53" i="4"/>
  <c r="R52" i="4"/>
  <c r="R60" i="3"/>
  <c r="R32" i="1"/>
  <c r="R51" i="6"/>
  <c r="R37" i="6"/>
  <c r="R46" i="6"/>
  <c r="R53" i="6"/>
  <c r="R43" i="6"/>
  <c r="R48" i="6"/>
  <c r="R17" i="1"/>
  <c r="R26" i="1"/>
  <c r="R31" i="1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25" i="1"/>
  <c r="R29" i="1"/>
  <c r="R23" i="1"/>
  <c r="R28" i="1"/>
  <c r="R22" i="1"/>
  <c r="R27" i="1"/>
  <c r="R33" i="1"/>
  <c r="R42" i="6"/>
  <c r="R47" i="6"/>
  <c r="R52" i="6"/>
  <c r="R45" i="6"/>
  <c r="R49" i="6"/>
  <c r="N15" i="88" l="1"/>
  <c r="D11" i="3" s="1"/>
  <c r="M15" i="88"/>
  <c r="C11" i="3" s="1"/>
  <c r="L15" i="88"/>
  <c r="B11" i="3" s="1"/>
  <c r="H30" i="88" l="1"/>
  <c r="I30" i="88"/>
  <c r="F8" i="88" s="1"/>
  <c r="J4" i="4" s="1"/>
  <c r="J30" i="88"/>
  <c r="K30" i="88"/>
  <c r="L30" i="88"/>
  <c r="M30" i="88"/>
  <c r="H31" i="88"/>
  <c r="I31" i="88"/>
  <c r="J31" i="88"/>
  <c r="K31" i="88"/>
  <c r="L31" i="88"/>
  <c r="M31" i="88"/>
  <c r="M29" i="88"/>
  <c r="K29" i="88"/>
  <c r="J29" i="88"/>
  <c r="I29" i="88"/>
  <c r="H29" i="88"/>
  <c r="P6" i="4" l="1"/>
  <c r="P35" i="70" l="1"/>
  <c r="O35" i="70"/>
  <c r="N35" i="70"/>
  <c r="L35" i="70"/>
  <c r="K35" i="70"/>
  <c r="J35" i="70"/>
  <c r="H35" i="70"/>
  <c r="G35" i="70"/>
  <c r="F35" i="70"/>
  <c r="D35" i="70"/>
  <c r="C35" i="70"/>
  <c r="J43" i="3" l="1"/>
  <c r="F43" i="3"/>
  <c r="B43" i="3"/>
  <c r="N43" i="3"/>
  <c r="J43" i="103"/>
  <c r="F43" i="103"/>
  <c r="B43" i="103"/>
  <c r="N43" i="103"/>
  <c r="J32" i="6"/>
  <c r="F32" i="6"/>
  <c r="B32" i="6"/>
  <c r="N32" i="6"/>
  <c r="N6" i="103" l="1"/>
  <c r="I47" i="70" l="1"/>
  <c r="E47" i="70"/>
  <c r="E51" i="70"/>
  <c r="E55" i="70"/>
  <c r="I41" i="70"/>
  <c r="I52" i="70"/>
  <c r="I56" i="70"/>
  <c r="E41" i="70"/>
  <c r="E49" i="70"/>
  <c r="E53" i="70"/>
  <c r="E57" i="70"/>
  <c r="I50" i="70"/>
  <c r="E52" i="70"/>
  <c r="E56" i="70"/>
  <c r="I46" i="70"/>
  <c r="I49" i="70"/>
  <c r="I53" i="70"/>
  <c r="I57" i="70"/>
  <c r="E46" i="70"/>
  <c r="E50" i="70"/>
  <c r="I51" i="70"/>
  <c r="I55" i="70"/>
  <c r="M27" i="88"/>
  <c r="L27" i="88"/>
  <c r="K27" i="88"/>
  <c r="J27" i="88"/>
  <c r="I27" i="88"/>
  <c r="H27" i="88"/>
  <c r="M26" i="88"/>
  <c r="L26" i="88"/>
  <c r="K26" i="88"/>
  <c r="J26" i="88"/>
  <c r="I26" i="88"/>
  <c r="H26" i="88"/>
  <c r="M25" i="88"/>
  <c r="L25" i="88"/>
  <c r="K25" i="88"/>
  <c r="J25" i="88"/>
  <c r="I25" i="88"/>
  <c r="H25" i="88"/>
  <c r="F31" i="88"/>
  <c r="D31" i="88"/>
  <c r="B31" i="88"/>
  <c r="F30" i="88"/>
  <c r="D30" i="88"/>
  <c r="B30" i="88"/>
  <c r="F29" i="88"/>
  <c r="D29" i="88"/>
  <c r="B29" i="88"/>
  <c r="G28" i="88"/>
  <c r="F28" i="88"/>
  <c r="D28" i="88"/>
  <c r="B28" i="88"/>
  <c r="G27" i="88"/>
  <c r="F27" i="88"/>
  <c r="D27" i="88"/>
  <c r="B27" i="88"/>
  <c r="F26" i="88"/>
  <c r="D26" i="88"/>
  <c r="B26" i="88"/>
  <c r="F25" i="88"/>
  <c r="D25" i="88"/>
  <c r="C3" i="88"/>
  <c r="N4" i="6" s="1"/>
  <c r="B25" i="88"/>
  <c r="O6" i="103"/>
  <c r="M49" i="70" l="1"/>
  <c r="M51" i="70"/>
  <c r="M53" i="70"/>
  <c r="M55" i="70"/>
  <c r="M57" i="70"/>
  <c r="M47" i="70" l="1"/>
  <c r="M56" i="70"/>
  <c r="M52" i="70"/>
  <c r="Q50" i="70"/>
  <c r="Q56" i="70"/>
  <c r="Q52" i="70"/>
  <c r="M50" i="70"/>
  <c r="Q41" i="70"/>
  <c r="Q57" i="70"/>
  <c r="R57" i="70" s="1"/>
  <c r="Q53" i="70"/>
  <c r="R53" i="70" s="1"/>
  <c r="Q49" i="70"/>
  <c r="R49" i="70" s="1"/>
  <c r="M41" i="70"/>
  <c r="M46" i="70"/>
  <c r="Q55" i="70"/>
  <c r="R55" i="70" s="1"/>
  <c r="Q51" i="70"/>
  <c r="R51" i="70" s="1"/>
  <c r="Q47" i="70"/>
  <c r="R47" i="70" l="1"/>
  <c r="R52" i="70"/>
  <c r="R56" i="70"/>
  <c r="R50" i="70"/>
  <c r="Q46" i="70"/>
  <c r="R46" i="70" s="1"/>
  <c r="R41" i="70"/>
  <c r="C6" i="88" l="1"/>
  <c r="N4" i="103" s="1"/>
  <c r="D6" i="88"/>
  <c r="O4" i="103" s="1"/>
  <c r="E6" i="88"/>
  <c r="P4" i="103" s="1"/>
  <c r="F6" i="88"/>
  <c r="J4" i="103" s="1"/>
  <c r="J5" i="103" s="1"/>
  <c r="G6" i="88"/>
  <c r="K4" i="103" s="1"/>
  <c r="H6" i="88"/>
  <c r="L4" i="103" s="1"/>
  <c r="C16" i="88"/>
  <c r="D16" i="88"/>
  <c r="O11" i="103" s="1"/>
  <c r="E16" i="88"/>
  <c r="P11" i="103" s="1"/>
  <c r="F16" i="88"/>
  <c r="G16" i="88"/>
  <c r="H16" i="88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S25" i="88"/>
  <c r="R25" i="88"/>
  <c r="Q25" i="88"/>
  <c r="P25" i="88"/>
  <c r="O25" i="88"/>
  <c r="N25" i="88"/>
  <c r="O6" i="88" l="1"/>
  <c r="N11" i="103"/>
  <c r="O16" i="88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P6" i="88" s="1"/>
  <c r="J29" i="103"/>
  <c r="J17" i="103"/>
  <c r="J30" i="103"/>
  <c r="D14" i="103"/>
  <c r="D30" i="103" s="1"/>
  <c r="K9" i="103"/>
  <c r="K10" i="103"/>
  <c r="K23" i="103"/>
  <c r="L24" i="103"/>
  <c r="B30" i="103"/>
  <c r="R13" i="103"/>
  <c r="P16" i="88" s="1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F19" i="8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G3" i="88" l="1"/>
  <c r="K4" i="6" s="1"/>
  <c r="H3" i="88"/>
  <c r="L4" i="6" s="1"/>
  <c r="G4" i="88"/>
  <c r="H4" i="88"/>
  <c r="F5" i="88"/>
  <c r="J4" i="3" s="1"/>
  <c r="G5" i="88"/>
  <c r="K4" i="3" s="1"/>
  <c r="H5" i="88"/>
  <c r="L4" i="3" s="1"/>
  <c r="F7" i="88"/>
  <c r="J4" i="2" s="1"/>
  <c r="G7" i="88"/>
  <c r="K4" i="2" s="1"/>
  <c r="H7" i="88"/>
  <c r="G8" i="88"/>
  <c r="H8" i="88"/>
  <c r="F9" i="88"/>
  <c r="J4" i="5" s="1"/>
  <c r="G9" i="88"/>
  <c r="H9" i="88"/>
  <c r="M4" i="2" l="1"/>
  <c r="B4" i="102"/>
  <c r="C4" i="102" s="1"/>
  <c r="D4" i="102" s="1"/>
  <c r="F4" i="102" s="1"/>
  <c r="G4" i="102" s="1"/>
  <c r="H4" i="102" s="1"/>
  <c r="J4" i="102" l="1"/>
  <c r="K4" i="102" s="1"/>
  <c r="L4" i="102" s="1"/>
  <c r="N4" i="102" s="1"/>
  <c r="O4" i="102" s="1"/>
  <c r="P4" i="102" s="1"/>
  <c r="P19" i="70"/>
  <c r="P22" i="102" s="1"/>
  <c r="O19" i="70"/>
  <c r="O22" i="102" s="1"/>
  <c r="N19" i="70"/>
  <c r="N22" i="102" s="1"/>
  <c r="L19" i="70"/>
  <c r="L22" i="102" s="1"/>
  <c r="Q22" i="102" l="1"/>
  <c r="K19" i="70"/>
  <c r="K22" i="102" s="1"/>
  <c r="G22" i="102"/>
  <c r="P6" i="102"/>
  <c r="K6" i="102"/>
  <c r="C6" i="102"/>
  <c r="E14" i="88"/>
  <c r="C6" i="2"/>
  <c r="B11" i="1"/>
  <c r="B12" i="1" s="1"/>
  <c r="L11" i="103"/>
  <c r="F6" i="6"/>
  <c r="F6" i="1"/>
  <c r="F7" i="1" s="1"/>
  <c r="F6" i="3"/>
  <c r="F6" i="2"/>
  <c r="F7" i="2" s="1"/>
  <c r="F19" i="2" s="1"/>
  <c r="F6" i="4"/>
  <c r="F6" i="5"/>
  <c r="F11" i="5"/>
  <c r="F11" i="4"/>
  <c r="F11" i="2"/>
  <c r="F12" i="2" s="1"/>
  <c r="F11" i="6"/>
  <c r="F11" i="1"/>
  <c r="F12" i="1" s="1"/>
  <c r="F13" i="3"/>
  <c r="J6" i="1"/>
  <c r="J7" i="1" s="1"/>
  <c r="O6" i="1"/>
  <c r="N6" i="1"/>
  <c r="M6" i="1"/>
  <c r="I14" i="88"/>
  <c r="J14" i="88"/>
  <c r="K14" i="88"/>
  <c r="K11" i="103"/>
  <c r="I17" i="88"/>
  <c r="J17" i="88"/>
  <c r="K17" i="88"/>
  <c r="I18" i="88"/>
  <c r="J18" i="88"/>
  <c r="K18" i="88"/>
  <c r="I19" i="88"/>
  <c r="J19" i="88"/>
  <c r="K19" i="88"/>
  <c r="K13" i="88"/>
  <c r="J13" i="88"/>
  <c r="I13" i="88"/>
  <c r="I4" i="88"/>
  <c r="J4" i="88"/>
  <c r="G4" i="1" s="1"/>
  <c r="K4" i="88"/>
  <c r="H4" i="1" s="1"/>
  <c r="I7" i="88"/>
  <c r="J7" i="88"/>
  <c r="K7" i="88"/>
  <c r="I8" i="88"/>
  <c r="J8" i="88"/>
  <c r="K8" i="88"/>
  <c r="I9" i="88"/>
  <c r="F4" i="5" s="1"/>
  <c r="J9" i="88"/>
  <c r="G4" i="5" s="1"/>
  <c r="K9" i="88"/>
  <c r="H4" i="5" s="1"/>
  <c r="K3" i="88"/>
  <c r="H4" i="6" s="1"/>
  <c r="I3" i="88"/>
  <c r="F4" i="6" s="1"/>
  <c r="J3" i="88"/>
  <c r="G4" i="6" s="1"/>
  <c r="L6" i="1"/>
  <c r="K6" i="1"/>
  <c r="O11" i="6"/>
  <c r="N11" i="6"/>
  <c r="N12" i="6" s="1"/>
  <c r="F14" i="88"/>
  <c r="G14" i="88"/>
  <c r="H14" i="88"/>
  <c r="F15" i="88"/>
  <c r="J11" i="3" s="1"/>
  <c r="G15" i="88"/>
  <c r="K11" i="3" s="1"/>
  <c r="H15" i="88"/>
  <c r="L11" i="3" s="1"/>
  <c r="F17" i="88"/>
  <c r="G17" i="88"/>
  <c r="F18" i="88"/>
  <c r="G18" i="88"/>
  <c r="H18" i="88"/>
  <c r="F19" i="88"/>
  <c r="G19" i="88"/>
  <c r="H19" i="88"/>
  <c r="H13" i="88"/>
  <c r="G13" i="88"/>
  <c r="F13" i="88"/>
  <c r="J4" i="1"/>
  <c r="K4" i="1"/>
  <c r="L4" i="1"/>
  <c r="J5" i="3"/>
  <c r="E3" i="88"/>
  <c r="P4" i="6" s="1"/>
  <c r="B4" i="70"/>
  <c r="C4" i="70" s="1"/>
  <c r="D4" i="70" s="1"/>
  <c r="N6" i="6"/>
  <c r="L6" i="102"/>
  <c r="C14" i="88"/>
  <c r="D14" i="88"/>
  <c r="C15" i="88"/>
  <c r="D15" i="88"/>
  <c r="O11" i="3" s="1"/>
  <c r="E15" i="88"/>
  <c r="P11" i="3" s="1"/>
  <c r="C17" i="88"/>
  <c r="D17" i="88"/>
  <c r="E17" i="88"/>
  <c r="C18" i="88"/>
  <c r="D18" i="88"/>
  <c r="E18" i="88"/>
  <c r="C19" i="88"/>
  <c r="D19" i="88"/>
  <c r="E19" i="88"/>
  <c r="C4" i="88"/>
  <c r="M4" i="1" s="1"/>
  <c r="D4" i="88"/>
  <c r="N4" i="1" s="1"/>
  <c r="E4" i="88"/>
  <c r="O4" i="1" s="1"/>
  <c r="C5" i="88"/>
  <c r="N4" i="3" s="1"/>
  <c r="D5" i="88"/>
  <c r="O4" i="3" s="1"/>
  <c r="E5" i="88"/>
  <c r="C7" i="88"/>
  <c r="D7" i="88"/>
  <c r="E7" i="88"/>
  <c r="C8" i="88"/>
  <c r="N4" i="4" s="1"/>
  <c r="D8" i="88"/>
  <c r="O4" i="4" s="1"/>
  <c r="E8" i="88"/>
  <c r="P4" i="4" s="1"/>
  <c r="C9" i="88"/>
  <c r="D9" i="88"/>
  <c r="E9" i="88"/>
  <c r="E13" i="88"/>
  <c r="D13" i="88"/>
  <c r="C13" i="88"/>
  <c r="D3" i="88"/>
  <c r="O4" i="6" s="1"/>
  <c r="O11" i="4"/>
  <c r="D11" i="5"/>
  <c r="C11" i="5"/>
  <c r="H11" i="5"/>
  <c r="G11" i="5"/>
  <c r="L11" i="5"/>
  <c r="J11" i="5"/>
  <c r="P11" i="5"/>
  <c r="O11" i="5"/>
  <c r="N11" i="5"/>
  <c r="D11" i="4"/>
  <c r="C11" i="4"/>
  <c r="B11" i="4"/>
  <c r="H11" i="4"/>
  <c r="G11" i="4"/>
  <c r="L11" i="4"/>
  <c r="K11" i="4"/>
  <c r="J11" i="4"/>
  <c r="P11" i="4"/>
  <c r="N11" i="4"/>
  <c r="D13" i="3"/>
  <c r="C13" i="3"/>
  <c r="H13" i="3"/>
  <c r="G13" i="3"/>
  <c r="L13" i="3"/>
  <c r="J13" i="3"/>
  <c r="P13" i="3"/>
  <c r="O13" i="3"/>
  <c r="N13" i="3"/>
  <c r="D11" i="1"/>
  <c r="D11" i="2"/>
  <c r="D11" i="6"/>
  <c r="C11" i="1"/>
  <c r="H11" i="1"/>
  <c r="G11" i="1"/>
  <c r="L11" i="1"/>
  <c r="K11" i="1"/>
  <c r="J11" i="1"/>
  <c r="J12" i="1" s="1"/>
  <c r="O11" i="1"/>
  <c r="N11" i="1"/>
  <c r="M11" i="1"/>
  <c r="C11" i="6"/>
  <c r="H11" i="6"/>
  <c r="G11" i="6"/>
  <c r="L11" i="6"/>
  <c r="K11" i="6"/>
  <c r="J11" i="2"/>
  <c r="C11" i="2"/>
  <c r="H11" i="2"/>
  <c r="G11" i="2"/>
  <c r="L11" i="2"/>
  <c r="N11" i="2"/>
  <c r="D6" i="5"/>
  <c r="C6" i="5"/>
  <c r="H6" i="5"/>
  <c r="G6" i="5"/>
  <c r="L6" i="5"/>
  <c r="J6" i="5"/>
  <c r="N6" i="5"/>
  <c r="N7" i="5" s="1"/>
  <c r="N19" i="5" s="1"/>
  <c r="D6" i="4"/>
  <c r="H6" i="4"/>
  <c r="G6" i="4"/>
  <c r="L6" i="4"/>
  <c r="K6" i="4"/>
  <c r="J6" i="4"/>
  <c r="J7" i="4" s="1"/>
  <c r="J19" i="4" s="1"/>
  <c r="O6" i="4"/>
  <c r="N6" i="4"/>
  <c r="D6" i="3"/>
  <c r="C6" i="3"/>
  <c r="H6" i="3"/>
  <c r="G6" i="3"/>
  <c r="L6" i="3"/>
  <c r="K6" i="3"/>
  <c r="J6" i="3"/>
  <c r="P6" i="3"/>
  <c r="O6" i="3"/>
  <c r="N6" i="3"/>
  <c r="D6" i="1"/>
  <c r="C6" i="1"/>
  <c r="B6" i="1"/>
  <c r="H6" i="1"/>
  <c r="G6" i="1"/>
  <c r="D6" i="6"/>
  <c r="C6" i="6"/>
  <c r="H6" i="6"/>
  <c r="G6" i="6"/>
  <c r="L6" i="6"/>
  <c r="K6" i="6"/>
  <c r="J7" i="6"/>
  <c r="J19" i="6" s="1"/>
  <c r="O6" i="6"/>
  <c r="H6" i="2"/>
  <c r="K6" i="2"/>
  <c r="J6" i="2"/>
  <c r="J7" i="2" s="1"/>
  <c r="J19" i="2" s="1"/>
  <c r="P6" i="2"/>
  <c r="P13" i="2" s="1"/>
  <c r="N6" i="2"/>
  <c r="H22" i="102"/>
  <c r="J19" i="70"/>
  <c r="J22" i="102" s="1"/>
  <c r="C19" i="70"/>
  <c r="C22" i="102" s="1"/>
  <c r="D19" i="70"/>
  <c r="D22" i="102" s="1"/>
  <c r="F19" i="70"/>
  <c r="F22" i="102" s="1"/>
  <c r="B19" i="70"/>
  <c r="D6" i="102"/>
  <c r="O6" i="102"/>
  <c r="G6" i="102"/>
  <c r="B27" i="6"/>
  <c r="B6" i="4"/>
  <c r="B7" i="4" s="1"/>
  <c r="B19" i="4" s="1"/>
  <c r="B11" i="5"/>
  <c r="B6" i="5"/>
  <c r="B7" i="5" s="1"/>
  <c r="B19" i="5" s="1"/>
  <c r="B6" i="3"/>
  <c r="B6" i="2"/>
  <c r="B13" i="2" s="1"/>
  <c r="B11" i="6"/>
  <c r="B6" i="6"/>
  <c r="B13" i="3"/>
  <c r="P8" i="70" l="1"/>
  <c r="P21" i="70"/>
  <c r="F12" i="6"/>
  <c r="J21" i="70"/>
  <c r="J8" i="70"/>
  <c r="N12" i="4"/>
  <c r="F12" i="4"/>
  <c r="J12" i="4"/>
  <c r="K12" i="4" s="1"/>
  <c r="B12" i="4"/>
  <c r="O12" i="4"/>
  <c r="P12" i="4" s="1"/>
  <c r="J12" i="5"/>
  <c r="K12" i="5" s="1"/>
  <c r="N12" i="5"/>
  <c r="F12" i="5"/>
  <c r="G12" i="5" s="1"/>
  <c r="G8" i="70"/>
  <c r="E10" i="88"/>
  <c r="D13" i="102" s="1"/>
  <c r="K21" i="70"/>
  <c r="K24" i="102" s="1"/>
  <c r="K26" i="102" s="1"/>
  <c r="K8" i="70"/>
  <c r="K10" i="70" s="1"/>
  <c r="G21" i="70"/>
  <c r="N7" i="4"/>
  <c r="N19" i="4" s="1"/>
  <c r="Q6" i="4"/>
  <c r="N12" i="2"/>
  <c r="Q11" i="2"/>
  <c r="M7" i="1"/>
  <c r="N7" i="1" s="1"/>
  <c r="O7" i="1" s="1"/>
  <c r="R6" i="1"/>
  <c r="P4" i="88" s="1"/>
  <c r="O5" i="88"/>
  <c r="M11" i="3"/>
  <c r="O15" i="88"/>
  <c r="G8" i="5"/>
  <c r="F7" i="5"/>
  <c r="F19" i="5" s="1"/>
  <c r="Q6" i="6"/>
  <c r="N5" i="2"/>
  <c r="L13" i="4"/>
  <c r="B8" i="70"/>
  <c r="G13" i="1"/>
  <c r="G13" i="2"/>
  <c r="B13" i="1"/>
  <c r="L13" i="5"/>
  <c r="J8" i="3"/>
  <c r="E6" i="70"/>
  <c r="K13" i="2"/>
  <c r="L13" i="2"/>
  <c r="O8" i="70"/>
  <c r="O10" i="70" s="1"/>
  <c r="N21" i="70"/>
  <c r="N24" i="102" s="1"/>
  <c r="N26" i="102" s="1"/>
  <c r="J6" i="102"/>
  <c r="M6" i="102" s="1"/>
  <c r="M6" i="70"/>
  <c r="F6" i="102"/>
  <c r="I6" i="102" s="1"/>
  <c r="I6" i="70"/>
  <c r="N6" i="102"/>
  <c r="Q6" i="102" s="1"/>
  <c r="Q6" i="70"/>
  <c r="L21" i="70"/>
  <c r="L24" i="102" s="1"/>
  <c r="L26" i="102" s="1"/>
  <c r="D21" i="70"/>
  <c r="C8" i="70"/>
  <c r="C10" i="70" s="1"/>
  <c r="H8" i="70"/>
  <c r="D8" i="70"/>
  <c r="C21" i="70"/>
  <c r="C24" i="102" s="1"/>
  <c r="H21" i="70"/>
  <c r="F8" i="70"/>
  <c r="Y12" i="70" s="1"/>
  <c r="Z13" i="70" s="1"/>
  <c r="L8" i="70"/>
  <c r="L10" i="70" s="1"/>
  <c r="O21" i="70"/>
  <c r="F14" i="3"/>
  <c r="F30" i="3" s="1"/>
  <c r="F7" i="3"/>
  <c r="F24" i="3" s="1"/>
  <c r="B7" i="3"/>
  <c r="B24" i="3" s="1"/>
  <c r="N8" i="70"/>
  <c r="N10" i="70" s="1"/>
  <c r="J14" i="3"/>
  <c r="J30" i="3" s="1"/>
  <c r="F21" i="70"/>
  <c r="N14" i="3"/>
  <c r="N30" i="3" s="1"/>
  <c r="B21" i="70"/>
  <c r="K15" i="103"/>
  <c r="K12" i="103"/>
  <c r="L12" i="103" s="1"/>
  <c r="F5" i="2"/>
  <c r="F18" i="2" s="1"/>
  <c r="F20" i="2" s="1"/>
  <c r="F22" i="2" s="1"/>
  <c r="F23" i="2" s="1"/>
  <c r="F28" i="2" s="1"/>
  <c r="F5" i="4"/>
  <c r="F18" i="4" s="1"/>
  <c r="F5" i="6"/>
  <c r="F5" i="5"/>
  <c r="F4" i="1"/>
  <c r="F8" i="1" s="1"/>
  <c r="Q4" i="1"/>
  <c r="M11" i="103"/>
  <c r="L15" i="103"/>
  <c r="G18" i="3"/>
  <c r="B7" i="6"/>
  <c r="B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N15" i="3" s="1"/>
  <c r="G8" i="3"/>
  <c r="D18" i="3"/>
  <c r="F13" i="5"/>
  <c r="H13" i="4"/>
  <c r="I11" i="4"/>
  <c r="K12" i="1"/>
  <c r="L12" i="1" s="1"/>
  <c r="J18" i="3"/>
  <c r="M11" i="5"/>
  <c r="H13" i="1"/>
  <c r="H8" i="1"/>
  <c r="J13" i="1"/>
  <c r="C13" i="5"/>
  <c r="M6" i="5"/>
  <c r="E6" i="5"/>
  <c r="I11" i="5"/>
  <c r="C13" i="2"/>
  <c r="H18" i="3"/>
  <c r="J7" i="3"/>
  <c r="J24" i="3" s="1"/>
  <c r="E6" i="6"/>
  <c r="R6" i="6" s="1"/>
  <c r="R5" i="6" s="1"/>
  <c r="I11" i="6"/>
  <c r="G12" i="6"/>
  <c r="T54" i="70"/>
  <c r="M6" i="4"/>
  <c r="C13" i="4"/>
  <c r="D10" i="88"/>
  <c r="C13" i="102" s="1"/>
  <c r="N5" i="3"/>
  <c r="O5" i="3" s="1"/>
  <c r="N5" i="5"/>
  <c r="N18" i="5" s="1"/>
  <c r="N20" i="5" s="1"/>
  <c r="N22" i="5" s="1"/>
  <c r="N23" i="5" s="1"/>
  <c r="N28" i="5" s="1"/>
  <c r="B7" i="70"/>
  <c r="B32" i="70" s="1"/>
  <c r="B6" i="102"/>
  <c r="B20" i="70"/>
  <c r="C20" i="70" s="1"/>
  <c r="B22" i="102"/>
  <c r="I22" i="102"/>
  <c r="M22" i="102"/>
  <c r="P18" i="3"/>
  <c r="O13" i="4"/>
  <c r="N13" i="1"/>
  <c r="M13" i="1"/>
  <c r="D13" i="2"/>
  <c r="D13" i="6"/>
  <c r="D13" i="1"/>
  <c r="D13" i="4"/>
  <c r="M12" i="1"/>
  <c r="N12" i="1" s="1"/>
  <c r="O12" i="1" s="1"/>
  <c r="E11" i="4"/>
  <c r="C18" i="3"/>
  <c r="H13" i="5"/>
  <c r="G13" i="6"/>
  <c r="G12" i="2"/>
  <c r="G7" i="2"/>
  <c r="G19" i="2" s="1"/>
  <c r="F13" i="4"/>
  <c r="F18" i="3"/>
  <c r="F13" i="6"/>
  <c r="L8" i="6"/>
  <c r="L8" i="1"/>
  <c r="M11" i="2"/>
  <c r="L18" i="3"/>
  <c r="K13" i="4"/>
  <c r="M11" i="4"/>
  <c r="K8" i="4"/>
  <c r="K8" i="1"/>
  <c r="J13" i="6"/>
  <c r="J12" i="2"/>
  <c r="O13" i="1"/>
  <c r="N8" i="1"/>
  <c r="Q11" i="6"/>
  <c r="O13" i="6"/>
  <c r="Q11" i="5"/>
  <c r="Q6" i="2"/>
  <c r="N13" i="2"/>
  <c r="N13" i="5"/>
  <c r="N13" i="4"/>
  <c r="N14" i="5"/>
  <c r="O7" i="5"/>
  <c r="O19" i="5" s="1"/>
  <c r="O12" i="5"/>
  <c r="Q6" i="5"/>
  <c r="K13" i="5"/>
  <c r="D13" i="5"/>
  <c r="J7" i="5"/>
  <c r="J19" i="5" s="1"/>
  <c r="J13" i="5"/>
  <c r="G13" i="5"/>
  <c r="L8" i="5"/>
  <c r="P13" i="5"/>
  <c r="O13" i="5"/>
  <c r="K7" i="4"/>
  <c r="K19" i="4" s="1"/>
  <c r="P13" i="4"/>
  <c r="G13" i="4"/>
  <c r="H8" i="4"/>
  <c r="L8" i="4"/>
  <c r="J13" i="2"/>
  <c r="N7" i="2"/>
  <c r="N19" i="2" s="1"/>
  <c r="K7" i="2"/>
  <c r="K19" i="2" s="1"/>
  <c r="I11" i="2"/>
  <c r="F14" i="2"/>
  <c r="M6" i="2"/>
  <c r="I6" i="2"/>
  <c r="P8" i="2"/>
  <c r="F13" i="2"/>
  <c r="J14" i="4"/>
  <c r="H20" i="88"/>
  <c r="H29" i="102" s="1"/>
  <c r="Q11" i="4"/>
  <c r="Q13" i="3"/>
  <c r="E13" i="3"/>
  <c r="J13" i="4"/>
  <c r="N7" i="3"/>
  <c r="N24" i="3" s="1"/>
  <c r="P6" i="1"/>
  <c r="C13" i="1"/>
  <c r="C7" i="5"/>
  <c r="C19" i="5" s="1"/>
  <c r="G12" i="1"/>
  <c r="H12" i="1" s="1"/>
  <c r="B13" i="4"/>
  <c r="P8" i="4"/>
  <c r="O8" i="2"/>
  <c r="G20" i="88"/>
  <c r="G29" i="102" s="1"/>
  <c r="F7" i="4"/>
  <c r="F19" i="4" s="1"/>
  <c r="I6" i="4"/>
  <c r="H10" i="88"/>
  <c r="H13" i="102" s="1"/>
  <c r="D20" i="88"/>
  <c r="C29" i="102" s="1"/>
  <c r="H8" i="6"/>
  <c r="K10" i="88"/>
  <c r="L13" i="102" s="1"/>
  <c r="C12" i="2"/>
  <c r="E11" i="2"/>
  <c r="B7" i="2"/>
  <c r="B19" i="2" s="1"/>
  <c r="B12" i="5"/>
  <c r="E11" i="5"/>
  <c r="Q6" i="3"/>
  <c r="L13" i="1"/>
  <c r="K18" i="3"/>
  <c r="Q4" i="6"/>
  <c r="C10" i="88"/>
  <c r="E13" i="102" s="1"/>
  <c r="J20" i="88"/>
  <c r="K29" i="102" s="1"/>
  <c r="I20" i="88"/>
  <c r="J29" i="102" s="1"/>
  <c r="C7" i="4"/>
  <c r="C19" i="4" s="1"/>
  <c r="E6" i="4"/>
  <c r="E6" i="3"/>
  <c r="P13" i="6"/>
  <c r="E6" i="2"/>
  <c r="E9" i="2" s="1"/>
  <c r="O12" i="6"/>
  <c r="H13" i="2"/>
  <c r="I6" i="5"/>
  <c r="B13" i="5"/>
  <c r="M13" i="3"/>
  <c r="K13" i="6"/>
  <c r="I10" i="88"/>
  <c r="J13" i="102" s="1"/>
  <c r="E20" i="88"/>
  <c r="D29" i="102" s="1"/>
  <c r="I6" i="3"/>
  <c r="P11" i="1"/>
  <c r="R11" i="1" s="1"/>
  <c r="P14" i="88" s="1"/>
  <c r="I13" i="3"/>
  <c r="P8" i="5"/>
  <c r="O8" i="4"/>
  <c r="K8" i="5"/>
  <c r="J8" i="4"/>
  <c r="K8" i="3"/>
  <c r="F10" i="88"/>
  <c r="F13" i="102" s="1"/>
  <c r="J10" i="88"/>
  <c r="K13" i="102" s="1"/>
  <c r="F20" i="88"/>
  <c r="F29" i="102" s="1"/>
  <c r="C12" i="1"/>
  <c r="D12" i="1" s="1"/>
  <c r="K13" i="1"/>
  <c r="O8" i="5"/>
  <c r="L8" i="2"/>
  <c r="H8" i="2"/>
  <c r="G10" i="88"/>
  <c r="G13" i="102" s="1"/>
  <c r="C20" i="88"/>
  <c r="B29" i="102" s="1"/>
  <c r="K20" i="88"/>
  <c r="L29" i="102" s="1"/>
  <c r="K15" i="3"/>
  <c r="O18" i="3"/>
  <c r="B14" i="3"/>
  <c r="B30" i="3" s="1"/>
  <c r="J15" i="3"/>
  <c r="M6" i="3"/>
  <c r="B18" i="3"/>
  <c r="N18" i="3"/>
  <c r="L8" i="3"/>
  <c r="L15" i="3"/>
  <c r="K7" i="1"/>
  <c r="J14" i="1"/>
  <c r="G7" i="1"/>
  <c r="F14" i="1"/>
  <c r="B7" i="1"/>
  <c r="B14" i="1" s="1"/>
  <c r="F13" i="1"/>
  <c r="G8" i="1"/>
  <c r="B12" i="6"/>
  <c r="N7" i="6"/>
  <c r="N13" i="6"/>
  <c r="K7" i="6"/>
  <c r="L7" i="6" s="1"/>
  <c r="M6" i="6"/>
  <c r="J12" i="6"/>
  <c r="C13" i="6"/>
  <c r="M11" i="6"/>
  <c r="L13" i="6"/>
  <c r="B13" i="6"/>
  <c r="E11" i="6"/>
  <c r="H13" i="6"/>
  <c r="F7" i="6"/>
  <c r="I6" i="6"/>
  <c r="O8" i="6"/>
  <c r="K8" i="6"/>
  <c r="J23" i="3"/>
  <c r="J5" i="5"/>
  <c r="J18" i="5" s="1"/>
  <c r="J8" i="5"/>
  <c r="M4" i="6"/>
  <c r="R19" i="70"/>
  <c r="F40" i="88" s="1"/>
  <c r="M5" i="1"/>
  <c r="N5" i="1" s="1"/>
  <c r="M8" i="1"/>
  <c r="K5" i="3"/>
  <c r="L5" i="3" s="1"/>
  <c r="M4" i="3"/>
  <c r="J8" i="6"/>
  <c r="F13" i="70"/>
  <c r="M4" i="5"/>
  <c r="J5" i="6"/>
  <c r="J5" i="4"/>
  <c r="M4" i="4"/>
  <c r="B12" i="3"/>
  <c r="B29" i="3" s="1"/>
  <c r="B15" i="3"/>
  <c r="R6" i="70"/>
  <c r="F39" i="88" s="1"/>
  <c r="P8" i="6"/>
  <c r="Q4" i="4"/>
  <c r="N8" i="4"/>
  <c r="N5" i="4"/>
  <c r="N18" i="4" s="1"/>
  <c r="H8" i="5"/>
  <c r="O8" i="1"/>
  <c r="G8" i="2"/>
  <c r="G8" i="6"/>
  <c r="J5" i="1"/>
  <c r="K5" i="1" s="1"/>
  <c r="L5" i="1" s="1"/>
  <c r="J8" i="1"/>
  <c r="P4" i="1"/>
  <c r="K8" i="2"/>
  <c r="J12" i="3"/>
  <c r="J29" i="3" s="1"/>
  <c r="G8" i="4"/>
  <c r="J8" i="2"/>
  <c r="J5" i="2"/>
  <c r="F4" i="70"/>
  <c r="G4" i="70" s="1"/>
  <c r="P27" i="70" l="1"/>
  <c r="Q8" i="70"/>
  <c r="Q5" i="70" s="1"/>
  <c r="P10" i="70"/>
  <c r="J13" i="70"/>
  <c r="K13" i="70" s="1"/>
  <c r="L13" i="70" s="1"/>
  <c r="L14" i="70" s="1"/>
  <c r="J10" i="70"/>
  <c r="I8" i="70"/>
  <c r="I9" i="70" s="1"/>
  <c r="J20" i="5"/>
  <c r="J22" i="5" s="1"/>
  <c r="J23" i="5" s="1"/>
  <c r="J28" i="5" s="1"/>
  <c r="N18" i="2"/>
  <c r="N20" i="2" s="1"/>
  <c r="N22" i="2" s="1"/>
  <c r="N23" i="2" s="1"/>
  <c r="N28" i="2" s="1"/>
  <c r="Q8" i="2"/>
  <c r="J41" i="88"/>
  <c r="E8" i="70"/>
  <c r="V26" i="70" s="1"/>
  <c r="N20" i="4"/>
  <c r="N22" i="4" s="1"/>
  <c r="N23" i="4" s="1"/>
  <c r="N28" i="4" s="1"/>
  <c r="R8" i="70"/>
  <c r="F20" i="4"/>
  <c r="F22" i="4" s="1"/>
  <c r="F23" i="4" s="1"/>
  <c r="F28" i="4" s="1"/>
  <c r="K5" i="2"/>
  <c r="J18" i="2"/>
  <c r="J20" i="2" s="1"/>
  <c r="J22" i="2" s="1"/>
  <c r="J23" i="2" s="1"/>
  <c r="J28" i="2" s="1"/>
  <c r="K5" i="4"/>
  <c r="K18" i="4" s="1"/>
  <c r="K20" i="4" s="1"/>
  <c r="K22" i="4" s="1"/>
  <c r="K23" i="4" s="1"/>
  <c r="K28" i="4" s="1"/>
  <c r="J18" i="4"/>
  <c r="J20" i="4" s="1"/>
  <c r="J22" i="4" s="1"/>
  <c r="J23" i="4" s="1"/>
  <c r="J28" i="4" s="1"/>
  <c r="G5" i="5"/>
  <c r="G18" i="5" s="1"/>
  <c r="F18" i="5"/>
  <c r="F20" i="5" s="1"/>
  <c r="F22" i="5" s="1"/>
  <c r="F23" i="5" s="1"/>
  <c r="F28" i="5" s="1"/>
  <c r="L12" i="4"/>
  <c r="G12" i="4"/>
  <c r="C12" i="4"/>
  <c r="M8" i="70"/>
  <c r="M9" i="70" s="1"/>
  <c r="L8" i="102"/>
  <c r="G24" i="102"/>
  <c r="I21" i="70"/>
  <c r="D40" i="88"/>
  <c r="E40" i="88" s="1"/>
  <c r="G40" i="88"/>
  <c r="H40" i="88"/>
  <c r="G8" i="102"/>
  <c r="G10" i="102" s="1"/>
  <c r="I13" i="102"/>
  <c r="D39" i="88"/>
  <c r="E39" i="88" s="1"/>
  <c r="G39" i="88"/>
  <c r="H39" i="88"/>
  <c r="I39" i="88" s="1"/>
  <c r="O7" i="4"/>
  <c r="P3" i="88"/>
  <c r="N14" i="4"/>
  <c r="B14" i="2"/>
  <c r="O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H12" i="5"/>
  <c r="G7" i="4"/>
  <c r="G19" i="4" s="1"/>
  <c r="F14" i="5"/>
  <c r="G7" i="5"/>
  <c r="G19" i="5" s="1"/>
  <c r="L7" i="2"/>
  <c r="J14" i="5"/>
  <c r="L12" i="5"/>
  <c r="K12" i="2"/>
  <c r="R6" i="2"/>
  <c r="P7" i="88" s="1"/>
  <c r="D24" i="102"/>
  <c r="D26" i="102" s="1"/>
  <c r="F24" i="102"/>
  <c r="F30" i="102" s="1"/>
  <c r="Q4" i="2"/>
  <c r="N8" i="2"/>
  <c r="O5" i="2"/>
  <c r="O18" i="2" s="1"/>
  <c r="S19" i="70"/>
  <c r="S18" i="70" s="1"/>
  <c r="F10" i="70"/>
  <c r="F14" i="70"/>
  <c r="O7" i="3"/>
  <c r="O9" i="3" s="1"/>
  <c r="K14" i="3"/>
  <c r="F8" i="2"/>
  <c r="G7" i="3"/>
  <c r="F5" i="1"/>
  <c r="F9" i="1" s="1"/>
  <c r="F17" i="3"/>
  <c r="C7" i="3"/>
  <c r="F9" i="3"/>
  <c r="F19" i="3"/>
  <c r="I4" i="2"/>
  <c r="G14" i="3"/>
  <c r="G30" i="3" s="1"/>
  <c r="O14" i="3"/>
  <c r="O30" i="3" s="1"/>
  <c r="F8" i="5"/>
  <c r="I4" i="5"/>
  <c r="E21" i="70"/>
  <c r="Q21" i="70"/>
  <c r="Q18" i="70" s="1"/>
  <c r="H27" i="70"/>
  <c r="J8" i="102"/>
  <c r="J27" i="70"/>
  <c r="T6" i="70"/>
  <c r="V7" i="70" s="1"/>
  <c r="S6" i="70"/>
  <c r="S5" i="70" s="1"/>
  <c r="F8" i="4"/>
  <c r="I4" i="1"/>
  <c r="K16" i="103"/>
  <c r="K17" i="103"/>
  <c r="K29" i="103"/>
  <c r="K31" i="103" s="1"/>
  <c r="K33" i="103" s="1"/>
  <c r="K34" i="103" s="1"/>
  <c r="K39" i="103" s="1"/>
  <c r="G5" i="6"/>
  <c r="H5" i="6" s="1"/>
  <c r="F18" i="6"/>
  <c r="F9" i="6"/>
  <c r="F8" i="6"/>
  <c r="I4" i="4"/>
  <c r="N12" i="3"/>
  <c r="C7" i="6"/>
  <c r="D7" i="6" s="1"/>
  <c r="B30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N5" i="6"/>
  <c r="N18" i="6" s="1"/>
  <c r="H12" i="6"/>
  <c r="H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F10" i="6"/>
  <c r="Q4" i="3"/>
  <c r="H12" i="2"/>
  <c r="J9" i="5"/>
  <c r="Q4" i="5"/>
  <c r="L23" i="70"/>
  <c r="J14" i="2"/>
  <c r="O7" i="2"/>
  <c r="O19" i="2" s="1"/>
  <c r="J19" i="3"/>
  <c r="K7" i="3"/>
  <c r="K24" i="3" s="1"/>
  <c r="J9" i="3"/>
  <c r="J10" i="3"/>
  <c r="J23" i="70"/>
  <c r="J24" i="102"/>
  <c r="H10" i="70"/>
  <c r="H8" i="102"/>
  <c r="P8" i="102"/>
  <c r="O8" i="102"/>
  <c r="F23" i="70"/>
  <c r="N8" i="102"/>
  <c r="P23" i="70"/>
  <c r="P24" i="102"/>
  <c r="P26" i="102" s="1"/>
  <c r="G23" i="70"/>
  <c r="G26" i="102"/>
  <c r="F8" i="102"/>
  <c r="K23" i="70"/>
  <c r="O23" i="70"/>
  <c r="O24" i="102"/>
  <c r="H23" i="70"/>
  <c r="H24" i="102"/>
  <c r="H26" i="102" s="1"/>
  <c r="K27" i="70"/>
  <c r="K8" i="102"/>
  <c r="N23" i="3"/>
  <c r="N25" i="3" s="1"/>
  <c r="N27" i="3" s="1"/>
  <c r="N28" i="3" s="1"/>
  <c r="O23" i="3"/>
  <c r="B13" i="70"/>
  <c r="B14" i="70" s="1"/>
  <c r="N8" i="3"/>
  <c r="N9" i="5"/>
  <c r="N10" i="5"/>
  <c r="O5" i="5"/>
  <c r="N8" i="5"/>
  <c r="E29" i="102"/>
  <c r="I29" i="102"/>
  <c r="C7" i="70"/>
  <c r="M29" i="102"/>
  <c r="N8" i="6"/>
  <c r="E22" i="102"/>
  <c r="B23" i="102"/>
  <c r="C23" i="102" s="1"/>
  <c r="D23" i="102" s="1"/>
  <c r="F23" i="102" s="1"/>
  <c r="G23" i="102" s="1"/>
  <c r="R22" i="102"/>
  <c r="R21" i="102" s="1"/>
  <c r="E6" i="102"/>
  <c r="B7" i="102"/>
  <c r="C7" i="102" s="1"/>
  <c r="R6" i="102"/>
  <c r="R5" i="102" s="1"/>
  <c r="D23" i="70"/>
  <c r="D10" i="70"/>
  <c r="D8" i="102"/>
  <c r="C23" i="70"/>
  <c r="C8" i="102"/>
  <c r="C26" i="102"/>
  <c r="N10" i="3"/>
  <c r="N9" i="3"/>
  <c r="N19" i="3"/>
  <c r="N9" i="2"/>
  <c r="B10" i="70"/>
  <c r="B8" i="102"/>
  <c r="B22" i="70"/>
  <c r="B24" i="102"/>
  <c r="C30" i="102" s="1"/>
  <c r="M14" i="1"/>
  <c r="B9" i="70"/>
  <c r="R11" i="4"/>
  <c r="P18" i="88" s="1"/>
  <c r="R11" i="2"/>
  <c r="P17" i="88" s="1"/>
  <c r="G14" i="2"/>
  <c r="O14" i="1"/>
  <c r="R11" i="5"/>
  <c r="N14" i="1"/>
  <c r="O14" i="5"/>
  <c r="R6" i="3"/>
  <c r="P5" i="88" s="1"/>
  <c r="R5" i="88" s="1"/>
  <c r="K7" i="5"/>
  <c r="K19" i="5" s="1"/>
  <c r="C12" i="5"/>
  <c r="P12" i="5"/>
  <c r="P7" i="5"/>
  <c r="L7" i="4"/>
  <c r="M21" i="70"/>
  <c r="K14" i="4"/>
  <c r="N10" i="2"/>
  <c r="N14" i="2"/>
  <c r="N27" i="70"/>
  <c r="R13" i="3"/>
  <c r="P15" i="88" s="1"/>
  <c r="R15" i="88" s="1"/>
  <c r="I4" i="6"/>
  <c r="F27" i="70"/>
  <c r="O27" i="70"/>
  <c r="R6" i="5"/>
  <c r="P9" i="88" s="1"/>
  <c r="P12" i="6"/>
  <c r="D7" i="4"/>
  <c r="C7" i="2"/>
  <c r="C19" i="2" s="1"/>
  <c r="F14" i="4"/>
  <c r="B14" i="4"/>
  <c r="D7" i="5"/>
  <c r="B30" i="5" s="1"/>
  <c r="R6" i="4"/>
  <c r="P8" i="88" s="1"/>
  <c r="D12" i="2"/>
  <c r="R11" i="6"/>
  <c r="P13" i="88" s="1"/>
  <c r="D27" i="70"/>
  <c r="C7" i="1"/>
  <c r="B19" i="3"/>
  <c r="B14" i="5"/>
  <c r="B23" i="70"/>
  <c r="B27" i="70"/>
  <c r="C14" i="3"/>
  <c r="C30" i="3" s="1"/>
  <c r="H7" i="1"/>
  <c r="H14" i="1" s="1"/>
  <c r="G14" i="1"/>
  <c r="K14" i="1"/>
  <c r="L7" i="1"/>
  <c r="L14" i="1" s="1"/>
  <c r="G7" i="6"/>
  <c r="F19" i="6"/>
  <c r="F14" i="6"/>
  <c r="C27" i="70"/>
  <c r="N23" i="70"/>
  <c r="J30" i="6"/>
  <c r="L19" i="6"/>
  <c r="J14" i="6"/>
  <c r="K12" i="6"/>
  <c r="K14" i="6" s="1"/>
  <c r="N19" i="6"/>
  <c r="N14" i="6"/>
  <c r="L27" i="70"/>
  <c r="G27" i="70"/>
  <c r="O7" i="6"/>
  <c r="R21" i="70"/>
  <c r="K19" i="6"/>
  <c r="G10" i="70"/>
  <c r="C12" i="6"/>
  <c r="B14" i="6"/>
  <c r="J10" i="5"/>
  <c r="K5" i="5"/>
  <c r="K18" i="5" s="1"/>
  <c r="J40" i="3"/>
  <c r="M9" i="1"/>
  <c r="K23" i="3"/>
  <c r="F10" i="4"/>
  <c r="G5" i="4"/>
  <c r="G18" i="4" s="1"/>
  <c r="F9" i="4"/>
  <c r="G13" i="70"/>
  <c r="H13" i="70" s="1"/>
  <c r="H14" i="70" s="1"/>
  <c r="F10" i="5"/>
  <c r="F9" i="5"/>
  <c r="M10" i="1"/>
  <c r="J10" i="4"/>
  <c r="J9" i="4"/>
  <c r="J9" i="6"/>
  <c r="J18" i="6"/>
  <c r="J20" i="6" s="1"/>
  <c r="J22" i="6" s="1"/>
  <c r="J23" i="6" s="1"/>
  <c r="J28" i="6" s="1"/>
  <c r="J10" i="6"/>
  <c r="K5" i="6"/>
  <c r="J17" i="3"/>
  <c r="K12" i="3"/>
  <c r="K29" i="3" s="1"/>
  <c r="J16" i="3"/>
  <c r="N10" i="4"/>
  <c r="N9" i="4"/>
  <c r="O5" i="4"/>
  <c r="O18" i="4" s="1"/>
  <c r="C12" i="3"/>
  <c r="C29" i="3" s="1"/>
  <c r="B17" i="3"/>
  <c r="B16" i="3"/>
  <c r="D20" i="70"/>
  <c r="K10" i="1"/>
  <c r="K9" i="1"/>
  <c r="J10" i="1"/>
  <c r="J9" i="1"/>
  <c r="F9" i="2"/>
  <c r="F10" i="2"/>
  <c r="K10" i="2"/>
  <c r="K9" i="2"/>
  <c r="J10" i="2"/>
  <c r="J9" i="2"/>
  <c r="G5" i="2"/>
  <c r="G18" i="2" s="1"/>
  <c r="G20" i="2" s="1"/>
  <c r="G22" i="2" s="1"/>
  <c r="G23" i="2" s="1"/>
  <c r="G28" i="2" s="1"/>
  <c r="O5" i="1"/>
  <c r="N9" i="1"/>
  <c r="N10" i="1"/>
  <c r="I40" i="88" l="1"/>
  <c r="J40" i="88"/>
  <c r="R18" i="70"/>
  <c r="T20" i="70"/>
  <c r="W26" i="70"/>
  <c r="T8" i="70"/>
  <c r="R5" i="70"/>
  <c r="S8" i="70"/>
  <c r="T3" i="70"/>
  <c r="K14" i="70"/>
  <c r="J14" i="70"/>
  <c r="K20" i="5"/>
  <c r="K22" i="5" s="1"/>
  <c r="K23" i="5" s="1"/>
  <c r="K28" i="5" s="1"/>
  <c r="D7" i="70"/>
  <c r="G20" i="5"/>
  <c r="G22" i="5" s="1"/>
  <c r="G23" i="5" s="1"/>
  <c r="G28" i="5" s="1"/>
  <c r="G20" i="4"/>
  <c r="G22" i="4" s="1"/>
  <c r="G23" i="4" s="1"/>
  <c r="G28" i="4" s="1"/>
  <c r="D19" i="5"/>
  <c r="P19" i="5"/>
  <c r="N30" i="5"/>
  <c r="H5" i="5"/>
  <c r="F29" i="5" s="1"/>
  <c r="J30" i="4"/>
  <c r="L19" i="4"/>
  <c r="D19" i="4"/>
  <c r="B30" i="4"/>
  <c r="P7" i="4"/>
  <c r="O19" i="4"/>
  <c r="O20" i="4" s="1"/>
  <c r="O22" i="4" s="1"/>
  <c r="O23" i="4" s="1"/>
  <c r="O28" i="4" s="1"/>
  <c r="K9" i="4"/>
  <c r="K10" i="4"/>
  <c r="L5" i="4"/>
  <c r="L18" i="4" s="1"/>
  <c r="F30" i="2"/>
  <c r="H19" i="2"/>
  <c r="O20" i="2"/>
  <c r="O22" i="2" s="1"/>
  <c r="O23" i="2" s="1"/>
  <c r="O28" i="2" s="1"/>
  <c r="J30" i="2"/>
  <c r="L19" i="2"/>
  <c r="O10" i="5"/>
  <c r="O18" i="5"/>
  <c r="O20" i="5" s="1"/>
  <c r="O22" i="5" s="1"/>
  <c r="O23" i="5" s="1"/>
  <c r="O28" i="5" s="1"/>
  <c r="J29" i="4"/>
  <c r="J31" i="4" s="1"/>
  <c r="J33" i="4" s="1"/>
  <c r="J34" i="4" s="1"/>
  <c r="L5" i="2"/>
  <c r="K18" i="2"/>
  <c r="K20" i="2" s="1"/>
  <c r="K22" i="2" s="1"/>
  <c r="K23" i="2" s="1"/>
  <c r="K28" i="2" s="1"/>
  <c r="H18" i="5"/>
  <c r="H12" i="4"/>
  <c r="D12" i="4"/>
  <c r="P19" i="88"/>
  <c r="I5" i="70"/>
  <c r="O14" i="4"/>
  <c r="F7" i="8"/>
  <c r="E5" i="70"/>
  <c r="T5" i="70"/>
  <c r="M5" i="70"/>
  <c r="B8" i="8"/>
  <c r="B24" i="70"/>
  <c r="B18" i="70"/>
  <c r="G24" i="3"/>
  <c r="G19" i="3"/>
  <c r="G9" i="5"/>
  <c r="J8" i="8"/>
  <c r="F39" i="3"/>
  <c r="J9" i="8" s="1"/>
  <c r="F14" i="102"/>
  <c r="L12" i="2"/>
  <c r="B6" i="8"/>
  <c r="P12" i="2"/>
  <c r="O9" i="2"/>
  <c r="O10" i="2"/>
  <c r="O14" i="2"/>
  <c r="J6" i="8"/>
  <c r="G31" i="3"/>
  <c r="G33" i="3" s="1"/>
  <c r="G34" i="3" s="1"/>
  <c r="G7" i="8"/>
  <c r="F6" i="8"/>
  <c r="J39" i="3"/>
  <c r="F9" i="8" s="1"/>
  <c r="K14" i="2"/>
  <c r="B11" i="70"/>
  <c r="B5" i="70"/>
  <c r="C9" i="70"/>
  <c r="N10" i="6"/>
  <c r="N16" i="3"/>
  <c r="N29" i="3"/>
  <c r="N31" i="3" s="1"/>
  <c r="N33" i="3" s="1"/>
  <c r="N34" i="3" s="1"/>
  <c r="N39" i="3" s="1"/>
  <c r="B9" i="8" s="1"/>
  <c r="J7" i="8"/>
  <c r="B7" i="8"/>
  <c r="G14" i="4"/>
  <c r="F8" i="8"/>
  <c r="C31" i="3"/>
  <c r="C33" i="3" s="1"/>
  <c r="C34" i="3" s="1"/>
  <c r="K25" i="3"/>
  <c r="K27" i="3" s="1"/>
  <c r="K28" i="3" s="1"/>
  <c r="C14" i="4"/>
  <c r="D7" i="3"/>
  <c r="C24" i="3"/>
  <c r="H7" i="5"/>
  <c r="G14" i="5"/>
  <c r="G10" i="5"/>
  <c r="H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5" i="102"/>
  <c r="Q8" i="102"/>
  <c r="Q5" i="102" s="1"/>
  <c r="O26" i="102"/>
  <c r="Q24" i="102"/>
  <c r="Q21" i="102" s="1"/>
  <c r="P5" i="2"/>
  <c r="H23" i="102"/>
  <c r="J23" i="102" s="1"/>
  <c r="K23" i="102" s="1"/>
  <c r="L23" i="102" s="1"/>
  <c r="N23" i="102" s="1"/>
  <c r="O23" i="102" s="1"/>
  <c r="P23" i="102" s="1"/>
  <c r="K16" i="3"/>
  <c r="P14" i="3"/>
  <c r="P30" i="3" s="1"/>
  <c r="F10" i="1"/>
  <c r="J26" i="102"/>
  <c r="M24" i="102"/>
  <c r="M21" i="102" s="1"/>
  <c r="J10" i="102"/>
  <c r="M8" i="102"/>
  <c r="M5" i="102" s="1"/>
  <c r="G17" i="3"/>
  <c r="H14" i="3"/>
  <c r="H30" i="3" s="1"/>
  <c r="C19" i="3"/>
  <c r="I8" i="102"/>
  <c r="I5" i="102" s="1"/>
  <c r="H7" i="3"/>
  <c r="G5" i="1"/>
  <c r="G10" i="1" s="1"/>
  <c r="O19" i="3"/>
  <c r="H23" i="3"/>
  <c r="F40" i="3"/>
  <c r="F20" i="6"/>
  <c r="F22" i="6" s="1"/>
  <c r="F23" i="6" s="1"/>
  <c r="F28" i="6" s="1"/>
  <c r="B14" i="102"/>
  <c r="B35" i="102"/>
  <c r="J14" i="102"/>
  <c r="K14" i="102"/>
  <c r="H12" i="3"/>
  <c r="H29" i="3" s="1"/>
  <c r="G10" i="3"/>
  <c r="C19" i="6"/>
  <c r="G10" i="6"/>
  <c r="G18" i="6"/>
  <c r="N17" i="3"/>
  <c r="O12" i="3"/>
  <c r="O29" i="3" s="1"/>
  <c r="O31" i="3" s="1"/>
  <c r="O33" i="3" s="1"/>
  <c r="O34" i="3" s="1"/>
  <c r="D19" i="6"/>
  <c r="P7" i="2"/>
  <c r="N9" i="6"/>
  <c r="R11" i="3"/>
  <c r="R12" i="3" s="1"/>
  <c r="G23" i="3"/>
  <c r="G16" i="3"/>
  <c r="O5" i="6"/>
  <c r="O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C32" i="70"/>
  <c r="H14" i="2"/>
  <c r="D12" i="5"/>
  <c r="C14" i="5"/>
  <c r="G35" i="102"/>
  <c r="L7" i="3"/>
  <c r="L24" i="3" s="1"/>
  <c r="K9" i="3"/>
  <c r="K19" i="3"/>
  <c r="K10" i="3"/>
  <c r="G14" i="102"/>
  <c r="B25" i="70"/>
  <c r="L14" i="102"/>
  <c r="K30" i="102"/>
  <c r="J35" i="102"/>
  <c r="B30" i="102"/>
  <c r="L30" i="102"/>
  <c r="O35" i="102"/>
  <c r="O10" i="102"/>
  <c r="H30" i="102"/>
  <c r="K35" i="102"/>
  <c r="K10" i="102"/>
  <c r="F35" i="102"/>
  <c r="F10" i="102"/>
  <c r="I24" i="102"/>
  <c r="I21" i="102" s="1"/>
  <c r="F26" i="102"/>
  <c r="N35" i="102"/>
  <c r="N10" i="102"/>
  <c r="G30" i="102"/>
  <c r="H35" i="102"/>
  <c r="H10" i="102"/>
  <c r="J30" i="102"/>
  <c r="H14" i="102"/>
  <c r="P10" i="102"/>
  <c r="L35" i="102"/>
  <c r="L10" i="102"/>
  <c r="C13" i="70"/>
  <c r="C14" i="70" s="1"/>
  <c r="O9" i="5"/>
  <c r="P5" i="5"/>
  <c r="D30" i="102"/>
  <c r="D10" i="102"/>
  <c r="D35" i="102"/>
  <c r="D14" i="102"/>
  <c r="C14" i="102"/>
  <c r="C35" i="102"/>
  <c r="C10" i="102"/>
  <c r="B12" i="70"/>
  <c r="N20" i="6"/>
  <c r="B33" i="70"/>
  <c r="B34" i="70" s="1"/>
  <c r="B36" i="70" s="1"/>
  <c r="B37" i="70" s="1"/>
  <c r="B10" i="102"/>
  <c r="R8" i="102"/>
  <c r="R9" i="102" s="1"/>
  <c r="B9" i="102"/>
  <c r="B16" i="102" s="1"/>
  <c r="E8" i="102"/>
  <c r="E5" i="102" s="1"/>
  <c r="C22" i="70"/>
  <c r="B25" i="102"/>
  <c r="B21" i="102" s="1"/>
  <c r="E24" i="102"/>
  <c r="E21" i="102" s="1"/>
  <c r="B26" i="102"/>
  <c r="R24" i="102"/>
  <c r="R25" i="102" s="1"/>
  <c r="B28" i="70"/>
  <c r="L9" i="1"/>
  <c r="L14" i="4"/>
  <c r="L5" i="5"/>
  <c r="O10" i="3"/>
  <c r="P14" i="5"/>
  <c r="L7" i="5"/>
  <c r="K14" i="5"/>
  <c r="F4" i="8"/>
  <c r="P14" i="4"/>
  <c r="G9" i="6"/>
  <c r="C14" i="1"/>
  <c r="D7" i="1"/>
  <c r="D14" i="1" s="1"/>
  <c r="D7" i="2"/>
  <c r="C14" i="2"/>
  <c r="D14" i="3"/>
  <c r="D30" i="3" s="1"/>
  <c r="L10" i="1"/>
  <c r="D12" i="6"/>
  <c r="C14" i="6"/>
  <c r="P7" i="6"/>
  <c r="O14" i="6"/>
  <c r="O19" i="6"/>
  <c r="G14" i="6"/>
  <c r="H7" i="6"/>
  <c r="H9" i="6" s="1"/>
  <c r="G19" i="6"/>
  <c r="L12" i="6"/>
  <c r="K10" i="5"/>
  <c r="K9" i="5"/>
  <c r="L23" i="3"/>
  <c r="G14" i="70"/>
  <c r="H5" i="4"/>
  <c r="G9" i="4"/>
  <c r="G10" i="4"/>
  <c r="K10" i="6"/>
  <c r="K18" i="6"/>
  <c r="K20" i="6" s="1"/>
  <c r="K22" i="6" s="1"/>
  <c r="K23" i="6" s="1"/>
  <c r="K28" i="6" s="1"/>
  <c r="L5" i="6"/>
  <c r="K9" i="6"/>
  <c r="L10" i="4"/>
  <c r="L9" i="4"/>
  <c r="L9" i="2"/>
  <c r="L10" i="2"/>
  <c r="D12" i="3"/>
  <c r="D29" i="3" s="1"/>
  <c r="C17" i="3"/>
  <c r="C16" i="3"/>
  <c r="F29" i="6"/>
  <c r="H18" i="6"/>
  <c r="F7" i="70"/>
  <c r="D32" i="70"/>
  <c r="O9" i="4"/>
  <c r="O10" i="4"/>
  <c r="P5" i="4"/>
  <c r="K17" i="3"/>
  <c r="L12" i="3"/>
  <c r="L29" i="3" s="1"/>
  <c r="H5" i="2"/>
  <c r="G10" i="2"/>
  <c r="G9" i="2"/>
  <c r="F20" i="70"/>
  <c r="G20" i="70" s="1"/>
  <c r="O10" i="1"/>
  <c r="O9" i="1"/>
  <c r="H4" i="70"/>
  <c r="D7" i="102" l="1"/>
  <c r="F7" i="102" s="1"/>
  <c r="G7" i="102" s="1"/>
  <c r="H7" i="102" s="1"/>
  <c r="J7" i="102" s="1"/>
  <c r="K7" i="102" s="1"/>
  <c r="L7" i="102" s="1"/>
  <c r="N7" i="102" s="1"/>
  <c r="O7" i="102" s="1"/>
  <c r="P7" i="102" s="1"/>
  <c r="Q9" i="102" s="1"/>
  <c r="E10" i="70"/>
  <c r="E11" i="70" s="1"/>
  <c r="K39" i="3"/>
  <c r="G9" i="8" s="1"/>
  <c r="L20" i="4"/>
  <c r="L22" i="4" s="1"/>
  <c r="L23" i="4" s="1"/>
  <c r="L28" i="4" s="1"/>
  <c r="F30" i="5"/>
  <c r="F31" i="5" s="1"/>
  <c r="F33" i="5" s="1"/>
  <c r="F34" i="5" s="1"/>
  <c r="J17" i="8" s="1"/>
  <c r="H19" i="5"/>
  <c r="H20" i="5" s="1"/>
  <c r="H22" i="5" s="1"/>
  <c r="H23" i="5" s="1"/>
  <c r="H28" i="5" s="1"/>
  <c r="L8" i="8" s="1"/>
  <c r="J30" i="5"/>
  <c r="L19" i="5"/>
  <c r="F30" i="4"/>
  <c r="H19" i="4"/>
  <c r="N30" i="4"/>
  <c r="P19" i="4"/>
  <c r="D19" i="2"/>
  <c r="B30" i="2"/>
  <c r="B31" i="2" s="1"/>
  <c r="N30" i="2"/>
  <c r="P19" i="2"/>
  <c r="P18" i="5"/>
  <c r="P20" i="5" s="1"/>
  <c r="P22" i="5" s="1"/>
  <c r="P23" i="5" s="1"/>
  <c r="P28" i="5" s="1"/>
  <c r="N29" i="5"/>
  <c r="N31" i="5" s="1"/>
  <c r="N33" i="5" s="1"/>
  <c r="N34" i="5" s="1"/>
  <c r="N22" i="6"/>
  <c r="N23" i="6" s="1"/>
  <c r="N28" i="6" s="1"/>
  <c r="B4" i="8" s="1"/>
  <c r="P18" i="4"/>
  <c r="P20" i="4" s="1"/>
  <c r="P22" i="4" s="1"/>
  <c r="P23" i="4" s="1"/>
  <c r="P28" i="4" s="1"/>
  <c r="N29" i="4"/>
  <c r="P18" i="2"/>
  <c r="N29" i="2"/>
  <c r="L18" i="5"/>
  <c r="L20" i="5" s="1"/>
  <c r="L22" i="5" s="1"/>
  <c r="L23" i="5" s="1"/>
  <c r="L28" i="5" s="1"/>
  <c r="J29" i="5"/>
  <c r="J29" i="2"/>
  <c r="J31" i="2" s="1"/>
  <c r="J33" i="2" s="1"/>
  <c r="J34" i="2" s="1"/>
  <c r="F15" i="8" s="1"/>
  <c r="L18" i="2"/>
  <c r="L20" i="2" s="1"/>
  <c r="L22" i="2" s="1"/>
  <c r="L23" i="2" s="1"/>
  <c r="L28" i="2" s="1"/>
  <c r="H6" i="8" s="1"/>
  <c r="F29" i="4"/>
  <c r="H18" i="4"/>
  <c r="F29" i="2"/>
  <c r="F31" i="2" s="1"/>
  <c r="F33" i="2" s="1"/>
  <c r="F34" i="2" s="1"/>
  <c r="H18" i="2"/>
  <c r="H20" i="2" s="1"/>
  <c r="H22" i="2" s="1"/>
  <c r="H23" i="2" s="1"/>
  <c r="H28" i="2" s="1"/>
  <c r="C7" i="8"/>
  <c r="C6" i="8"/>
  <c r="D22" i="70"/>
  <c r="C18" i="70"/>
  <c r="G25" i="3"/>
  <c r="G27" i="3" s="1"/>
  <c r="G28" i="3" s="1"/>
  <c r="G39" i="3" s="1"/>
  <c r="K9" i="8" s="1"/>
  <c r="H9" i="5"/>
  <c r="K8" i="8"/>
  <c r="L14" i="2"/>
  <c r="G6" i="8"/>
  <c r="P9" i="2"/>
  <c r="P10" i="2"/>
  <c r="P14" i="2"/>
  <c r="G8" i="8"/>
  <c r="F44" i="103"/>
  <c r="F45" i="103" s="1"/>
  <c r="J19" i="8" s="1"/>
  <c r="C12" i="70"/>
  <c r="C5" i="70"/>
  <c r="O39" i="3"/>
  <c r="C9" i="8" s="1"/>
  <c r="H31" i="3"/>
  <c r="H33" i="3" s="1"/>
  <c r="H34" i="3" s="1"/>
  <c r="K6" i="8"/>
  <c r="H14" i="5"/>
  <c r="H10" i="5"/>
  <c r="C8" i="8"/>
  <c r="F16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B19" i="8" s="1"/>
  <c r="D14" i="4"/>
  <c r="B41" i="3"/>
  <c r="D24" i="3"/>
  <c r="F41" i="3"/>
  <c r="F42" i="3" s="1"/>
  <c r="H24" i="3"/>
  <c r="H25" i="3" s="1"/>
  <c r="H27" i="3" s="1"/>
  <c r="H28" i="3" s="1"/>
  <c r="H14" i="4"/>
  <c r="B5" i="102"/>
  <c r="H5" i="1"/>
  <c r="H10" i="1" s="1"/>
  <c r="G9" i="1"/>
  <c r="B38" i="70"/>
  <c r="B5" i="8" s="1"/>
  <c r="P12" i="3"/>
  <c r="P16" i="3" s="1"/>
  <c r="C11" i="70"/>
  <c r="C25" i="70"/>
  <c r="J4" i="8"/>
  <c r="H16" i="3"/>
  <c r="H10" i="3"/>
  <c r="H19" i="3"/>
  <c r="H9" i="3"/>
  <c r="N40" i="3"/>
  <c r="P10" i="3"/>
  <c r="C9" i="102"/>
  <c r="C5" i="102" s="1"/>
  <c r="P9" i="5"/>
  <c r="H17" i="3"/>
  <c r="N41" i="3"/>
  <c r="J41" i="3"/>
  <c r="J42" i="3" s="1"/>
  <c r="G20" i="6"/>
  <c r="G22" i="6" s="1"/>
  <c r="G23" i="6" s="1"/>
  <c r="G28" i="6" s="1"/>
  <c r="L19" i="3"/>
  <c r="D14" i="5"/>
  <c r="U19" i="70"/>
  <c r="U18" i="70" s="1"/>
  <c r="O10" i="6"/>
  <c r="U6" i="70"/>
  <c r="U5" i="70" s="1"/>
  <c r="J39" i="88"/>
  <c r="O17" i="3"/>
  <c r="O9" i="6"/>
  <c r="P5" i="6"/>
  <c r="N29" i="6" s="1"/>
  <c r="O16" i="3"/>
  <c r="K7" i="8"/>
  <c r="P23" i="3"/>
  <c r="P25" i="3" s="1"/>
  <c r="P27" i="3" s="1"/>
  <c r="P28" i="3" s="1"/>
  <c r="G39" i="103"/>
  <c r="K10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10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L9" i="5"/>
  <c r="L10" i="3"/>
  <c r="D13" i="70"/>
  <c r="D14" i="70" s="1"/>
  <c r="L9" i="3"/>
  <c r="P10" i="5"/>
  <c r="O20" i="6"/>
  <c r="C24" i="70"/>
  <c r="C28" i="70"/>
  <c r="P9" i="3"/>
  <c r="D9" i="70"/>
  <c r="Y11" i="70" s="1"/>
  <c r="P19" i="3"/>
  <c r="C33" i="70"/>
  <c r="C34" i="70" s="1"/>
  <c r="C36" i="70" s="1"/>
  <c r="C37" i="70" s="1"/>
  <c r="C38" i="70" s="1"/>
  <c r="C5" i="8" s="1"/>
  <c r="B33" i="102"/>
  <c r="B32" i="102"/>
  <c r="B31" i="102"/>
  <c r="B27" i="102"/>
  <c r="C25" i="102"/>
  <c r="C21" i="102" s="1"/>
  <c r="B28" i="102"/>
  <c r="B17" i="102"/>
  <c r="B12" i="102"/>
  <c r="B15" i="102"/>
  <c r="B36" i="102"/>
  <c r="B11" i="102"/>
  <c r="L14" i="5"/>
  <c r="L10" i="5"/>
  <c r="D14" i="2"/>
  <c r="H10" i="6"/>
  <c r="G4" i="8"/>
  <c r="D19" i="3"/>
  <c r="L14" i="6"/>
  <c r="H14" i="6"/>
  <c r="F30" i="6"/>
  <c r="F31" i="6" s="1"/>
  <c r="F33" i="6" s="1"/>
  <c r="H19" i="6"/>
  <c r="H20" i="6" s="1"/>
  <c r="H22" i="6" s="1"/>
  <c r="H23" i="6" s="1"/>
  <c r="H28" i="6" s="1"/>
  <c r="D14" i="6"/>
  <c r="N30" i="6"/>
  <c r="P19" i="6"/>
  <c r="P14" i="6"/>
  <c r="H10" i="4"/>
  <c r="H9" i="4"/>
  <c r="L9" i="6"/>
  <c r="L10" i="6"/>
  <c r="J29" i="6"/>
  <c r="J31" i="6" s="1"/>
  <c r="J33" i="6" s="1"/>
  <c r="L18" i="6"/>
  <c r="L20" i="6" s="1"/>
  <c r="L22" i="6" s="1"/>
  <c r="L23" i="6" s="1"/>
  <c r="L28" i="6" s="1"/>
  <c r="H10" i="2"/>
  <c r="H9" i="2"/>
  <c r="F32" i="70"/>
  <c r="G7" i="70"/>
  <c r="P9" i="4"/>
  <c r="P10" i="4"/>
  <c r="L17" i="3"/>
  <c r="L16" i="3"/>
  <c r="D16" i="3"/>
  <c r="D17" i="3"/>
  <c r="J4" i="70"/>
  <c r="Z12" i="70" l="1"/>
  <c r="Z11" i="70"/>
  <c r="H20" i="4"/>
  <c r="H22" i="4" s="1"/>
  <c r="H23" i="4" s="1"/>
  <c r="H28" i="4" s="1"/>
  <c r="N31" i="2"/>
  <c r="N33" i="2" s="1"/>
  <c r="N34" i="2" s="1"/>
  <c r="F31" i="4"/>
  <c r="F33" i="4" s="1"/>
  <c r="F34" i="4" s="1"/>
  <c r="J16" i="8" s="1"/>
  <c r="J31" i="5"/>
  <c r="J33" i="5" s="1"/>
  <c r="J34" i="5" s="1"/>
  <c r="F17" i="8" s="1"/>
  <c r="N31" i="4"/>
  <c r="N33" i="4" s="1"/>
  <c r="N34" i="4" s="1"/>
  <c r="B16" i="8" s="1"/>
  <c r="P20" i="2"/>
  <c r="P22" i="2" s="1"/>
  <c r="P23" i="2" s="1"/>
  <c r="P28" i="2" s="1"/>
  <c r="D6" i="8" s="1"/>
  <c r="O22" i="6"/>
  <c r="O23" i="6" s="1"/>
  <c r="O28" i="6" s="1"/>
  <c r="C4" i="8" s="1"/>
  <c r="K4" i="8"/>
  <c r="F22" i="70"/>
  <c r="D18" i="70"/>
  <c r="L6" i="8"/>
  <c r="H9" i="1"/>
  <c r="H39" i="3"/>
  <c r="L9" i="8" s="1"/>
  <c r="D11" i="70"/>
  <c r="D5" i="70"/>
  <c r="N31" i="6"/>
  <c r="F44" i="3"/>
  <c r="F45" i="3" s="1"/>
  <c r="J18" i="8" s="1"/>
  <c r="P17" i="3"/>
  <c r="P29" i="3"/>
  <c r="P31" i="3" s="1"/>
  <c r="P33" i="3" s="1"/>
  <c r="P34" i="3" s="1"/>
  <c r="P39" i="3" s="1"/>
  <c r="L39" i="3"/>
  <c r="H9" i="8" s="1"/>
  <c r="L7" i="8"/>
  <c r="H8" i="8"/>
  <c r="J44" i="3"/>
  <c r="J45" i="3" s="1"/>
  <c r="F18" i="8" s="1"/>
  <c r="J34" i="6"/>
  <c r="F14" i="8" s="1"/>
  <c r="F34" i="6"/>
  <c r="J14" i="8" s="1"/>
  <c r="J15" i="8"/>
  <c r="B17" i="8"/>
  <c r="L4" i="8"/>
  <c r="N42" i="3"/>
  <c r="C15" i="102"/>
  <c r="C17" i="102"/>
  <c r="C16" i="102"/>
  <c r="P9" i="6"/>
  <c r="P18" i="6"/>
  <c r="P20" i="6" s="1"/>
  <c r="P10" i="6"/>
  <c r="H7" i="8"/>
  <c r="H39" i="103"/>
  <c r="L10" i="8" s="1"/>
  <c r="P29" i="103"/>
  <c r="P31" i="103" s="1"/>
  <c r="P33" i="103" s="1"/>
  <c r="P34" i="103" s="1"/>
  <c r="P39" i="103" s="1"/>
  <c r="P17" i="103"/>
  <c r="P16" i="103"/>
  <c r="D33" i="70"/>
  <c r="D34" i="70" s="1"/>
  <c r="D36" i="70" s="1"/>
  <c r="D37" i="70" s="1"/>
  <c r="D38" i="70" s="1"/>
  <c r="D5" i="8" s="1"/>
  <c r="F9" i="70"/>
  <c r="F12" i="70" s="1"/>
  <c r="D28" i="70"/>
  <c r="D12" i="70"/>
  <c r="D9" i="102"/>
  <c r="C36" i="102"/>
  <c r="C11" i="102"/>
  <c r="C12" i="102"/>
  <c r="C31" i="102"/>
  <c r="C33" i="102"/>
  <c r="C32" i="102"/>
  <c r="C27" i="102"/>
  <c r="D25" i="102"/>
  <c r="C28" i="102"/>
  <c r="D25" i="70"/>
  <c r="D24" i="70"/>
  <c r="D8" i="8"/>
  <c r="D7" i="8"/>
  <c r="H4" i="8"/>
  <c r="H20" i="70"/>
  <c r="G32" i="70"/>
  <c r="H7" i="70"/>
  <c r="K4" i="70"/>
  <c r="N33" i="6" l="1"/>
  <c r="N34" i="6" s="1"/>
  <c r="B14" i="8" s="1"/>
  <c r="P22" i="6"/>
  <c r="P23" i="6" s="1"/>
  <c r="P28" i="6" s="1"/>
  <c r="D4" i="8" s="1"/>
  <c r="F18" i="70"/>
  <c r="G22" i="70"/>
  <c r="I23" i="70" s="1"/>
  <c r="D5" i="102"/>
  <c r="F9" i="102"/>
  <c r="B15" i="8"/>
  <c r="F5" i="70"/>
  <c r="N44" i="3"/>
  <c r="N45" i="3" s="1"/>
  <c r="B18" i="8" s="1"/>
  <c r="F25" i="102"/>
  <c r="D21" i="102"/>
  <c r="D17" i="102"/>
  <c r="D16" i="102"/>
  <c r="D9" i="8"/>
  <c r="F28" i="70"/>
  <c r="F33" i="70"/>
  <c r="F34" i="70" s="1"/>
  <c r="F36" i="70" s="1"/>
  <c r="F37" i="70" s="1"/>
  <c r="F38" i="70" s="1"/>
  <c r="F5" i="8" s="1"/>
  <c r="F11" i="70"/>
  <c r="G9" i="70"/>
  <c r="D32" i="102"/>
  <c r="D31" i="102"/>
  <c r="D33" i="102"/>
  <c r="D28" i="102"/>
  <c r="D27" i="102"/>
  <c r="F25" i="70"/>
  <c r="F24" i="70"/>
  <c r="D15" i="102"/>
  <c r="D36" i="102"/>
  <c r="D12" i="102"/>
  <c r="D11" i="102"/>
  <c r="J20" i="70"/>
  <c r="H32" i="70"/>
  <c r="J7" i="70"/>
  <c r="L4" i="70"/>
  <c r="G24" i="70" l="1"/>
  <c r="G18" i="70"/>
  <c r="G11" i="70"/>
  <c r="G5" i="70"/>
  <c r="G25" i="102"/>
  <c r="F21" i="102"/>
  <c r="F16" i="102"/>
  <c r="F5" i="102"/>
  <c r="G12" i="70"/>
  <c r="H9" i="70"/>
  <c r="G33" i="70"/>
  <c r="G34" i="70" s="1"/>
  <c r="G36" i="70" s="1"/>
  <c r="G37" i="70" s="1"/>
  <c r="G38" i="70" s="1"/>
  <c r="G5" i="8" s="1"/>
  <c r="H22" i="70"/>
  <c r="G25" i="70"/>
  <c r="G28" i="70"/>
  <c r="F15" i="102"/>
  <c r="F17" i="102"/>
  <c r="F12" i="102"/>
  <c r="F11" i="102"/>
  <c r="F36" i="102"/>
  <c r="G9" i="102"/>
  <c r="F33" i="102"/>
  <c r="F32" i="102"/>
  <c r="F31" i="102"/>
  <c r="F28" i="102"/>
  <c r="F27" i="102"/>
  <c r="K20" i="70"/>
  <c r="K7" i="70"/>
  <c r="J32" i="70"/>
  <c r="N4" i="70"/>
  <c r="I11" i="70" l="1"/>
  <c r="J9" i="70"/>
  <c r="M11" i="70" s="1"/>
  <c r="H5" i="70"/>
  <c r="H18" i="70"/>
  <c r="I20" i="70"/>
  <c r="G5" i="102"/>
  <c r="G12" i="102"/>
  <c r="G21" i="102"/>
  <c r="G27" i="102"/>
  <c r="G32" i="102"/>
  <c r="H12" i="70"/>
  <c r="H28" i="70"/>
  <c r="H33" i="70"/>
  <c r="H34" i="70" s="1"/>
  <c r="H36" i="70" s="1"/>
  <c r="H37" i="70" s="1"/>
  <c r="H38" i="70" s="1"/>
  <c r="H5" i="8" s="1"/>
  <c r="H11" i="70"/>
  <c r="G33" i="102"/>
  <c r="G31" i="102"/>
  <c r="G28" i="102"/>
  <c r="H25" i="102"/>
  <c r="H21" i="102" s="1"/>
  <c r="G17" i="102"/>
  <c r="G16" i="102"/>
  <c r="G15" i="102"/>
  <c r="G36" i="102"/>
  <c r="H9" i="102"/>
  <c r="H16" i="102" s="1"/>
  <c r="G11" i="102"/>
  <c r="J22" i="70"/>
  <c r="J18" i="70" s="1"/>
  <c r="H24" i="70"/>
  <c r="H25" i="70"/>
  <c r="K32" i="70"/>
  <c r="L7" i="70"/>
  <c r="L20" i="70"/>
  <c r="O4" i="70"/>
  <c r="P4" i="70" s="1"/>
  <c r="J12" i="70" l="1"/>
  <c r="J11" i="70"/>
  <c r="K9" i="70"/>
  <c r="J5" i="70"/>
  <c r="H5" i="102"/>
  <c r="J33" i="70"/>
  <c r="J34" i="70" s="1"/>
  <c r="J36" i="70" s="1"/>
  <c r="J37" i="70" s="1"/>
  <c r="J38" i="70" s="1"/>
  <c r="J5" i="8" s="1"/>
  <c r="J28" i="70"/>
  <c r="K22" i="70"/>
  <c r="K18" i="70" s="1"/>
  <c r="J25" i="70"/>
  <c r="J24" i="70"/>
  <c r="H17" i="102"/>
  <c r="H15" i="102"/>
  <c r="H11" i="102"/>
  <c r="H12" i="102"/>
  <c r="J9" i="102"/>
  <c r="H36" i="102"/>
  <c r="H31" i="102"/>
  <c r="H33" i="102"/>
  <c r="H32" i="102"/>
  <c r="H27" i="102"/>
  <c r="J25" i="102"/>
  <c r="J21" i="102" s="1"/>
  <c r="H28" i="102"/>
  <c r="N20" i="70"/>
  <c r="N7" i="70"/>
  <c r="L32" i="70"/>
  <c r="L9" i="70" l="1"/>
  <c r="M10" i="70" s="1"/>
  <c r="K12" i="70"/>
  <c r="K11" i="70"/>
  <c r="J5" i="102"/>
  <c r="J12" i="102"/>
  <c r="K5" i="70"/>
  <c r="K28" i="70"/>
  <c r="K33" i="70"/>
  <c r="K34" i="70" s="1"/>
  <c r="K36" i="70" s="1"/>
  <c r="K37" i="70" s="1"/>
  <c r="J32" i="102"/>
  <c r="J31" i="102"/>
  <c r="J33" i="102"/>
  <c r="J27" i="102"/>
  <c r="K25" i="102"/>
  <c r="K21" i="102" s="1"/>
  <c r="J28" i="102"/>
  <c r="J15" i="102"/>
  <c r="J17" i="102"/>
  <c r="J16" i="102"/>
  <c r="J11" i="102"/>
  <c r="J36" i="102"/>
  <c r="K9" i="102"/>
  <c r="K5" i="102" s="1"/>
  <c r="L22" i="70"/>
  <c r="L18" i="70" s="1"/>
  <c r="K25" i="70"/>
  <c r="K24" i="70"/>
  <c r="O20" i="70"/>
  <c r="N32" i="70"/>
  <c r="O7" i="70"/>
  <c r="N9" i="70" l="1"/>
  <c r="L11" i="70"/>
  <c r="L12" i="70"/>
  <c r="L5" i="70"/>
  <c r="K38" i="70"/>
  <c r="K5" i="8" s="1"/>
  <c r="L28" i="70"/>
  <c r="L33" i="70"/>
  <c r="L34" i="70" s="1"/>
  <c r="L36" i="70" s="1"/>
  <c r="L37" i="70" s="1"/>
  <c r="L38" i="70" s="1"/>
  <c r="L5" i="8" s="1"/>
  <c r="K33" i="102"/>
  <c r="K32" i="102"/>
  <c r="K31" i="102"/>
  <c r="K28" i="102"/>
  <c r="L25" i="102"/>
  <c r="L21" i="102" s="1"/>
  <c r="K27" i="102"/>
  <c r="N22" i="70"/>
  <c r="N18" i="70" s="1"/>
  <c r="L25" i="70"/>
  <c r="L24" i="70"/>
  <c r="K16" i="102"/>
  <c r="K15" i="102"/>
  <c r="K17" i="102"/>
  <c r="K11" i="102"/>
  <c r="K36" i="102"/>
  <c r="L9" i="102"/>
  <c r="L5" i="102" s="1"/>
  <c r="K12" i="102"/>
  <c r="O32" i="70"/>
  <c r="P7" i="70"/>
  <c r="P20" i="70"/>
  <c r="O9" i="70" l="1"/>
  <c r="N12" i="70"/>
  <c r="N11" i="70"/>
  <c r="N5" i="70"/>
  <c r="N33" i="70"/>
  <c r="N34" i="70" s="1"/>
  <c r="N36" i="70" s="1"/>
  <c r="N37" i="70" s="1"/>
  <c r="N38" i="70" s="1"/>
  <c r="N5" i="8" s="1"/>
  <c r="N28" i="70"/>
  <c r="L17" i="102"/>
  <c r="L16" i="102"/>
  <c r="L15" i="102"/>
  <c r="L36" i="102"/>
  <c r="L12" i="102"/>
  <c r="N9" i="102"/>
  <c r="N12" i="102" s="1"/>
  <c r="L11" i="102"/>
  <c r="L33" i="102"/>
  <c r="L32" i="102"/>
  <c r="L31" i="102"/>
  <c r="L27" i="102"/>
  <c r="N25" i="102"/>
  <c r="N21" i="102" s="1"/>
  <c r="L28" i="102"/>
  <c r="O22" i="70"/>
  <c r="O18" i="70" s="1"/>
  <c r="N24" i="70"/>
  <c r="N25" i="70"/>
  <c r="P32" i="70"/>
  <c r="O11" i="70" l="1"/>
  <c r="P9" i="70"/>
  <c r="O12" i="70"/>
  <c r="N5" i="102"/>
  <c r="O5" i="70"/>
  <c r="O33" i="70"/>
  <c r="O34" i="70" s="1"/>
  <c r="O36" i="70" s="1"/>
  <c r="O37" i="70" s="1"/>
  <c r="O38" i="70" s="1"/>
  <c r="O5" i="8" s="1"/>
  <c r="O28" i="70"/>
  <c r="P22" i="70"/>
  <c r="O25" i="70"/>
  <c r="O24" i="70"/>
  <c r="N17" i="102"/>
  <c r="N16" i="102"/>
  <c r="N15" i="102"/>
  <c r="N11" i="102"/>
  <c r="O9" i="102"/>
  <c r="O5" i="102" s="1"/>
  <c r="N36" i="102"/>
  <c r="N31" i="102"/>
  <c r="N33" i="102"/>
  <c r="N32" i="102"/>
  <c r="N27" i="102"/>
  <c r="O25" i="102"/>
  <c r="O21" i="102" s="1"/>
  <c r="N28" i="102"/>
  <c r="Q9" i="70" l="1"/>
  <c r="Q10" i="70"/>
  <c r="P11" i="70"/>
  <c r="P12" i="70"/>
  <c r="P18" i="70"/>
  <c r="Q23" i="70"/>
  <c r="P5" i="70"/>
  <c r="P33" i="70"/>
  <c r="P34" i="70" s="1"/>
  <c r="P36" i="70" s="1"/>
  <c r="P37" i="70" s="1"/>
  <c r="P38" i="70" s="1"/>
  <c r="P5" i="8" s="1"/>
  <c r="O32" i="102"/>
  <c r="O31" i="102"/>
  <c r="O33" i="102"/>
  <c r="O27" i="102"/>
  <c r="P25" i="102"/>
  <c r="P21" i="102" s="1"/>
  <c r="O28" i="102"/>
  <c r="O15" i="102"/>
  <c r="O17" i="102"/>
  <c r="O16" i="102"/>
  <c r="O36" i="102"/>
  <c r="P9" i="102"/>
  <c r="Q10" i="102" s="1"/>
  <c r="O12" i="102"/>
  <c r="O11" i="102"/>
  <c r="P24" i="70"/>
  <c r="P25" i="70"/>
  <c r="P36" i="102" l="1"/>
  <c r="P16" i="102"/>
  <c r="P12" i="102"/>
  <c r="P5" i="102"/>
  <c r="Q11" i="102"/>
  <c r="P15" i="102"/>
  <c r="P17" i="102"/>
  <c r="P11" i="102"/>
  <c r="P33" i="102"/>
  <c r="P32" i="102"/>
  <c r="P31" i="102"/>
  <c r="P28" i="102"/>
  <c r="P27" i="102"/>
  <c r="L4" i="88"/>
  <c r="L14" i="88"/>
  <c r="N14" i="88"/>
  <c r="M4" i="88"/>
  <c r="C4" i="1" s="1"/>
  <c r="N4" i="88"/>
  <c r="D4" i="1" s="1"/>
  <c r="N7" i="88"/>
  <c r="D4" i="2" s="1"/>
  <c r="L8" i="88"/>
  <c r="M14" i="88"/>
  <c r="L9" i="88"/>
  <c r="B4" i="5" s="1"/>
  <c r="L7" i="88"/>
  <c r="M3" i="88"/>
  <c r="C4" i="6" s="1"/>
  <c r="M9" i="88"/>
  <c r="C4" i="5" s="1"/>
  <c r="M19" i="88"/>
  <c r="N3" i="88"/>
  <c r="D4" i="6" s="1"/>
  <c r="L18" i="88"/>
  <c r="B11" i="103"/>
  <c r="B12" i="103" s="1"/>
  <c r="B17" i="103" s="1"/>
  <c r="L13" i="88"/>
  <c r="M8" i="88"/>
  <c r="M7" i="88"/>
  <c r="C4" i="2" s="1"/>
  <c r="N9" i="88"/>
  <c r="D4" i="5" s="1"/>
  <c r="M13" i="88"/>
  <c r="L17" i="88"/>
  <c r="D11" i="103"/>
  <c r="N17" i="88"/>
  <c r="L3" i="88"/>
  <c r="L19" i="88"/>
  <c r="M18" i="88"/>
  <c r="M17" i="88"/>
  <c r="N13" i="88"/>
  <c r="N18" i="88"/>
  <c r="N8" i="88"/>
  <c r="C11" i="103"/>
  <c r="N19" i="88"/>
  <c r="D8" i="6" l="1"/>
  <c r="D8" i="2"/>
  <c r="O8" i="88"/>
  <c r="R8" i="88" s="1"/>
  <c r="O18" i="88"/>
  <c r="R18" i="88" s="1"/>
  <c r="O19" i="88"/>
  <c r="R19" i="88" s="1"/>
  <c r="O17" i="88"/>
  <c r="R17" i="88" s="1"/>
  <c r="O7" i="88"/>
  <c r="R7" i="88" s="1"/>
  <c r="O14" i="88"/>
  <c r="R14" i="88" s="1"/>
  <c r="B4" i="6"/>
  <c r="O3" i="88"/>
  <c r="R3" i="88" s="1"/>
  <c r="O13" i="88"/>
  <c r="R13" i="88" s="1"/>
  <c r="B8" i="5"/>
  <c r="O9" i="88"/>
  <c r="R9" i="88" s="1"/>
  <c r="O4" i="88"/>
  <c r="R4" i="88" s="1"/>
  <c r="B4" i="103"/>
  <c r="B8" i="103" s="1"/>
  <c r="R16" i="88"/>
  <c r="C15" i="103"/>
  <c r="C12" i="103"/>
  <c r="C16" i="103" s="1"/>
  <c r="L20" i="88"/>
  <c r="N29" i="102" s="1"/>
  <c r="M20" i="88"/>
  <c r="O29" i="102" s="1"/>
  <c r="N20" i="88"/>
  <c r="P29" i="102" s="1"/>
  <c r="D8" i="5"/>
  <c r="D4" i="103"/>
  <c r="D8" i="4"/>
  <c r="C4" i="103"/>
  <c r="C8" i="2"/>
  <c r="E11" i="103"/>
  <c r="C8" i="4"/>
  <c r="C8" i="5"/>
  <c r="R6" i="88"/>
  <c r="B16" i="103"/>
  <c r="B4" i="1"/>
  <c r="R4" i="1" s="1"/>
  <c r="R5" i="1" s="1"/>
  <c r="B15" i="103"/>
  <c r="B8" i="3"/>
  <c r="B5" i="3"/>
  <c r="L10" i="88"/>
  <c r="N13" i="102" s="1"/>
  <c r="B29" i="103"/>
  <c r="B31" i="103" s="1"/>
  <c r="B33" i="103" s="1"/>
  <c r="B34" i="103" s="1"/>
  <c r="D15" i="103"/>
  <c r="M10" i="88"/>
  <c r="O13" i="102" s="1"/>
  <c r="B4" i="2"/>
  <c r="D8" i="1"/>
  <c r="N10" i="88"/>
  <c r="P13" i="102" s="1"/>
  <c r="C8" i="1"/>
  <c r="B5" i="6" l="1"/>
  <c r="B9" i="6" s="1"/>
  <c r="N13" i="70"/>
  <c r="Q13" i="102"/>
  <c r="E4" i="5"/>
  <c r="R4" i="5" s="1"/>
  <c r="R5" i="5" s="1"/>
  <c r="B5" i="5"/>
  <c r="B8" i="6"/>
  <c r="B5" i="103"/>
  <c r="B9" i="103" s="1"/>
  <c r="D12" i="103"/>
  <c r="D17" i="103" s="1"/>
  <c r="C17" i="103"/>
  <c r="C29" i="103"/>
  <c r="C31" i="103" s="1"/>
  <c r="C33" i="103" s="1"/>
  <c r="C34" i="103" s="1"/>
  <c r="O20" i="88"/>
  <c r="E4" i="3"/>
  <c r="R4" i="3" s="1"/>
  <c r="R5" i="3" s="1"/>
  <c r="E4" i="2"/>
  <c r="R4" i="2" s="1"/>
  <c r="R5" i="2" s="1"/>
  <c r="B8" i="2"/>
  <c r="B5" i="2"/>
  <c r="B18" i="2" s="1"/>
  <c r="B20" i="2" s="1"/>
  <c r="B22" i="2" s="1"/>
  <c r="B23" i="2" s="1"/>
  <c r="B28" i="2" s="1"/>
  <c r="C8" i="103"/>
  <c r="C8" i="6"/>
  <c r="O10" i="88"/>
  <c r="E4" i="103"/>
  <c r="R4" i="103" s="1"/>
  <c r="R11" i="103"/>
  <c r="C8" i="3"/>
  <c r="C5" i="3"/>
  <c r="D5" i="3" s="1"/>
  <c r="B40" i="3" s="1"/>
  <c r="D8" i="103"/>
  <c r="E4" i="4"/>
  <c r="B5" i="4"/>
  <c r="B18" i="4" s="1"/>
  <c r="B20" i="4" s="1"/>
  <c r="B22" i="4" s="1"/>
  <c r="B23" i="4" s="1"/>
  <c r="B28" i="4" s="1"/>
  <c r="B8" i="4"/>
  <c r="B23" i="3"/>
  <c r="B10" i="3"/>
  <c r="B9" i="3"/>
  <c r="B5" i="1"/>
  <c r="B8" i="1"/>
  <c r="Q29" i="102"/>
  <c r="N30" i="102"/>
  <c r="P30" i="102"/>
  <c r="O30" i="102"/>
  <c r="E4" i="6"/>
  <c r="D8" i="3"/>
  <c r="R4" i="4" l="1"/>
  <c r="R5" i="4" s="1"/>
  <c r="B10" i="6"/>
  <c r="B18" i="6"/>
  <c r="B20" i="6" s="1"/>
  <c r="B22" i="6" s="1"/>
  <c r="B23" i="6" s="1"/>
  <c r="B28" i="6" s="1"/>
  <c r="C5" i="6"/>
  <c r="C18" i="6" s="1"/>
  <c r="C20" i="6" s="1"/>
  <c r="C22" i="6" s="1"/>
  <c r="C23" i="6" s="1"/>
  <c r="C28" i="6" s="1"/>
  <c r="N14" i="70"/>
  <c r="O13" i="70"/>
  <c r="C5" i="5"/>
  <c r="C18" i="5" s="1"/>
  <c r="C20" i="5" s="1"/>
  <c r="C22" i="5" s="1"/>
  <c r="C23" i="5" s="1"/>
  <c r="C28" i="5" s="1"/>
  <c r="B18" i="5"/>
  <c r="B20" i="5" s="1"/>
  <c r="B22" i="5" s="1"/>
  <c r="B23" i="5" s="1"/>
  <c r="B28" i="5" s="1"/>
  <c r="D5" i="5"/>
  <c r="C9" i="5"/>
  <c r="B10" i="5"/>
  <c r="C10" i="5"/>
  <c r="B9" i="5"/>
  <c r="B9" i="2"/>
  <c r="B10" i="2"/>
  <c r="B25" i="3"/>
  <c r="B27" i="3" s="1"/>
  <c r="B28" i="3" s="1"/>
  <c r="B39" i="3" s="1"/>
  <c r="N9" i="8" s="1"/>
  <c r="B42" i="3"/>
  <c r="B10" i="103"/>
  <c r="B23" i="103"/>
  <c r="B25" i="103" s="1"/>
  <c r="B27" i="103" s="1"/>
  <c r="B28" i="103" s="1"/>
  <c r="B39" i="103" s="1"/>
  <c r="N10" i="8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B10" i="1"/>
  <c r="B9" i="1"/>
  <c r="C5" i="1"/>
  <c r="B9" i="4"/>
  <c r="B10" i="4"/>
  <c r="C5" i="4"/>
  <c r="C18" i="4" s="1"/>
  <c r="C20" i="4" s="1"/>
  <c r="C22" i="4" s="1"/>
  <c r="C23" i="4" s="1"/>
  <c r="C28" i="4" s="1"/>
  <c r="C10" i="3"/>
  <c r="C9" i="3"/>
  <c r="C23" i="3"/>
  <c r="N14" i="102"/>
  <c r="P14" i="102"/>
  <c r="O14" i="102"/>
  <c r="C5" i="2"/>
  <c r="C18" i="2" s="1"/>
  <c r="C20" i="2" s="1"/>
  <c r="C22" i="2" s="1"/>
  <c r="C23" i="2" s="1"/>
  <c r="C28" i="2" s="1"/>
  <c r="C10" i="6"/>
  <c r="C9" i="6"/>
  <c r="D5" i="6" l="1"/>
  <c r="O14" i="70"/>
  <c r="P13" i="70"/>
  <c r="P14" i="70" s="1"/>
  <c r="B29" i="5"/>
  <c r="B31" i="5" s="1"/>
  <c r="B33" i="5" s="1"/>
  <c r="B34" i="5" s="1"/>
  <c r="D18" i="5"/>
  <c r="D20" i="5" s="1"/>
  <c r="D22" i="5" s="1"/>
  <c r="D23" i="5" s="1"/>
  <c r="D28" i="5" s="1"/>
  <c r="R28" i="5" s="1"/>
  <c r="D9" i="5"/>
  <c r="N8" i="8"/>
  <c r="D10" i="5"/>
  <c r="D9" i="103"/>
  <c r="N4" i="8"/>
  <c r="B44" i="103"/>
  <c r="B45" i="103" s="1"/>
  <c r="N19" i="8" s="1"/>
  <c r="O8" i="8"/>
  <c r="D25" i="3"/>
  <c r="D27" i="3" s="1"/>
  <c r="D28" i="3" s="1"/>
  <c r="D39" i="3" s="1"/>
  <c r="P9" i="8" s="1"/>
  <c r="B44" i="3"/>
  <c r="B45" i="3" s="1"/>
  <c r="N18" i="8" s="1"/>
  <c r="C25" i="3"/>
  <c r="C27" i="3" s="1"/>
  <c r="C28" i="3" s="1"/>
  <c r="C39" i="3" s="1"/>
  <c r="O9" i="8" s="1"/>
  <c r="C9" i="103"/>
  <c r="C10" i="103"/>
  <c r="D23" i="103"/>
  <c r="D25" i="103" s="1"/>
  <c r="D27" i="103" s="1"/>
  <c r="D28" i="103" s="1"/>
  <c r="D39" i="103" s="1"/>
  <c r="P10" i="8" s="1"/>
  <c r="D10" i="103"/>
  <c r="C23" i="103"/>
  <c r="C25" i="103" s="1"/>
  <c r="C27" i="103" s="1"/>
  <c r="C28" i="103" s="1"/>
  <c r="C39" i="103" s="1"/>
  <c r="O10" i="8" s="1"/>
  <c r="N7" i="8"/>
  <c r="N6" i="8"/>
  <c r="C9" i="4"/>
  <c r="C10" i="4"/>
  <c r="D5" i="4"/>
  <c r="D10" i="4" s="1"/>
  <c r="C10" i="1"/>
  <c r="C9" i="1"/>
  <c r="D5" i="1"/>
  <c r="D9" i="6"/>
  <c r="D18" i="6"/>
  <c r="D20" i="6" s="1"/>
  <c r="D22" i="6" s="1"/>
  <c r="D23" i="6" s="1"/>
  <c r="D28" i="6" s="1"/>
  <c r="R28" i="6" s="1"/>
  <c r="D10" i="6"/>
  <c r="B29" i="6"/>
  <c r="B31" i="6" s="1"/>
  <c r="B33" i="6" s="1"/>
  <c r="C10" i="2"/>
  <c r="C9" i="2"/>
  <c r="D5" i="2"/>
  <c r="N17" i="8" l="1"/>
  <c r="R34" i="5"/>
  <c r="Q13" i="70"/>
  <c r="B29" i="2"/>
  <c r="B33" i="2" s="1"/>
  <c r="B34" i="2" s="1"/>
  <c r="D18" i="2"/>
  <c r="D20" i="2" s="1"/>
  <c r="D22" i="2" s="1"/>
  <c r="D23" i="2" s="1"/>
  <c r="D28" i="2" s="1"/>
  <c r="R28" i="2" s="1"/>
  <c r="B29" i="4"/>
  <c r="B31" i="4" s="1"/>
  <c r="B33" i="4" s="1"/>
  <c r="B34" i="4" s="1"/>
  <c r="N16" i="8" s="1"/>
  <c r="D18" i="4"/>
  <c r="D20" i="4" s="1"/>
  <c r="D22" i="4" s="1"/>
  <c r="D23" i="4" s="1"/>
  <c r="D28" i="4" s="1"/>
  <c r="R28" i="4" s="1"/>
  <c r="B34" i="6"/>
  <c r="P8" i="8"/>
  <c r="O4" i="8"/>
  <c r="O6" i="8"/>
  <c r="O7" i="8"/>
  <c r="D9" i="4"/>
  <c r="D10" i="2"/>
  <c r="D9" i="2"/>
  <c r="D10" i="1"/>
  <c r="D9" i="1"/>
  <c r="P4" i="8"/>
  <c r="N14" i="8" l="1"/>
  <c r="R34" i="6"/>
  <c r="N15" i="8"/>
  <c r="R34" i="2"/>
  <c r="P7" i="8"/>
  <c r="P6" i="8"/>
</calcChain>
</file>

<file path=xl/comments1.xml><?xml version="1.0" encoding="utf-8"?>
<comments xmlns="http://schemas.openxmlformats.org/spreadsheetml/2006/main">
  <authors>
    <author>katarzynao</author>
  </authors>
  <commentLis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1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1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2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2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2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2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2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2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3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3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3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3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3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Handlowy1</author>
    <author>katarzynao</author>
  </authors>
  <commentList>
    <comment ref="F4" authorId="0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Korekta planu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Korekta targetu</t>
        </r>
      </text>
    </comment>
    <comment ref="N4" authorId="0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O4" authorId="0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P4" authorId="0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charset val="1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Handlowy1</author>
    <author>katarzynao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C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
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L4" authorId="0">
      <text>
        <r>
          <rPr>
            <sz val="9"/>
            <color indexed="81"/>
            <rFont val="Tahoma"/>
            <charset val="1"/>
          </rPr>
          <t>Korekta planu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charset val="1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Handlowy1</author>
    <author>katarzynao</author>
  </authors>
  <commentList>
    <comment ref="K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N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P4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
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charset val="1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Handlowy1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B6" authorId="1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C6" authorId="1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D6" authorId="1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F6" authorId="1">
      <text>
        <r>
          <rPr>
            <b/>
            <sz val="9"/>
            <color indexed="81"/>
            <rFont val="Tahoma"/>
            <charset val="1"/>
          </rPr>
          <t>Korekta planu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8.xml><?xml version="1.0" encoding="utf-8"?>
<comments xmlns="http://schemas.openxmlformats.org/spreadsheetml/2006/main">
  <authors>
    <author>Handlowy1</author>
  </authors>
  <commentList>
    <comment ref="J26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MERKURY kat.A - 500,00
RESGRAPH kat. A - 300,00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10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<sst xmlns="http://schemas.openxmlformats.org/spreadsheetml/2006/main" count="1338" uniqueCount="279">
  <si>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</si>
  <si>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</si>
  <si>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</si>
  <si>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</si>
  <si>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</si>
  <si>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</si>
  <si>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</si>
  <si>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</si>
  <si>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</si>
  <si>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</si>
  <si>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</si>
  <si>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</si>
  <si>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</si>
  <si>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</si>
  <si>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</si>
  <si>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</si>
  <si>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</si>
  <si>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</si>
  <si>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</si>
  <si>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</si>
  <si>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</si>
  <si>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</si>
  <si>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</si>
  <si>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</si>
  <si>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</si>
  <si>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</si>
  <si>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</si>
  <si>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</si>
  <si>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</si>
  <si>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</si>
  <si>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</si>
  <si>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</si>
  <si>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</si>
  <si>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</si>
  <si>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</si>
  <si>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</si>
  <si>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</si>
  <si>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</si>
  <si>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</si>
  <si>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</si>
  <si>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</si>
  <si>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</si>
  <si>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</si>
  <si>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</si>
  <si>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</si>
  <si>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</si>
  <si>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</si>
  <si>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</si>
  <si>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</si>
  <si>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</si>
  <si>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</si>
  <si>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</si>
  <si>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</si>
  <si>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</si>
  <si>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</si>
  <si>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</si>
  <si>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</si>
  <si>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</si>
  <si>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</si>
  <si>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</si>
  <si>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</si>
  <si>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</si>
  <si>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</si>
  <si>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</si>
  <si>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</si>
  <si>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</si>
  <si>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</si>
  <si>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</si>
  <si>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</si>
  <si>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</si>
  <si>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</si>
  <si>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</si>
  <si>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</si>
  <si>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</si>
  <si>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</si>
  <si>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</si>
  <si>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</si>
  <si>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</si>
  <si>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</si>
  <si>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</si>
  <si>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</si>
  <si>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</si>
  <si>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</si>
  <si>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</si>
  <si>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</si>
  <si>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</si>
  <si>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</si>
  <si>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</si>
  <si>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</si>
  <si>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</si>
  <si>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</si>
  <si>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</si>
  <si>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</si>
  <si>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</si>
  <si>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</si>
  <si>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</si>
  <si>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</si>
  <si>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</si>
  <si>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</si>
  <si>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</si>
  <si>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</si>
  <si>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</si>
  <si>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</si>
  <si>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</si>
  <si>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</si>
  <si>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</si>
  <si>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</si>
  <si>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</si>
  <si>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</si>
  <si>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</si>
  <si>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</si>
  <si>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</si>
  <si>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</si>
  <si>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</si>
  <si>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</si>
  <si>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</si>
  <si>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</si>
  <si>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</si>
  <si>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</si>
  <si>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</si>
  <si>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</si>
  <si>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</si>
  <si>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</si>
  <si>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</si>
  <si>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</si>
  <si>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</si>
  <si>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</si>
  <si>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</si>
  <si>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</si>
  <si>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</si>
  <si>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</si>
  <si>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</si>
  <si>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</si>
  <si>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</si>
  <si>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</si>
  <si>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</si>
  <si>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</si>
  <si>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</si>
  <si>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</si>
  <si>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</si>
  <si>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</si>
  <si>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</si>
  <si>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</si>
  <si>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</si>
  <si>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</si>
  <si>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</si>
  <si>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</si>
  <si>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</si>
  <si>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</si>
  <si>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</si>
  <si>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</si>
  <si>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</si>
  <si>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</si>
  <si>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</si>
  <si>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</si>
  <si>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</si>
  <si>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</si>
  <si>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</si>
  <si>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</si>
  <si>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</si>
  <si>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</si>
  <si>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</si>
  <si>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</si>
  <si>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</si>
  <si>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</si>
  <si>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</si>
  <si>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</si>
  <si>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</si>
  <si>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</si>
  <si>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</si>
  <si>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Artur Surówka</t>
  </si>
  <si>
    <t>Rok</t>
  </si>
  <si>
    <t>Realizacja</t>
  </si>
  <si>
    <t>PL</t>
  </si>
  <si>
    <t>Piotr Lasia</t>
  </si>
  <si>
    <t>Lasia Piotr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</si>
  <si>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</si>
  <si>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</si>
  <si>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</si>
  <si>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</si>
  <si>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</si>
  <si>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</si>
  <si>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</si>
  <si>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</si>
  <si>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</si>
  <si>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</si>
  <si>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Piotr Lasia;</t>
  </si>
  <si>
    <t>aga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</si>
  <si>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</si>
  <si>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</si>
  <si>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</si>
  <si>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</si>
  <si>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</si>
  <si>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</si>
  <si>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</si>
  <si>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r>
      <t>I.</t>
    </r>
    <r>
      <rPr>
        <b/>
        <sz val="7"/>
        <rFont val="Times New Roman"/>
        <family val="1"/>
        <charset val="238"/>
      </rPr>
      <t xml:space="preserve">              </t>
    </r>
    <r>
      <rPr>
        <b/>
        <sz val="12"/>
        <rFont val="Calibri"/>
        <family val="2"/>
        <charset val="238"/>
      </rPr>
      <t>Stanowiska w Dziale Handlowym.</t>
    </r>
  </si>
  <si>
    <r>
      <t>II.</t>
    </r>
    <r>
      <rPr>
        <b/>
        <sz val="7"/>
        <rFont val="Times New Roman"/>
        <family val="1"/>
        <charset val="238"/>
      </rPr>
      <t xml:space="preserve">                  </t>
    </r>
    <r>
      <rPr>
        <b/>
        <sz val="12"/>
        <rFont val="Calibri"/>
        <family val="2"/>
        <charset val="238"/>
      </rPr>
      <t>Składniki wynagrodzenia pracownika Działu Handlowego.</t>
    </r>
  </si>
  <si>
    <t>Wynagrodzenie pracownika DH składa się z trzech części.</t>
  </si>
  <si>
    <r>
      <t>1.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Pierwsza część to </t>
    </r>
    <r>
      <rPr>
        <b/>
        <sz val="11"/>
        <rFont val="Calibri"/>
        <family val="2"/>
        <charset val="238"/>
      </rPr>
      <t>wynagrodzenie zasadnicze</t>
    </r>
    <r>
      <rPr>
        <sz val="11"/>
        <rFont val="Calibri"/>
        <family val="2"/>
        <charset val="238"/>
      </rPr>
      <t xml:space="preserve">, którego wysokość uzależniona jest od zajmowanego stanowiska w DH i określona jest w umowie o pracę. Wynagrodzenie zasadnicze mieści się w przedziale </t>
    </r>
    <r>
      <rPr>
        <b/>
        <sz val="11"/>
        <rFont val="Calibri"/>
        <family val="2"/>
        <charset val="238"/>
      </rPr>
      <t>od 70% do 120% kwoty bazowej</t>
    </r>
    <r>
      <rPr>
        <sz val="11"/>
        <rFont val="Calibri"/>
        <family val="2"/>
        <charset val="238"/>
      </rPr>
      <t>.</t>
    </r>
  </si>
  <si>
    <t>Zasady naliczania i wypłacania wynagrodzenia zasadniczego i premii określone są w Regulaminie Wynagradzania.</t>
  </si>
  <si>
    <t>brak opiekuna</t>
  </si>
  <si>
    <t>Agnieszka Zagaja;</t>
  </si>
  <si>
    <t>MARŻA</t>
  </si>
  <si>
    <t>OBRÓT</t>
  </si>
  <si>
    <t>PLAN IV KW Krzysztof Szwajdych</t>
  </si>
  <si>
    <t>2020 MINIMUM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</si>
  <si>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</si>
  <si>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</si>
  <si>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</si>
  <si>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</si>
  <si>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</si>
  <si>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</si>
  <si>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</si>
  <si>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</si>
  <si>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</si>
  <si>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</si>
  <si>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t>PREMIA UZNANIOWA</t>
  </si>
  <si>
    <t>Miesięczny Obrót</t>
  </si>
  <si>
    <t>Sumaryczny Obrót</t>
  </si>
  <si>
    <t>Marża 2020</t>
  </si>
  <si>
    <t>Obrót 2020</t>
  </si>
  <si>
    <t>Sumaryczna Marża 2020</t>
  </si>
  <si>
    <t>Sumaryczny Obrót 2020</t>
  </si>
  <si>
    <t>PLANY SPRZEDAŻY 2021</t>
  </si>
  <si>
    <t>Wzrost Marży 2021 w stos do Marży 2020</t>
  </si>
  <si>
    <t>2021 PLAN</t>
  </si>
  <si>
    <t>2021 CEL</t>
  </si>
  <si>
    <t>Wzrost Obrotu 2021 w stos do Obrotu 2020</t>
  </si>
  <si>
    <r>
      <t>DORADCA KLIENTA (DK)</t>
    </r>
    <r>
      <rPr>
        <sz val="11"/>
        <rFont val="Calibri"/>
        <family val="2"/>
        <charset val="238"/>
      </rPr>
      <t xml:space="preserve"> –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4000,00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PLN brutto</t>
    </r>
  </si>
  <si>
    <r>
      <t>KONSULTANT ds. HANDLOWYCH (KDH</t>
    </r>
    <r>
      <rPr>
        <sz val="11"/>
        <color rgb="FF333399"/>
        <rFont val="Calibri"/>
        <family val="2"/>
        <charset val="238"/>
      </rPr>
      <t>)</t>
    </r>
    <r>
      <rPr>
        <sz val="11"/>
        <rFont val="Calibri"/>
        <family val="2"/>
        <charset val="238"/>
      </rPr>
      <t xml:space="preserve"> -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4000,00 PLN brutto</t>
    </r>
    <r>
      <rPr>
        <sz val="11"/>
        <rFont val="Calibri"/>
        <family val="2"/>
        <charset val="238"/>
      </rPr>
      <t xml:space="preserve">. </t>
    </r>
  </si>
  <si>
    <r>
      <t>SPECJALISTA ds. HANDLOWYCH (SDH</t>
    </r>
    <r>
      <rPr>
        <sz val="11"/>
        <color rgb="FF333399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 xml:space="preserve">- stanowisko pracownika DH, który posiada doświadczenie w sprzedaży produktów oferowanych przez Firmę, nawiązywaniu relacji z Klientami oraz w prowadzeniu dokumentacji. Pracownikowi przydzielana jest pod opiekę, grupa stałych Klientów Firmy do rozwoju (część to: 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4500,00 PLN brutto.</t>
    </r>
    <r>
      <rPr>
        <sz val="11"/>
        <rFont val="Calibri"/>
        <family val="2"/>
        <charset val="238"/>
      </rPr>
      <t xml:space="preserve"> </t>
    </r>
  </si>
  <si>
    <r>
      <t>SPECJALISTA ds. KLUCZOWYCH KLIENTÓW (SDKK)</t>
    </r>
    <r>
      <rPr>
        <sz val="11"/>
        <rFont val="Calibri"/>
        <family val="2"/>
        <charset val="238"/>
      </rPr>
      <t xml:space="preserve"> – stanowisko pracownika DH, który notuje stały rozwój oraz realizuje Indywidualny Plan Sprzedaży. Wyróżnia się pod względem umiejętności sprzedaży całego asortymentu, prowadzenia bez zarzutów klientów z kategorii A, B,  prowadzenia dokumentacji. Pracownikowi przydzielana jest pod opiekę, grupa stałych Klientów Firmy do obsługi i rozwoju (klienci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5500,00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PLN brutto.  </t>
    </r>
  </si>
  <si>
    <r>
      <t>2.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Drugą część wynagrodzenia stanowi </t>
    </r>
    <r>
      <rPr>
        <b/>
        <sz val="11"/>
        <rFont val="Calibri"/>
        <family val="2"/>
        <charset val="238"/>
      </rPr>
      <t>premia miesięczna</t>
    </r>
    <r>
      <rPr>
        <sz val="11"/>
        <rFont val="Calibri"/>
        <family val="2"/>
        <charset val="238"/>
      </rPr>
      <t>, niezależna od wskaźników</t>
    </r>
    <r>
      <rPr>
        <b/>
        <sz val="11"/>
        <rFont val="Calibri"/>
        <family val="2"/>
        <charset val="238"/>
      </rPr>
      <t>.</t>
    </r>
    <r>
      <rPr>
        <sz val="11"/>
        <rFont val="Calibri"/>
        <family val="2"/>
        <charset val="238"/>
      </rPr>
      <t xml:space="preserve"> Wysokość premii miesięcznej stanowi maksymalnie </t>
    </r>
    <r>
      <rPr>
        <b/>
        <sz val="11"/>
        <rFont val="Calibri"/>
        <family val="2"/>
        <charset val="238"/>
      </rPr>
      <t>15%</t>
    </r>
    <r>
      <rPr>
        <sz val="11"/>
        <rFont val="Calibri"/>
        <family val="2"/>
        <charset val="238"/>
      </rPr>
      <t xml:space="preserve"> wynagrodzenia zasadniczego.</t>
    </r>
  </si>
  <si>
    <r>
      <t>3.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Trzecią część wynagrodzenia stanowi </t>
    </r>
    <r>
      <rPr>
        <b/>
        <sz val="11"/>
        <rFont val="Calibri"/>
        <family val="2"/>
        <charset val="238"/>
      </rPr>
      <t>premia miesięczna</t>
    </r>
    <r>
      <rPr>
        <sz val="11"/>
        <rFont val="Calibri"/>
        <family val="2"/>
        <charset val="238"/>
      </rPr>
      <t xml:space="preserve">, zależna od wykonania określonych wskaźników. Wysokość premii miesięcznej stanowi maksymalnie </t>
    </r>
    <r>
      <rPr>
        <b/>
        <sz val="11"/>
        <rFont val="Calibri"/>
        <family val="2"/>
        <charset val="238"/>
      </rPr>
      <t>40%</t>
    </r>
    <r>
      <rPr>
        <sz val="11"/>
        <rFont val="Calibri"/>
        <family val="2"/>
        <charset val="238"/>
      </rPr>
      <t xml:space="preserve"> wynagrodzenia zasadniczego.</t>
    </r>
  </si>
  <si>
    <r>
      <t>4.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Czwartą część wynagrodzenia stanowi </t>
    </r>
    <r>
      <rPr>
        <b/>
        <sz val="11"/>
        <rFont val="Calibri"/>
        <family val="2"/>
        <charset val="238"/>
      </rPr>
      <t xml:space="preserve">premia kwartalna. </t>
    </r>
    <r>
      <rPr>
        <sz val="11"/>
        <rFont val="Calibri"/>
        <family val="2"/>
        <charset val="238"/>
      </rPr>
      <t xml:space="preserve">Wysokość premii kwartalnej stanowi maksymalnie </t>
    </r>
    <r>
      <rPr>
        <b/>
        <sz val="11"/>
        <rFont val="Calibri"/>
        <family val="2"/>
        <charset val="238"/>
      </rPr>
      <t>100%</t>
    </r>
    <r>
      <rPr>
        <sz val="11"/>
        <rFont val="Calibri"/>
        <family val="2"/>
        <charset val="238"/>
      </rPr>
      <t xml:space="preserve"> wynagrodzenia zasadniczego.</t>
    </r>
  </si>
  <si>
    <t>WAY2WEB</t>
  </si>
  <si>
    <t>CAFFARO</t>
  </si>
  <si>
    <t>YKPOLAND</t>
  </si>
  <si>
    <t>W2W</t>
  </si>
  <si>
    <t>Bonus z EPSONA za marzec dotarł dopiero w maju.</t>
  </si>
  <si>
    <r>
      <t>WAY2WEB – 1 086,67 – dodaj marżę do</t>
    </r>
    <r>
      <rPr>
        <b/>
        <sz val="11"/>
        <rFont val="Calibri"/>
        <family val="2"/>
        <charset val="238"/>
      </rPr>
      <t xml:space="preserve"> kwietnia</t>
    </r>
  </si>
  <si>
    <r>
      <t xml:space="preserve">CAFFARO – 138,04 – dodaj marżę do </t>
    </r>
    <r>
      <rPr>
        <b/>
        <sz val="11"/>
        <rFont val="Calibri"/>
        <family val="2"/>
        <charset val="238"/>
      </rPr>
      <t>kwietnia</t>
    </r>
  </si>
  <si>
    <r>
      <t>YKPOLAND – 182,56 – dodaj marżę do</t>
    </r>
    <r>
      <rPr>
        <b/>
        <sz val="11"/>
        <rFont val="Calibri"/>
        <family val="2"/>
        <charset val="238"/>
      </rPr>
      <t xml:space="preserve"> kwietnia</t>
    </r>
  </si>
  <si>
    <t>TRADEX – 381,90 – dodaj marżę</t>
  </si>
  <si>
    <t>PHARMACOSM – 1 014,00 – obniż marżę</t>
  </si>
  <si>
    <t>Za czerwiec</t>
  </si>
  <si>
    <t>W2W  za IV-VI – 400,40 (obniż marżę)</t>
  </si>
  <si>
    <t>Bonus z EPSONA za maj dotarł dopiero w lipcu.</t>
  </si>
  <si>
    <r>
      <t>WAY2WEB – 1 521,42 – dodaj marżę do</t>
    </r>
    <r>
      <rPr>
        <b/>
        <sz val="11"/>
        <rFont val="Calibri"/>
        <family val="2"/>
        <charset val="238"/>
      </rPr>
      <t xml:space="preserve"> czerwca</t>
    </r>
  </si>
  <si>
    <r>
      <t xml:space="preserve">CAFFARO – 137,43 – dodaj marżę do </t>
    </r>
    <r>
      <rPr>
        <b/>
        <sz val="11"/>
        <rFont val="Calibri"/>
        <family val="2"/>
        <charset val="238"/>
      </rPr>
      <t>czerwca</t>
    </r>
  </si>
  <si>
    <r>
      <t>YKPOLAND – 341,70 – dodaj marżę do</t>
    </r>
    <r>
      <rPr>
        <b/>
        <sz val="11"/>
        <rFont val="Calibri"/>
        <family val="2"/>
        <charset val="238"/>
      </rPr>
      <t xml:space="preserve"> czerwca</t>
    </r>
  </si>
  <si>
    <t>Epson</t>
  </si>
  <si>
    <t>RESGRAPH</t>
  </si>
  <si>
    <t>Kontrahent</t>
  </si>
  <si>
    <t>Symbol</t>
  </si>
  <si>
    <t>(Razem kontrahent)</t>
  </si>
  <si>
    <t>Inne</t>
  </si>
  <si>
    <t>szt.</t>
  </si>
  <si>
    <t>Ink cartridge for EPSON TM-C3500 CYAN</t>
  </si>
  <si>
    <t>EPSON C3500 INK (C)</t>
  </si>
  <si>
    <t>Ink cartridge for EPSON TM-C3500 BLACK</t>
  </si>
  <si>
    <t>EPSON C3500 INK (K)</t>
  </si>
  <si>
    <t>Ink cartridge for EPSON TM-C3500 MAGENTA</t>
  </si>
  <si>
    <t>EPSON C3500 INK (M)</t>
  </si>
  <si>
    <t>Ink cartridge for EPSON TM-C3500 YELLOW</t>
  </si>
  <si>
    <t>EPSON C3500 INK (Y)</t>
  </si>
  <si>
    <t>BPSKONCEPT</t>
  </si>
  <si>
    <t>CERSANIT</t>
  </si>
  <si>
    <t>Cersanit</t>
  </si>
  <si>
    <t>Za październik</t>
  </si>
  <si>
    <t>492,51 - utylizacja etykiet dla CERSANIT c.d. – obniż marżę</t>
  </si>
  <si>
    <t>273,50 – utylizacja etykiet dla CERKAMED – obniż marżę</t>
  </si>
  <si>
    <t>Bonus z EPSONA</t>
  </si>
  <si>
    <t>YKPOLAND – 483,95 – dodaj marżę</t>
  </si>
  <si>
    <t>Cerkamed</t>
  </si>
  <si>
    <t>CAFFARO – 179,67 – dodaj marżę</t>
  </si>
  <si>
    <t>Ink cartridge for C7500G (Black) 294,3 ml</t>
  </si>
  <si>
    <t>EPSON C7500G INK (K)</t>
  </si>
  <si>
    <t>SAMBUD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</si>
</sst>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40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7"/>
      <name val="Times New Roman"/>
      <family val="1"/>
      <charset val="238"/>
    </font>
    <font>
      <b/>
      <sz val="11"/>
      <color rgb="FF333399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1F497D"/>
      <name val="Calibri"/>
      <family val="2"/>
      <charset val="238"/>
    </font>
    <font>
      <sz val="11"/>
      <color rgb="FF333399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charset val="238"/>
    </font>
    <font>
      <b/>
      <sz val="7"/>
      <color rgb="FFFF0000"/>
      <name val="Arial"/>
      <family val="2"/>
    </font>
    <font>
      <sz val="7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7"/>
      <color theme="1"/>
      <name val="Arial"/>
      <family val="2"/>
    </font>
    <font>
      <b/>
      <sz val="7"/>
      <color theme="1"/>
      <name val="Arial CE"/>
      <family val="2"/>
      <charset val="238"/>
    </font>
    <font>
      <b/>
      <sz val="7"/>
      <color theme="1"/>
      <name val="Arial CE"/>
      <charset val="238"/>
    </font>
    <font>
      <sz val="7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7"/>
      <color theme="1"/>
      <name val="Arial"/>
      <family val="2"/>
      <charset val="238"/>
    </font>
    <font>
      <sz val="8"/>
      <color theme="1"/>
      <name val="Arial"/>
      <family val="2"/>
    </font>
    <font>
      <b/>
      <sz val="7"/>
      <color rgb="FF00B050"/>
      <name val="Arial"/>
      <family val="2"/>
    </font>
    <font>
      <b/>
      <sz val="7"/>
      <color theme="9"/>
      <name val="Arial CE"/>
      <family val="2"/>
      <charset val="238"/>
    </font>
    <font>
      <b/>
      <sz val="7"/>
      <color theme="0" tint="-0.34998626667073579"/>
      <name val="Arial CE"/>
      <family val="2"/>
      <charset val="238"/>
    </font>
    <font>
      <sz val="7"/>
      <color theme="0" tint="-0.34998626667073579"/>
      <name val="Arial"/>
      <family val="2"/>
      <charset val="238"/>
    </font>
  </fonts>
  <fills count="6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</borders>
  <cellStyleXfs count="26963">
    <xf numFmtId="0" fontId="0" fillId="0" borderId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5" fillId="18" borderId="0" applyNumberFormat="0" applyBorder="0" applyAlignment="0" applyProtection="0"/>
    <xf numFmtId="0" fontId="285" fillId="19" borderId="0" applyNumberFormat="0" applyBorder="0" applyAlignment="0" applyProtection="0"/>
    <xf numFmtId="0" fontId="285" fillId="20" borderId="0" applyNumberFormat="0" applyBorder="0" applyAlignment="0" applyProtection="0"/>
    <xf numFmtId="0" fontId="285" fillId="21" borderId="0" applyNumberFormat="0" applyBorder="0" applyAlignment="0" applyProtection="0"/>
    <xf numFmtId="0" fontId="285" fillId="22" borderId="0" applyNumberFormat="0" applyBorder="0" applyAlignment="0" applyProtection="0"/>
    <xf numFmtId="0" fontId="285" fillId="23" borderId="0" applyNumberFormat="0" applyBorder="0" applyAlignment="0" applyProtection="0"/>
    <xf numFmtId="0" fontId="285" fillId="24" borderId="0" applyNumberFormat="0" applyBorder="0" applyAlignment="0" applyProtection="0"/>
    <xf numFmtId="0" fontId="285" fillId="25" borderId="0" applyNumberFormat="0" applyBorder="0" applyAlignment="0" applyProtection="0"/>
    <xf numFmtId="0" fontId="285" fillId="26" borderId="0" applyNumberFormat="0" applyBorder="0" applyAlignment="0" applyProtection="0"/>
    <xf numFmtId="0" fontId="285" fillId="27" borderId="0" applyNumberFormat="0" applyBorder="0" applyAlignment="0" applyProtection="0"/>
    <xf numFmtId="0" fontId="285" fillId="28" borderId="0" applyNumberFormat="0" applyBorder="0" applyAlignment="0" applyProtection="0"/>
    <xf numFmtId="0" fontId="285" fillId="29" borderId="0" applyNumberFormat="0" applyBorder="0" applyAlignment="0" applyProtection="0"/>
    <xf numFmtId="0" fontId="286" fillId="30" borderId="39" applyNumberFormat="0" applyAlignment="0" applyProtection="0"/>
    <xf numFmtId="0" fontId="287" fillId="31" borderId="40" applyNumberFormat="0" applyAlignment="0" applyProtection="0"/>
    <xf numFmtId="0" fontId="288" fillId="32" borderId="0" applyNumberFormat="0" applyBorder="0" applyAlignment="0" applyProtection="0"/>
    <xf numFmtId="43" fontId="203" fillId="0" borderId="0" applyFont="0" applyFill="0" applyBorder="0" applyAlignment="0" applyProtection="0"/>
    <xf numFmtId="0" fontId="289" fillId="0" borderId="41" applyNumberFormat="0" applyFill="0" applyAlignment="0" applyProtection="0"/>
    <xf numFmtId="0" fontId="290" fillId="33" borderId="42" applyNumberFormat="0" applyAlignment="0" applyProtection="0"/>
    <xf numFmtId="0" fontId="291" fillId="0" borderId="43" applyNumberFormat="0" applyFill="0" applyAlignment="0" applyProtection="0"/>
    <xf numFmtId="0" fontId="292" fillId="0" borderId="44" applyNumberFormat="0" applyFill="0" applyAlignment="0" applyProtection="0"/>
    <xf numFmtId="0" fontId="293" fillId="0" borderId="45" applyNumberFormat="0" applyFill="0" applyAlignment="0" applyProtection="0"/>
    <xf numFmtId="0" fontId="293" fillId="0" borderId="0" applyNumberFormat="0" applyFill="0" applyBorder="0" applyAlignment="0" applyProtection="0"/>
    <xf numFmtId="0" fontId="294" fillId="34" borderId="0" applyNumberFormat="0" applyBorder="0" applyAlignment="0" applyProtection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3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6" fillId="0" borderId="0"/>
    <xf numFmtId="0" fontId="295" fillId="31" borderId="39" applyNumberFormat="0" applyAlignment="0" applyProtection="0"/>
    <xf numFmtId="9" fontId="203" fillId="0" borderId="0" applyFont="0" applyFill="0" applyBorder="0" applyAlignment="0" applyProtection="0"/>
    <xf numFmtId="9" fontId="203" fillId="0" borderId="0" applyFont="0" applyFill="0" applyBorder="0" applyAlignment="0" applyProtection="0"/>
    <xf numFmtId="0" fontId="296" fillId="0" borderId="46" applyNumberFormat="0" applyFill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299" fillId="0" borderId="0" applyNumberFormat="0" applyFill="0" applyBorder="0" applyAlignment="0" applyProtection="0"/>
    <xf numFmtId="0" fontId="195" fillId="35" borderId="47" applyNumberFormat="0" applyFont="0" applyAlignment="0" applyProtection="0"/>
    <xf numFmtId="0" fontId="144" fillId="35" borderId="47" applyNumberFormat="0" applyFont="0" applyAlignment="0" applyProtection="0"/>
    <xf numFmtId="0" fontId="105" fillId="35" borderId="47" applyNumberFormat="0" applyFont="0" applyAlignment="0" applyProtection="0"/>
    <xf numFmtId="0" fontId="104" fillId="35" borderId="47" applyNumberFormat="0" applyFont="0" applyAlignment="0" applyProtection="0"/>
    <xf numFmtId="0" fontId="103" fillId="35" borderId="47" applyNumberFormat="0" applyFont="0" applyAlignment="0" applyProtection="0"/>
    <xf numFmtId="0" fontId="102" fillId="35" borderId="47" applyNumberFormat="0" applyFont="0" applyAlignment="0" applyProtection="0"/>
    <xf numFmtId="0" fontId="101" fillId="35" borderId="47" applyNumberFormat="0" applyFont="0" applyAlignment="0" applyProtection="0"/>
    <xf numFmtId="0" fontId="100" fillId="35" borderId="47" applyNumberFormat="0" applyFont="0" applyAlignment="0" applyProtection="0"/>
    <xf numFmtId="0" fontId="99" fillId="35" borderId="47" applyNumberFormat="0" applyFont="0" applyAlignment="0" applyProtection="0"/>
    <xf numFmtId="0" fontId="98" fillId="35" borderId="47" applyNumberFormat="0" applyFont="0" applyAlignment="0" applyProtection="0"/>
    <xf numFmtId="0" fontId="97" fillId="35" borderId="47" applyNumberFormat="0" applyFont="0" applyAlignment="0" applyProtection="0"/>
    <xf numFmtId="0" fontId="96" fillId="35" borderId="47" applyNumberFormat="0" applyFont="0" applyAlignment="0" applyProtection="0"/>
    <xf numFmtId="0" fontId="194" fillId="35" borderId="47" applyNumberFormat="0" applyFont="0" applyAlignment="0" applyProtection="0"/>
    <xf numFmtId="0" fontId="144" fillId="35" borderId="47" applyNumberFormat="0" applyFont="0" applyAlignment="0" applyProtection="0"/>
    <xf numFmtId="0" fontId="95" fillId="35" borderId="47" applyNumberFormat="0" applyFont="0" applyAlignment="0" applyProtection="0"/>
    <xf numFmtId="0" fontId="94" fillId="35" borderId="47" applyNumberFormat="0" applyFont="0" applyAlignment="0" applyProtection="0"/>
    <xf numFmtId="0" fontId="93" fillId="35" borderId="47" applyNumberFormat="0" applyFont="0" applyAlignment="0" applyProtection="0"/>
    <xf numFmtId="0" fontId="92" fillId="35" borderId="47" applyNumberFormat="0" applyFont="0" applyAlignment="0" applyProtection="0"/>
    <xf numFmtId="0" fontId="91" fillId="35" borderId="47" applyNumberFormat="0" applyFont="0" applyAlignment="0" applyProtection="0"/>
    <xf numFmtId="0" fontId="90" fillId="35" borderId="47" applyNumberFormat="0" applyFont="0" applyAlignment="0" applyProtection="0"/>
    <xf numFmtId="0" fontId="89" fillId="35" borderId="47" applyNumberFormat="0" applyFont="0" applyAlignment="0" applyProtection="0"/>
    <xf numFmtId="0" fontId="88" fillId="35" borderId="47" applyNumberFormat="0" applyFont="0" applyAlignment="0" applyProtection="0"/>
    <xf numFmtId="0" fontId="87" fillId="35" borderId="47" applyNumberFormat="0" applyFont="0" applyAlignment="0" applyProtection="0"/>
    <xf numFmtId="0" fontId="86" fillId="35" borderId="47" applyNumberFormat="0" applyFont="0" applyAlignment="0" applyProtection="0"/>
    <xf numFmtId="0" fontId="193" fillId="35" borderId="47" applyNumberFormat="0" applyFont="0" applyAlignment="0" applyProtection="0"/>
    <xf numFmtId="0" fontId="144" fillId="35" borderId="47" applyNumberFormat="0" applyFont="0" applyAlignment="0" applyProtection="0"/>
    <xf numFmtId="0" fontId="85" fillId="35" borderId="47" applyNumberFormat="0" applyFont="0" applyAlignment="0" applyProtection="0"/>
    <xf numFmtId="0" fontId="84" fillId="35" borderId="47" applyNumberFormat="0" applyFont="0" applyAlignment="0" applyProtection="0"/>
    <xf numFmtId="0" fontId="83" fillId="35" borderId="47" applyNumberFormat="0" applyFont="0" applyAlignment="0" applyProtection="0"/>
    <xf numFmtId="0" fontId="82" fillId="35" borderId="47" applyNumberFormat="0" applyFont="0" applyAlignment="0" applyProtection="0"/>
    <xf numFmtId="0" fontId="81" fillId="35" borderId="47" applyNumberFormat="0" applyFont="0" applyAlignment="0" applyProtection="0"/>
    <xf numFmtId="0" fontId="80" fillId="35" borderId="47" applyNumberFormat="0" applyFont="0" applyAlignment="0" applyProtection="0"/>
    <xf numFmtId="0" fontId="79" fillId="35" borderId="47" applyNumberFormat="0" applyFont="0" applyAlignment="0" applyProtection="0"/>
    <xf numFmtId="0" fontId="78" fillId="35" borderId="47" applyNumberFormat="0" applyFont="0" applyAlignment="0" applyProtection="0"/>
    <xf numFmtId="0" fontId="77" fillId="35" borderId="47" applyNumberFormat="0" applyFont="0" applyAlignment="0" applyProtection="0"/>
    <xf numFmtId="0" fontId="76" fillId="35" borderId="47" applyNumberFormat="0" applyFont="0" applyAlignment="0" applyProtection="0"/>
    <xf numFmtId="0" fontId="192" fillId="35" borderId="47" applyNumberFormat="0" applyFont="0" applyAlignment="0" applyProtection="0"/>
    <xf numFmtId="0" fontId="144" fillId="35" borderId="47" applyNumberFormat="0" applyFont="0" applyAlignment="0" applyProtection="0"/>
    <xf numFmtId="0" fontId="75" fillId="35" borderId="47" applyNumberFormat="0" applyFont="0" applyAlignment="0" applyProtection="0"/>
    <xf numFmtId="0" fontId="74" fillId="35" borderId="47" applyNumberFormat="0" applyFont="0" applyAlignment="0" applyProtection="0"/>
    <xf numFmtId="0" fontId="73" fillId="35" borderId="47" applyNumberFormat="0" applyFont="0" applyAlignment="0" applyProtection="0"/>
    <xf numFmtId="0" fontId="72" fillId="35" borderId="47" applyNumberFormat="0" applyFont="0" applyAlignment="0" applyProtection="0"/>
    <xf numFmtId="0" fontId="71" fillId="35" borderId="47" applyNumberFormat="0" applyFont="0" applyAlignment="0" applyProtection="0"/>
    <xf numFmtId="0" fontId="70" fillId="35" borderId="47" applyNumberFormat="0" applyFont="0" applyAlignment="0" applyProtection="0"/>
    <xf numFmtId="0" fontId="69" fillId="35" borderId="47" applyNumberFormat="0" applyFont="0" applyAlignment="0" applyProtection="0"/>
    <xf numFmtId="0" fontId="68" fillId="35" borderId="47" applyNumberFormat="0" applyFont="0" applyAlignment="0" applyProtection="0"/>
    <xf numFmtId="0" fontId="67" fillId="35" borderId="47" applyNumberFormat="0" applyFont="0" applyAlignment="0" applyProtection="0"/>
    <xf numFmtId="0" fontId="66" fillId="35" borderId="47" applyNumberFormat="0" applyFont="0" applyAlignment="0" applyProtection="0"/>
    <xf numFmtId="0" fontId="191" fillId="35" borderId="47" applyNumberFormat="0" applyFont="0" applyAlignment="0" applyProtection="0"/>
    <xf numFmtId="0" fontId="144" fillId="35" borderId="47" applyNumberFormat="0" applyFont="0" applyAlignment="0" applyProtection="0"/>
    <xf numFmtId="0" fontId="65" fillId="35" borderId="47" applyNumberFormat="0" applyFont="0" applyAlignment="0" applyProtection="0"/>
    <xf numFmtId="0" fontId="64" fillId="35" borderId="47" applyNumberFormat="0" applyFont="0" applyAlignment="0" applyProtection="0"/>
    <xf numFmtId="0" fontId="63" fillId="35" borderId="47" applyNumberFormat="0" applyFont="0" applyAlignment="0" applyProtection="0"/>
    <xf numFmtId="0" fontId="62" fillId="35" borderId="47" applyNumberFormat="0" applyFont="0" applyAlignment="0" applyProtection="0"/>
    <xf numFmtId="0" fontId="61" fillId="35" borderId="47" applyNumberFormat="0" applyFont="0" applyAlignment="0" applyProtection="0"/>
    <xf numFmtId="0" fontId="60" fillId="35" borderId="47" applyNumberFormat="0" applyFont="0" applyAlignment="0" applyProtection="0"/>
    <xf numFmtId="0" fontId="59" fillId="35" borderId="47" applyNumberFormat="0" applyFont="0" applyAlignment="0" applyProtection="0"/>
    <xf numFmtId="0" fontId="58" fillId="35" borderId="47" applyNumberFormat="0" applyFont="0" applyAlignment="0" applyProtection="0"/>
    <xf numFmtId="0" fontId="57" fillId="35" borderId="47" applyNumberFormat="0" applyFont="0" applyAlignment="0" applyProtection="0"/>
    <xf numFmtId="0" fontId="56" fillId="35" borderId="47" applyNumberFormat="0" applyFont="0" applyAlignment="0" applyProtection="0"/>
    <xf numFmtId="0" fontId="190" fillId="35" borderId="47" applyNumberFormat="0" applyFont="0" applyAlignment="0" applyProtection="0"/>
    <xf numFmtId="0" fontId="144" fillId="35" borderId="47" applyNumberFormat="0" applyFont="0" applyAlignment="0" applyProtection="0"/>
    <xf numFmtId="0" fontId="55" fillId="35" borderId="47" applyNumberFormat="0" applyFont="0" applyAlignment="0" applyProtection="0"/>
    <xf numFmtId="0" fontId="54" fillId="35" borderId="47" applyNumberFormat="0" applyFont="0" applyAlignment="0" applyProtection="0"/>
    <xf numFmtId="0" fontId="53" fillId="35" borderId="47" applyNumberFormat="0" applyFont="0" applyAlignment="0" applyProtection="0"/>
    <xf numFmtId="0" fontId="52" fillId="35" borderId="47" applyNumberFormat="0" applyFont="0" applyAlignment="0" applyProtection="0"/>
    <xf numFmtId="0" fontId="51" fillId="35" borderId="47" applyNumberFormat="0" applyFont="0" applyAlignment="0" applyProtection="0"/>
    <xf numFmtId="0" fontId="50" fillId="35" borderId="47" applyNumberFormat="0" applyFont="0" applyAlignment="0" applyProtection="0"/>
    <xf numFmtId="0" fontId="49" fillId="35" borderId="47" applyNumberFormat="0" applyFont="0" applyAlignment="0" applyProtection="0"/>
    <xf numFmtId="0" fontId="48" fillId="35" borderId="47" applyNumberFormat="0" applyFont="0" applyAlignment="0" applyProtection="0"/>
    <xf numFmtId="0" fontId="47" fillId="35" borderId="47" applyNumberFormat="0" applyFont="0" applyAlignment="0" applyProtection="0"/>
    <xf numFmtId="0" fontId="46" fillId="35" borderId="47" applyNumberFormat="0" applyFont="0" applyAlignment="0" applyProtection="0"/>
    <xf numFmtId="0" fontId="189" fillId="35" borderId="47" applyNumberFormat="0" applyFont="0" applyAlignment="0" applyProtection="0"/>
    <xf numFmtId="0" fontId="144" fillId="35" borderId="47" applyNumberFormat="0" applyFont="0" applyAlignment="0" applyProtection="0"/>
    <xf numFmtId="0" fontId="45" fillId="35" borderId="47" applyNumberFormat="0" applyFont="0" applyAlignment="0" applyProtection="0"/>
    <xf numFmtId="0" fontId="44" fillId="35" borderId="47" applyNumberFormat="0" applyFont="0" applyAlignment="0" applyProtection="0"/>
    <xf numFmtId="0" fontId="43" fillId="35" borderId="47" applyNumberFormat="0" applyFont="0" applyAlignment="0" applyProtection="0"/>
    <xf numFmtId="0" fontId="42" fillId="35" borderId="47" applyNumberFormat="0" applyFont="0" applyAlignment="0" applyProtection="0"/>
    <xf numFmtId="0" fontId="41" fillId="35" borderId="47" applyNumberFormat="0" applyFont="0" applyAlignment="0" applyProtection="0"/>
    <xf numFmtId="0" fontId="40" fillId="35" borderId="47" applyNumberFormat="0" applyFont="0" applyAlignment="0" applyProtection="0"/>
    <xf numFmtId="0" fontId="39" fillId="35" borderId="47" applyNumberFormat="0" applyFont="0" applyAlignment="0" applyProtection="0"/>
    <xf numFmtId="0" fontId="38" fillId="35" borderId="47" applyNumberFormat="0" applyFont="0" applyAlignment="0" applyProtection="0"/>
    <xf numFmtId="0" fontId="37" fillId="35" borderId="47" applyNumberFormat="0" applyFont="0" applyAlignment="0" applyProtection="0"/>
    <xf numFmtId="0" fontId="36" fillId="35" borderId="47" applyNumberFormat="0" applyFont="0" applyAlignment="0" applyProtection="0"/>
    <xf numFmtId="0" fontId="188" fillId="35" borderId="47" applyNumberFormat="0" applyFont="0" applyAlignment="0" applyProtection="0"/>
    <xf numFmtId="0" fontId="144" fillId="35" borderId="47" applyNumberFormat="0" applyFont="0" applyAlignment="0" applyProtection="0"/>
    <xf numFmtId="0" fontId="35" fillId="35" borderId="47" applyNumberFormat="0" applyFont="0" applyAlignment="0" applyProtection="0"/>
    <xf numFmtId="0" fontId="34" fillId="35" borderId="47" applyNumberFormat="0" applyFont="0" applyAlignment="0" applyProtection="0"/>
    <xf numFmtId="0" fontId="33" fillId="35" borderId="47" applyNumberFormat="0" applyFont="0" applyAlignment="0" applyProtection="0"/>
    <xf numFmtId="0" fontId="32" fillId="35" borderId="47" applyNumberFormat="0" applyFont="0" applyAlignment="0" applyProtection="0"/>
    <xf numFmtId="0" fontId="31" fillId="35" borderId="47" applyNumberFormat="0" applyFont="0" applyAlignment="0" applyProtection="0"/>
    <xf numFmtId="0" fontId="30" fillId="35" borderId="47" applyNumberFormat="0" applyFont="0" applyAlignment="0" applyProtection="0"/>
    <xf numFmtId="0" fontId="29" fillId="35" borderId="47" applyNumberFormat="0" applyFont="0" applyAlignment="0" applyProtection="0"/>
    <xf numFmtId="0" fontId="28" fillId="35" borderId="47" applyNumberFormat="0" applyFont="0" applyAlignment="0" applyProtection="0"/>
    <xf numFmtId="0" fontId="27" fillId="35" borderId="47" applyNumberFormat="0" applyFont="0" applyAlignment="0" applyProtection="0"/>
    <xf numFmtId="0" fontId="26" fillId="35" borderId="47" applyNumberFormat="0" applyFont="0" applyAlignment="0" applyProtection="0"/>
    <xf numFmtId="0" fontId="187" fillId="35" borderId="47" applyNumberFormat="0" applyFont="0" applyAlignment="0" applyProtection="0"/>
    <xf numFmtId="0" fontId="144" fillId="35" borderId="47" applyNumberFormat="0" applyFont="0" applyAlignment="0" applyProtection="0"/>
    <xf numFmtId="0" fontId="25" fillId="35" borderId="47" applyNumberFormat="0" applyFont="0" applyAlignment="0" applyProtection="0"/>
    <xf numFmtId="0" fontId="24" fillId="35" borderId="47" applyNumberFormat="0" applyFont="0" applyAlignment="0" applyProtection="0"/>
    <xf numFmtId="0" fontId="23" fillId="35" borderId="47" applyNumberFormat="0" applyFont="0" applyAlignment="0" applyProtection="0"/>
    <xf numFmtId="0" fontId="22" fillId="35" borderId="47" applyNumberFormat="0" applyFont="0" applyAlignment="0" applyProtection="0"/>
    <xf numFmtId="0" fontId="21" fillId="35" borderId="47" applyNumberFormat="0" applyFont="0" applyAlignment="0" applyProtection="0"/>
    <xf numFmtId="0" fontId="20" fillId="35" borderId="47" applyNumberFormat="0" applyFont="0" applyAlignment="0" applyProtection="0"/>
    <xf numFmtId="0" fontId="19" fillId="35" borderId="47" applyNumberFormat="0" applyFont="0" applyAlignment="0" applyProtection="0"/>
    <xf numFmtId="0" fontId="18" fillId="35" borderId="47" applyNumberFormat="0" applyFont="0" applyAlignment="0" applyProtection="0"/>
    <xf numFmtId="0" fontId="17" fillId="35" borderId="47" applyNumberFormat="0" applyFont="0" applyAlignment="0" applyProtection="0"/>
    <xf numFmtId="0" fontId="16" fillId="35" borderId="47" applyNumberFormat="0" applyFont="0" applyAlignment="0" applyProtection="0"/>
    <xf numFmtId="0" fontId="186" fillId="35" borderId="47" applyNumberFormat="0" applyFont="0" applyAlignment="0" applyProtection="0"/>
    <xf numFmtId="0" fontId="144" fillId="35" borderId="47" applyNumberFormat="0" applyFont="0" applyAlignment="0" applyProtection="0"/>
    <xf numFmtId="0" fontId="15" fillId="35" borderId="47" applyNumberFormat="0" applyFont="0" applyAlignment="0" applyProtection="0"/>
    <xf numFmtId="0" fontId="14" fillId="35" borderId="47" applyNumberFormat="0" applyFont="0" applyAlignment="0" applyProtection="0"/>
    <xf numFmtId="0" fontId="13" fillId="35" borderId="47" applyNumberFormat="0" applyFont="0" applyAlignment="0" applyProtection="0"/>
    <xf numFmtId="0" fontId="11" fillId="35" borderId="47" applyNumberFormat="0" applyFont="0" applyAlignment="0" applyProtection="0"/>
    <xf numFmtId="0" fontId="10" fillId="35" borderId="47" applyNumberFormat="0" applyFont="0" applyAlignment="0" applyProtection="0"/>
    <xf numFmtId="0" fontId="9" fillId="35" borderId="47" applyNumberFormat="0" applyFont="0" applyAlignment="0" applyProtection="0"/>
    <xf numFmtId="0" fontId="223" fillId="35" borderId="47" applyNumberFormat="0" applyFont="0" applyAlignment="0" applyProtection="0"/>
    <xf numFmtId="0" fontId="144" fillId="35" borderId="47" applyNumberFormat="0" applyFont="0" applyAlignment="0" applyProtection="0"/>
    <xf numFmtId="0" fontId="185" fillId="35" borderId="47" applyNumberFormat="0" applyFont="0" applyAlignment="0" applyProtection="0"/>
    <xf numFmtId="0" fontId="144" fillId="35" borderId="47" applyNumberFormat="0" applyFont="0" applyAlignment="0" applyProtection="0"/>
    <xf numFmtId="0" fontId="184" fillId="35" borderId="47" applyNumberFormat="0" applyFont="0" applyAlignment="0" applyProtection="0"/>
    <xf numFmtId="0" fontId="144" fillId="35" borderId="47" applyNumberFormat="0" applyFont="0" applyAlignment="0" applyProtection="0"/>
    <xf numFmtId="0" fontId="183" fillId="35" borderId="47" applyNumberFormat="0" applyFont="0" applyAlignment="0" applyProtection="0"/>
    <xf numFmtId="0" fontId="144" fillId="35" borderId="47" applyNumberFormat="0" applyFont="0" applyAlignment="0" applyProtection="0"/>
    <xf numFmtId="0" fontId="182" fillId="35" borderId="47" applyNumberFormat="0" applyFont="0" applyAlignment="0" applyProtection="0"/>
    <xf numFmtId="0" fontId="144" fillId="35" borderId="47" applyNumberFormat="0" applyFont="0" applyAlignment="0" applyProtection="0"/>
    <xf numFmtId="0" fontId="181" fillId="35" borderId="47" applyNumberFormat="0" applyFont="0" applyAlignment="0" applyProtection="0"/>
    <xf numFmtId="0" fontId="144" fillId="35" borderId="47" applyNumberFormat="0" applyFont="0" applyAlignment="0" applyProtection="0"/>
    <xf numFmtId="0" fontId="180" fillId="35" borderId="47" applyNumberFormat="0" applyFont="0" applyAlignment="0" applyProtection="0"/>
    <xf numFmtId="0" fontId="144" fillId="35" borderId="47" applyNumberFormat="0" applyFont="0" applyAlignment="0" applyProtection="0"/>
    <xf numFmtId="0" fontId="179" fillId="35" borderId="47" applyNumberFormat="0" applyFont="0" applyAlignment="0" applyProtection="0"/>
    <xf numFmtId="0" fontId="144" fillId="35" borderId="47" applyNumberFormat="0" applyFont="0" applyAlignment="0" applyProtection="0"/>
    <xf numFmtId="0" fontId="178" fillId="35" borderId="47" applyNumberFormat="0" applyFont="0" applyAlignment="0" applyProtection="0"/>
    <xf numFmtId="0" fontId="144" fillId="35" borderId="47" applyNumberFormat="0" applyFont="0" applyAlignment="0" applyProtection="0"/>
    <xf numFmtId="0" fontId="177" fillId="35" borderId="47" applyNumberFormat="0" applyFont="0" applyAlignment="0" applyProtection="0"/>
    <xf numFmtId="0" fontId="144" fillId="35" borderId="47" applyNumberFormat="0" applyFont="0" applyAlignment="0" applyProtection="0"/>
    <xf numFmtId="0" fontId="176" fillId="35" borderId="47" applyNumberFormat="0" applyFont="0" applyAlignment="0" applyProtection="0"/>
    <xf numFmtId="0" fontId="144" fillId="35" borderId="47" applyNumberFormat="0" applyFont="0" applyAlignment="0" applyProtection="0"/>
    <xf numFmtId="0" fontId="202" fillId="35" borderId="47" applyNumberFormat="0" applyFont="0" applyAlignment="0" applyProtection="0"/>
    <xf numFmtId="0" fontId="144" fillId="35" borderId="47" applyNumberFormat="0" applyFont="0" applyAlignment="0" applyProtection="0"/>
    <xf numFmtId="0" fontId="175" fillId="35" borderId="47" applyNumberFormat="0" applyFont="0" applyAlignment="0" applyProtection="0"/>
    <xf numFmtId="0" fontId="144" fillId="35" borderId="47" applyNumberFormat="0" applyFont="0" applyAlignment="0" applyProtection="0"/>
    <xf numFmtId="0" fontId="174" fillId="35" borderId="47" applyNumberFormat="0" applyFont="0" applyAlignment="0" applyProtection="0"/>
    <xf numFmtId="0" fontId="144" fillId="35" borderId="47" applyNumberFormat="0" applyFont="0" applyAlignment="0" applyProtection="0"/>
    <xf numFmtId="0" fontId="173" fillId="35" borderId="47" applyNumberFormat="0" applyFont="0" applyAlignment="0" applyProtection="0"/>
    <xf numFmtId="0" fontId="144" fillId="35" borderId="47" applyNumberFormat="0" applyFont="0" applyAlignment="0" applyProtection="0"/>
    <xf numFmtId="0" fontId="172" fillId="35" borderId="47" applyNumberFormat="0" applyFont="0" applyAlignment="0" applyProtection="0"/>
    <xf numFmtId="0" fontId="144" fillId="35" borderId="47" applyNumberFormat="0" applyFont="0" applyAlignment="0" applyProtection="0"/>
    <xf numFmtId="0" fontId="171" fillId="35" borderId="47" applyNumberFormat="0" applyFont="0" applyAlignment="0" applyProtection="0"/>
    <xf numFmtId="0" fontId="144" fillId="35" borderId="47" applyNumberFormat="0" applyFont="0" applyAlignment="0" applyProtection="0"/>
    <xf numFmtId="0" fontId="170" fillId="35" borderId="47" applyNumberFormat="0" applyFont="0" applyAlignment="0" applyProtection="0"/>
    <xf numFmtId="0" fontId="144" fillId="35" borderId="47" applyNumberFormat="0" applyFont="0" applyAlignment="0" applyProtection="0"/>
    <xf numFmtId="0" fontId="169" fillId="35" borderId="47" applyNumberFormat="0" applyFont="0" applyAlignment="0" applyProtection="0"/>
    <xf numFmtId="0" fontId="144" fillId="35" borderId="47" applyNumberFormat="0" applyFont="0" applyAlignment="0" applyProtection="0"/>
    <xf numFmtId="0" fontId="168" fillId="35" borderId="47" applyNumberFormat="0" applyFont="0" applyAlignment="0" applyProtection="0"/>
    <xf numFmtId="0" fontId="144" fillId="35" borderId="47" applyNumberFormat="0" applyFont="0" applyAlignment="0" applyProtection="0"/>
    <xf numFmtId="0" fontId="167" fillId="35" borderId="47" applyNumberFormat="0" applyFont="0" applyAlignment="0" applyProtection="0"/>
    <xf numFmtId="0" fontId="144" fillId="35" borderId="47" applyNumberFormat="0" applyFont="0" applyAlignment="0" applyProtection="0"/>
    <xf numFmtId="0" fontId="166" fillId="35" borderId="47" applyNumberFormat="0" applyFont="0" applyAlignment="0" applyProtection="0"/>
    <xf numFmtId="0" fontId="144" fillId="35" borderId="47" applyNumberFormat="0" applyFont="0" applyAlignment="0" applyProtection="0"/>
    <xf numFmtId="0" fontId="201" fillId="35" borderId="47" applyNumberFormat="0" applyFont="0" applyAlignment="0" applyProtection="0"/>
    <xf numFmtId="0" fontId="144" fillId="35" borderId="47" applyNumberFormat="0" applyFont="0" applyAlignment="0" applyProtection="0"/>
    <xf numFmtId="0" fontId="165" fillId="35" borderId="47" applyNumberFormat="0" applyFont="0" applyAlignment="0" applyProtection="0"/>
    <xf numFmtId="0" fontId="144" fillId="35" borderId="47" applyNumberFormat="0" applyFont="0" applyAlignment="0" applyProtection="0"/>
    <xf numFmtId="0" fontId="164" fillId="35" borderId="47" applyNumberFormat="0" applyFont="0" applyAlignment="0" applyProtection="0"/>
    <xf numFmtId="0" fontId="144" fillId="35" borderId="47" applyNumberFormat="0" applyFont="0" applyAlignment="0" applyProtection="0"/>
    <xf numFmtId="0" fontId="163" fillId="35" borderId="47" applyNumberFormat="0" applyFont="0" applyAlignment="0" applyProtection="0"/>
    <xf numFmtId="0" fontId="144" fillId="35" borderId="47" applyNumberFormat="0" applyFont="0" applyAlignment="0" applyProtection="0"/>
    <xf numFmtId="0" fontId="162" fillId="35" borderId="47" applyNumberFormat="0" applyFont="0" applyAlignment="0" applyProtection="0"/>
    <xf numFmtId="0" fontId="144" fillId="35" borderId="47" applyNumberFormat="0" applyFont="0" applyAlignment="0" applyProtection="0"/>
    <xf numFmtId="0" fontId="161" fillId="35" borderId="47" applyNumberFormat="0" applyFont="0" applyAlignment="0" applyProtection="0"/>
    <xf numFmtId="0" fontId="144" fillId="35" borderId="47" applyNumberFormat="0" applyFont="0" applyAlignment="0" applyProtection="0"/>
    <xf numFmtId="0" fontId="160" fillId="35" borderId="47" applyNumberFormat="0" applyFont="0" applyAlignment="0" applyProtection="0"/>
    <xf numFmtId="0" fontId="144" fillId="35" borderId="47" applyNumberFormat="0" applyFont="0" applyAlignment="0" applyProtection="0"/>
    <xf numFmtId="0" fontId="159" fillId="35" borderId="47" applyNumberFormat="0" applyFont="0" applyAlignment="0" applyProtection="0"/>
    <xf numFmtId="0" fontId="144" fillId="35" borderId="47" applyNumberFormat="0" applyFont="0" applyAlignment="0" applyProtection="0"/>
    <xf numFmtId="0" fontId="158" fillId="35" borderId="47" applyNumberFormat="0" applyFont="0" applyAlignment="0" applyProtection="0"/>
    <xf numFmtId="0" fontId="144" fillId="35" borderId="47" applyNumberFormat="0" applyFont="0" applyAlignment="0" applyProtection="0"/>
    <xf numFmtId="0" fontId="157" fillId="35" borderId="47" applyNumberFormat="0" applyFont="0" applyAlignment="0" applyProtection="0"/>
    <xf numFmtId="0" fontId="144" fillId="35" borderId="47" applyNumberFormat="0" applyFont="0" applyAlignment="0" applyProtection="0"/>
    <xf numFmtId="0" fontId="156" fillId="35" borderId="47" applyNumberFormat="0" applyFont="0" applyAlignment="0" applyProtection="0"/>
    <xf numFmtId="0" fontId="144" fillId="35" borderId="47" applyNumberFormat="0" applyFont="0" applyAlignment="0" applyProtection="0"/>
    <xf numFmtId="0" fontId="200" fillId="35" borderId="47" applyNumberFormat="0" applyFont="0" applyAlignment="0" applyProtection="0"/>
    <xf numFmtId="0" fontId="144" fillId="35" borderId="47" applyNumberFormat="0" applyFont="0" applyAlignment="0" applyProtection="0"/>
    <xf numFmtId="0" fontId="155" fillId="35" borderId="47" applyNumberFormat="0" applyFont="0" applyAlignment="0" applyProtection="0"/>
    <xf numFmtId="0" fontId="144" fillId="35" borderId="47" applyNumberFormat="0" applyFont="0" applyAlignment="0" applyProtection="0"/>
    <xf numFmtId="0" fontId="154" fillId="35" borderId="47" applyNumberFormat="0" applyFont="0" applyAlignment="0" applyProtection="0"/>
    <xf numFmtId="0" fontId="144" fillId="35" borderId="47" applyNumberFormat="0" applyFont="0" applyAlignment="0" applyProtection="0"/>
    <xf numFmtId="0" fontId="153" fillId="35" borderId="47" applyNumberFormat="0" applyFont="0" applyAlignment="0" applyProtection="0"/>
    <xf numFmtId="0" fontId="144" fillId="35" borderId="47" applyNumberFormat="0" applyFont="0" applyAlignment="0" applyProtection="0"/>
    <xf numFmtId="0" fontId="152" fillId="35" borderId="47" applyNumberFormat="0" applyFont="0" applyAlignment="0" applyProtection="0"/>
    <xf numFmtId="0" fontId="144" fillId="35" borderId="47" applyNumberFormat="0" applyFont="0" applyAlignment="0" applyProtection="0"/>
    <xf numFmtId="0" fontId="151" fillId="35" borderId="47" applyNumberFormat="0" applyFont="0" applyAlignment="0" applyProtection="0"/>
    <xf numFmtId="0" fontId="144" fillId="35" borderId="47" applyNumberFormat="0" applyFont="0" applyAlignment="0" applyProtection="0"/>
    <xf numFmtId="0" fontId="150" fillId="35" borderId="47" applyNumberFormat="0" applyFont="0" applyAlignment="0" applyProtection="0"/>
    <xf numFmtId="0" fontId="144" fillId="35" borderId="47" applyNumberFormat="0" applyFont="0" applyAlignment="0" applyProtection="0"/>
    <xf numFmtId="0" fontId="149" fillId="35" borderId="47" applyNumberFormat="0" applyFont="0" applyAlignment="0" applyProtection="0"/>
    <xf numFmtId="0" fontId="144" fillId="35" borderId="47" applyNumberFormat="0" applyFont="0" applyAlignment="0" applyProtection="0"/>
    <xf numFmtId="0" fontId="148" fillId="35" borderId="47" applyNumberFormat="0" applyFont="0" applyAlignment="0" applyProtection="0"/>
    <xf numFmtId="0" fontId="144" fillId="35" borderId="47" applyNumberFormat="0" applyFont="0" applyAlignment="0" applyProtection="0"/>
    <xf numFmtId="0" fontId="147" fillId="35" borderId="47" applyNumberFormat="0" applyFont="0" applyAlignment="0" applyProtection="0"/>
    <xf numFmtId="0" fontId="144" fillId="35" borderId="47" applyNumberFormat="0" applyFont="0" applyAlignment="0" applyProtection="0"/>
    <xf numFmtId="0" fontId="146" fillId="35" borderId="47" applyNumberFormat="0" applyFont="0" applyAlignment="0" applyProtection="0"/>
    <xf numFmtId="0" fontId="144" fillId="35" borderId="47" applyNumberFormat="0" applyFont="0" applyAlignment="0" applyProtection="0"/>
    <xf numFmtId="0" fontId="199" fillId="35" borderId="47" applyNumberFormat="0" applyFont="0" applyAlignment="0" applyProtection="0"/>
    <xf numFmtId="0" fontId="144" fillId="35" borderId="47" applyNumberFormat="0" applyFont="0" applyAlignment="0" applyProtection="0"/>
    <xf numFmtId="0" fontId="145" fillId="35" borderId="47" applyNumberFormat="0" applyFont="0" applyAlignment="0" applyProtection="0"/>
    <xf numFmtId="0" fontId="144" fillId="35" borderId="47" applyNumberFormat="0" applyFont="0" applyAlignment="0" applyProtection="0"/>
    <xf numFmtId="0" fontId="144" fillId="35" borderId="47" applyNumberFormat="0" applyFont="0" applyAlignment="0" applyProtection="0"/>
    <xf numFmtId="0" fontId="143" fillId="35" borderId="47" applyNumberFormat="0" applyFont="0" applyAlignment="0" applyProtection="0"/>
    <xf numFmtId="0" fontId="142" fillId="35" borderId="47" applyNumberFormat="0" applyFont="0" applyAlignment="0" applyProtection="0"/>
    <xf numFmtId="0" fontId="141" fillId="35" borderId="47" applyNumberFormat="0" applyFont="0" applyAlignment="0" applyProtection="0"/>
    <xf numFmtId="0" fontId="140" fillId="35" borderId="47" applyNumberFormat="0" applyFont="0" applyAlignment="0" applyProtection="0"/>
    <xf numFmtId="0" fontId="139" fillId="35" borderId="47" applyNumberFormat="0" applyFont="0" applyAlignment="0" applyProtection="0"/>
    <xf numFmtId="0" fontId="138" fillId="35" borderId="47" applyNumberFormat="0" applyFont="0" applyAlignment="0" applyProtection="0"/>
    <xf numFmtId="0" fontId="137" fillId="35" borderId="47" applyNumberFormat="0" applyFont="0" applyAlignment="0" applyProtection="0"/>
    <xf numFmtId="0" fontId="136" fillId="35" borderId="47" applyNumberFormat="0" applyFont="0" applyAlignment="0" applyProtection="0"/>
    <xf numFmtId="0" fontId="198" fillId="35" borderId="47" applyNumberFormat="0" applyFont="0" applyAlignment="0" applyProtection="0"/>
    <xf numFmtId="0" fontId="144" fillId="35" borderId="47" applyNumberFormat="0" applyFont="0" applyAlignment="0" applyProtection="0"/>
    <xf numFmtId="0" fontId="135" fillId="35" borderId="47" applyNumberFormat="0" applyFont="0" applyAlignment="0" applyProtection="0"/>
    <xf numFmtId="0" fontId="134" fillId="35" borderId="47" applyNumberFormat="0" applyFont="0" applyAlignment="0" applyProtection="0"/>
    <xf numFmtId="0" fontId="133" fillId="35" borderId="47" applyNumberFormat="0" applyFont="0" applyAlignment="0" applyProtection="0"/>
    <xf numFmtId="0" fontId="132" fillId="35" borderId="47" applyNumberFormat="0" applyFont="0" applyAlignment="0" applyProtection="0"/>
    <xf numFmtId="0" fontId="131" fillId="35" borderId="47" applyNumberFormat="0" applyFont="0" applyAlignment="0" applyProtection="0"/>
    <xf numFmtId="0" fontId="130" fillId="35" borderId="47" applyNumberFormat="0" applyFont="0" applyAlignment="0" applyProtection="0"/>
    <xf numFmtId="0" fontId="129" fillId="35" borderId="47" applyNumberFormat="0" applyFont="0" applyAlignment="0" applyProtection="0"/>
    <xf numFmtId="0" fontId="128" fillId="35" borderId="47" applyNumberFormat="0" applyFont="0" applyAlignment="0" applyProtection="0"/>
    <xf numFmtId="0" fontId="127" fillId="35" borderId="47" applyNumberFormat="0" applyFont="0" applyAlignment="0" applyProtection="0"/>
    <xf numFmtId="0" fontId="126" fillId="35" borderId="47" applyNumberFormat="0" applyFont="0" applyAlignment="0" applyProtection="0"/>
    <xf numFmtId="0" fontId="197" fillId="35" borderId="47" applyNumberFormat="0" applyFont="0" applyAlignment="0" applyProtection="0"/>
    <xf numFmtId="0" fontId="144" fillId="35" borderId="47" applyNumberFormat="0" applyFont="0" applyAlignment="0" applyProtection="0"/>
    <xf numFmtId="0" fontId="125" fillId="35" borderId="47" applyNumberFormat="0" applyFont="0" applyAlignment="0" applyProtection="0"/>
    <xf numFmtId="0" fontId="124" fillId="35" borderId="47" applyNumberFormat="0" applyFont="0" applyAlignment="0" applyProtection="0"/>
    <xf numFmtId="0" fontId="123" fillId="35" borderId="47" applyNumberFormat="0" applyFont="0" applyAlignment="0" applyProtection="0"/>
    <xf numFmtId="0" fontId="122" fillId="35" borderId="47" applyNumberFormat="0" applyFont="0" applyAlignment="0" applyProtection="0"/>
    <xf numFmtId="0" fontId="121" fillId="35" borderId="47" applyNumberFormat="0" applyFont="0" applyAlignment="0" applyProtection="0"/>
    <xf numFmtId="0" fontId="120" fillId="35" borderId="47" applyNumberFormat="0" applyFont="0" applyAlignment="0" applyProtection="0"/>
    <xf numFmtId="0" fontId="119" fillId="35" borderId="47" applyNumberFormat="0" applyFont="0" applyAlignment="0" applyProtection="0"/>
    <xf numFmtId="0" fontId="118" fillId="35" borderId="47" applyNumberFormat="0" applyFont="0" applyAlignment="0" applyProtection="0"/>
    <xf numFmtId="0" fontId="117" fillId="35" borderId="47" applyNumberFormat="0" applyFont="0" applyAlignment="0" applyProtection="0"/>
    <xf numFmtId="0" fontId="116" fillId="35" borderId="47" applyNumberFormat="0" applyFont="0" applyAlignment="0" applyProtection="0"/>
    <xf numFmtId="0" fontId="196" fillId="35" borderId="47" applyNumberFormat="0" applyFont="0" applyAlignment="0" applyProtection="0"/>
    <xf numFmtId="0" fontId="144" fillId="35" borderId="47" applyNumberFormat="0" applyFont="0" applyAlignment="0" applyProtection="0"/>
    <xf numFmtId="0" fontId="115" fillId="35" borderId="47" applyNumberFormat="0" applyFont="0" applyAlignment="0" applyProtection="0"/>
    <xf numFmtId="0" fontId="114" fillId="35" borderId="47" applyNumberFormat="0" applyFont="0" applyAlignment="0" applyProtection="0"/>
    <xf numFmtId="0" fontId="113" fillId="35" borderId="47" applyNumberFormat="0" applyFont="0" applyAlignment="0" applyProtection="0"/>
    <xf numFmtId="0" fontId="112" fillId="35" borderId="47" applyNumberFormat="0" applyFont="0" applyAlignment="0" applyProtection="0"/>
    <xf numFmtId="0" fontId="111" fillId="35" borderId="47" applyNumberFormat="0" applyFont="0" applyAlignment="0" applyProtection="0"/>
    <xf numFmtId="0" fontId="110" fillId="35" borderId="47" applyNumberFormat="0" applyFont="0" applyAlignment="0" applyProtection="0"/>
    <xf numFmtId="0" fontId="109" fillId="35" borderId="47" applyNumberFormat="0" applyFont="0" applyAlignment="0" applyProtection="0"/>
    <xf numFmtId="0" fontId="108" fillId="35" borderId="47" applyNumberFormat="0" applyFont="0" applyAlignment="0" applyProtection="0"/>
    <xf numFmtId="0" fontId="107" fillId="35" borderId="47" applyNumberFormat="0" applyFont="0" applyAlignment="0" applyProtection="0"/>
    <xf numFmtId="0" fontId="106" fillId="35" borderId="47" applyNumberFormat="0" applyFont="0" applyAlignment="0" applyProtection="0"/>
    <xf numFmtId="0" fontId="300" fillId="36" borderId="0" applyNumberFormat="0" applyBorder="0" applyAlignment="0" applyProtection="0"/>
    <xf numFmtId="43" fontId="284" fillId="0" borderId="0" applyFont="0" applyFill="0" applyBorder="0" applyAlignment="0" applyProtection="0"/>
    <xf numFmtId="0" fontId="284" fillId="35" borderId="47" applyNumberFormat="0" applyFont="0" applyAlignment="0" applyProtection="0"/>
    <xf numFmtId="0" fontId="303" fillId="0" borderId="0"/>
    <xf numFmtId="43" fontId="303" fillId="0" borderId="0" applyFont="0" applyFill="0" applyBorder="0" applyAlignment="0" applyProtection="0"/>
    <xf numFmtId="0" fontId="304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284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303" fillId="0" borderId="0"/>
    <xf numFmtId="9" fontId="284" fillId="0" borderId="0" applyFont="0" applyFill="0" applyBorder="0" applyAlignment="0" applyProtection="0"/>
    <xf numFmtId="0" fontId="203" fillId="0" borderId="0"/>
    <xf numFmtId="43" fontId="203" fillId="0" borderId="0" applyFont="0" applyFill="0" applyBorder="0" applyAlignment="0" applyProtection="0"/>
    <xf numFmtId="0" fontId="284" fillId="0" borderId="0"/>
    <xf numFmtId="0" fontId="284" fillId="0" borderId="0"/>
    <xf numFmtId="9" fontId="203" fillId="0" borderId="0" applyFont="0" applyFill="0" applyBorder="0" applyAlignment="0" applyProtection="0"/>
    <xf numFmtId="9" fontId="203" fillId="0" borderId="0" applyFont="0" applyFill="0" applyBorder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35" borderId="47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3" fillId="0" borderId="0"/>
    <xf numFmtId="0" fontId="334" fillId="37" borderId="0" applyNumberFormat="0" applyBorder="0" applyAlignment="0" applyProtection="0"/>
    <xf numFmtId="0" fontId="334" fillId="38" borderId="0" applyNumberFormat="0" applyBorder="0" applyAlignment="0" applyProtection="0"/>
    <xf numFmtId="0" fontId="334" fillId="39" borderId="0" applyNumberFormat="0" applyBorder="0" applyAlignment="0" applyProtection="0"/>
    <xf numFmtId="0" fontId="334" fillId="40" borderId="0" applyNumberFormat="0" applyBorder="0" applyAlignment="0" applyProtection="0"/>
    <xf numFmtId="0" fontId="334" fillId="41" borderId="0" applyNumberFormat="0" applyBorder="0" applyAlignment="0" applyProtection="0"/>
    <xf numFmtId="0" fontId="334" fillId="42" borderId="0" applyNumberFormat="0" applyBorder="0" applyAlignment="0" applyProtection="0"/>
    <xf numFmtId="0" fontId="334" fillId="43" borderId="0" applyNumberFormat="0" applyBorder="0" applyAlignment="0" applyProtection="0"/>
    <xf numFmtId="0" fontId="334" fillId="44" borderId="0" applyNumberFormat="0" applyBorder="0" applyAlignment="0" applyProtection="0"/>
    <xf numFmtId="0" fontId="334" fillId="45" borderId="0" applyNumberFormat="0" applyBorder="0" applyAlignment="0" applyProtection="0"/>
    <xf numFmtId="0" fontId="334" fillId="40" borderId="0" applyNumberFormat="0" applyBorder="0" applyAlignment="0" applyProtection="0"/>
    <xf numFmtId="0" fontId="334" fillId="43" borderId="0" applyNumberFormat="0" applyBorder="0" applyAlignment="0" applyProtection="0"/>
    <xf numFmtId="0" fontId="334" fillId="46" borderId="0" applyNumberFormat="0" applyBorder="0" applyAlignment="0" applyProtection="0"/>
    <xf numFmtId="0" fontId="335" fillId="47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8" borderId="0" applyNumberFormat="0" applyBorder="0" applyAlignment="0" applyProtection="0"/>
    <xf numFmtId="0" fontId="335" fillId="49" borderId="0" applyNumberFormat="0" applyBorder="0" applyAlignment="0" applyProtection="0"/>
    <xf numFmtId="0" fontId="335" fillId="50" borderId="0" applyNumberFormat="0" applyBorder="0" applyAlignment="0" applyProtection="0"/>
    <xf numFmtId="0" fontId="335" fillId="51" borderId="0" applyNumberFormat="0" applyBorder="0" applyAlignment="0" applyProtection="0"/>
    <xf numFmtId="0" fontId="335" fillId="52" borderId="0" applyNumberFormat="0" applyBorder="0" applyAlignment="0" applyProtection="0"/>
    <xf numFmtId="0" fontId="335" fillId="53" borderId="0" applyNumberFormat="0" applyBorder="0" applyAlignment="0" applyProtection="0"/>
    <xf numFmtId="0" fontId="335" fillId="48" borderId="0" applyNumberFormat="0" applyBorder="0" applyAlignment="0" applyProtection="0"/>
    <xf numFmtId="0" fontId="335" fillId="49" borderId="0" applyNumberFormat="0" applyBorder="0" applyAlignment="0" applyProtection="0"/>
    <xf numFmtId="0" fontId="335" fillId="54" borderId="0" applyNumberFormat="0" applyBorder="0" applyAlignment="0" applyProtection="0"/>
    <xf numFmtId="0" fontId="336" fillId="42" borderId="49" applyNumberFormat="0" applyAlignment="0" applyProtection="0"/>
    <xf numFmtId="0" fontId="337" fillId="55" borderId="50" applyNumberFormat="0" applyAlignment="0" applyProtection="0"/>
    <xf numFmtId="0" fontId="338" fillId="39" borderId="0" applyNumberFormat="0" applyBorder="0" applyAlignment="0" applyProtection="0"/>
    <xf numFmtId="0" fontId="339" fillId="0" borderId="51" applyNumberFormat="0" applyFill="0" applyAlignment="0" applyProtection="0"/>
    <xf numFmtId="0" fontId="340" fillId="56" borderId="52" applyNumberFormat="0" applyAlignment="0" applyProtection="0"/>
    <xf numFmtId="0" fontId="341" fillId="0" borderId="53" applyNumberFormat="0" applyFill="0" applyAlignment="0" applyProtection="0"/>
    <xf numFmtId="0" fontId="342" fillId="0" borderId="54" applyNumberFormat="0" applyFill="0" applyAlignment="0" applyProtection="0"/>
    <xf numFmtId="0" fontId="343" fillId="0" borderId="55" applyNumberFormat="0" applyFill="0" applyAlignment="0" applyProtection="0"/>
    <xf numFmtId="0" fontId="343" fillId="0" borderId="0" applyNumberFormat="0" applyFill="0" applyBorder="0" applyAlignment="0" applyProtection="0"/>
    <xf numFmtId="0" fontId="344" fillId="57" borderId="0" applyNumberFormat="0" applyBorder="0" applyAlignment="0" applyProtection="0"/>
    <xf numFmtId="0" fontId="345" fillId="55" borderId="49" applyNumberFormat="0" applyAlignment="0" applyProtection="0"/>
    <xf numFmtId="9" fontId="333" fillId="0" borderId="0" applyFont="0" applyFill="0" applyBorder="0" applyAlignment="0" applyProtection="0"/>
    <xf numFmtId="0" fontId="346" fillId="0" borderId="56" applyNumberFormat="0" applyFill="0" applyAlignment="0" applyProtection="0"/>
    <xf numFmtId="0" fontId="347" fillId="0" borderId="0" applyNumberFormat="0" applyFill="0" applyBorder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33" fillId="58" borderId="57" applyNumberFormat="0" applyFont="0" applyAlignment="0" applyProtection="0"/>
    <xf numFmtId="0" fontId="350" fillId="38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52" fillId="0" borderId="0"/>
    <xf numFmtId="9" fontId="352" fillId="0" borderId="0" applyFont="0" applyFill="0" applyBorder="0" applyAlignment="0" applyProtection="0"/>
    <xf numFmtId="0" fontId="352" fillId="58" borderId="57" applyNumberFormat="0" applyFont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7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203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43" fontId="20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03" fillId="0" borderId="0" applyFont="0" applyFill="0" applyBorder="0" applyAlignment="0" applyProtection="0"/>
    <xf numFmtId="0" fontId="4" fillId="35" borderId="47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7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56" fillId="0" borderId="0"/>
    <xf numFmtId="9" fontId="356" fillId="0" borderId="0" applyFont="0" applyFill="0" applyBorder="0" applyAlignment="0" applyProtection="0"/>
    <xf numFmtId="0" fontId="356" fillId="58" borderId="57" applyNumberFormat="0" applyFont="0" applyAlignment="0" applyProtection="0"/>
    <xf numFmtId="0" fontId="363" fillId="0" borderId="0"/>
    <xf numFmtId="9" fontId="363" fillId="0" borderId="0" applyFont="0" applyFill="0" applyBorder="0" applyAlignment="0" applyProtection="0"/>
    <xf numFmtId="0" fontId="363" fillId="58" borderId="57" applyNumberFormat="0" applyFont="0" applyAlignment="0" applyProtection="0"/>
    <xf numFmtId="0" fontId="367" fillId="0" borderId="0"/>
    <xf numFmtId="9" fontId="367" fillId="0" borderId="0" applyFont="0" applyFill="0" applyBorder="0" applyAlignment="0" applyProtection="0"/>
    <xf numFmtId="0" fontId="367" fillId="58" borderId="57" applyNumberFormat="0" applyFont="0" applyAlignment="0" applyProtection="0"/>
    <xf numFmtId="0" fontId="369" fillId="0" borderId="0"/>
    <xf numFmtId="9" fontId="369" fillId="0" borderId="0" applyFont="0" applyFill="0" applyBorder="0" applyAlignment="0" applyProtection="0"/>
    <xf numFmtId="0" fontId="369" fillId="58" borderId="5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7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7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85" fillId="0" borderId="0"/>
    <xf numFmtId="9" fontId="385" fillId="0" borderId="0" applyFont="0" applyFill="0" applyBorder="0" applyAlignment="0" applyProtection="0"/>
    <xf numFmtId="0" fontId="385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386" fillId="0" borderId="0"/>
    <xf numFmtId="9" fontId="386" fillId="0" borderId="0" applyFont="0" applyFill="0" applyBorder="0" applyAlignment="0" applyProtection="0"/>
    <xf numFmtId="0" fontId="386" fillId="58" borderId="5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7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7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2" fillId="0" borderId="0"/>
    <xf numFmtId="9" fontId="392" fillId="0" borderId="0" applyFont="0" applyFill="0" applyBorder="0" applyAlignment="0" applyProtection="0"/>
    <xf numFmtId="0" fontId="392" fillId="58" borderId="57" applyNumberFormat="0" applyFont="0" applyAlignment="0" applyProtection="0"/>
  </cellStyleXfs>
  <cellXfs count="809">
    <xf numFmtId="0" fontId="0" fillId="0" borderId="0" xfId="0"/>
    <xf numFmtId="0" fontId="217" fillId="0" borderId="1" xfId="0" applyFont="1" applyBorder="1" applyAlignment="1">
      <alignment vertical="center"/>
    </xf>
    <xf numFmtId="0" fontId="209" fillId="0" borderId="0" xfId="0" applyFont="1" applyAlignment="1">
      <alignment vertical="center"/>
    </xf>
    <xf numFmtId="0" fontId="217" fillId="0" borderId="0" xfId="0" applyFont="1"/>
    <xf numFmtId="0" fontId="209" fillId="0" borderId="0" xfId="0" applyFont="1"/>
    <xf numFmtId="4" fontId="204" fillId="0" borderId="1" xfId="0" applyNumberFormat="1" applyFont="1" applyFill="1" applyBorder="1" applyAlignment="1">
      <alignment horizontal="left" vertical="center"/>
    </xf>
    <xf numFmtId="0" fontId="210" fillId="0" borderId="1" xfId="0" applyFont="1" applyBorder="1" applyAlignment="1">
      <alignment horizontal="left" vertical="center"/>
    </xf>
    <xf numFmtId="4" fontId="213" fillId="0" borderId="1" xfId="0" applyNumberFormat="1" applyFont="1" applyFill="1" applyBorder="1" applyAlignment="1">
      <alignment horizontal="left" vertical="center"/>
    </xf>
    <xf numFmtId="4" fontId="215" fillId="0" borderId="1" xfId="0" applyNumberFormat="1" applyFont="1" applyBorder="1" applyAlignment="1">
      <alignment horizontal="left" vertical="center"/>
    </xf>
    <xf numFmtId="4" fontId="212" fillId="2" borderId="1" xfId="0" applyNumberFormat="1" applyFont="1" applyFill="1" applyBorder="1" applyAlignment="1">
      <alignment horizontal="left" vertical="center"/>
    </xf>
    <xf numFmtId="4" fontId="219" fillId="0" borderId="1" xfId="0" applyNumberFormat="1" applyFont="1" applyFill="1" applyBorder="1" applyAlignment="1">
      <alignment horizontal="left" vertical="center"/>
    </xf>
    <xf numFmtId="10" fontId="219" fillId="0" borderId="1" xfId="3304" applyNumberFormat="1" applyFont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20" fillId="0" borderId="0" xfId="0" applyFont="1" applyAlignment="1">
      <alignment horizontal="left" vertical="center"/>
    </xf>
    <xf numFmtId="0" fontId="216" fillId="0" borderId="0" xfId="0" applyFont="1" applyAlignment="1">
      <alignment horizontal="left"/>
    </xf>
    <xf numFmtId="0" fontId="209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1" fillId="0" borderId="0" xfId="0" applyFont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6" fillId="0" borderId="0" xfId="0" applyFont="1" applyAlignment="1">
      <alignment horizontal="left" vertical="center"/>
    </xf>
    <xf numFmtId="0" fontId="2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2" fillId="0" borderId="1" xfId="3304" applyNumberFormat="1" applyFont="1" applyBorder="1" applyAlignment="1">
      <alignment horizontal="left" vertical="center"/>
    </xf>
    <xf numFmtId="4" fontId="225" fillId="0" borderId="1" xfId="0" applyNumberFormat="1" applyFont="1" applyFill="1" applyBorder="1" applyAlignment="1">
      <alignment horizontal="left" vertical="center"/>
    </xf>
    <xf numFmtId="10" fontId="226" fillId="0" borderId="1" xfId="3304" applyNumberFormat="1" applyFont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4" fontId="228" fillId="0" borderId="1" xfId="3302" applyNumberFormat="1" applyFont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0" fontId="230" fillId="0" borderId="1" xfId="0" applyNumberFormat="1" applyFont="1" applyFill="1" applyBorder="1" applyAlignment="1">
      <alignment horizontal="left" vertical="center"/>
    </xf>
    <xf numFmtId="4" fontId="225" fillId="2" borderId="1" xfId="0" applyNumberFormat="1" applyFont="1" applyFill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0" fontId="233" fillId="0" borderId="0" xfId="0" applyFont="1" applyAlignment="1">
      <alignment horizontal="left" vertical="center"/>
    </xf>
    <xf numFmtId="4" fontId="226" fillId="2" borderId="1" xfId="0" applyNumberFormat="1" applyFont="1" applyFill="1" applyBorder="1" applyAlignment="1">
      <alignment horizontal="left" vertical="center"/>
    </xf>
    <xf numFmtId="0" fontId="234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4" fontId="239" fillId="0" borderId="1" xfId="0" applyNumberFormat="1" applyFont="1" applyFill="1" applyBorder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3" fontId="238" fillId="0" borderId="1" xfId="3302" applyNumberFormat="1" applyFont="1" applyBorder="1" applyAlignment="1">
      <alignment horizontal="center" vertical="center"/>
    </xf>
    <xf numFmtId="3" fontId="206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0" fillId="0" borderId="0" xfId="0" applyFont="1" applyAlignment="1">
      <alignment horizontal="left" vertical="center"/>
    </xf>
    <xf numFmtId="0" fontId="241" fillId="0" borderId="0" xfId="0" applyFont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9" fontId="238" fillId="0" borderId="1" xfId="3304" applyFont="1" applyBorder="1" applyAlignment="1">
      <alignment horizontal="center" vertical="center"/>
    </xf>
    <xf numFmtId="4" fontId="226" fillId="0" borderId="1" xfId="0" applyNumberFormat="1" applyFont="1" applyFill="1" applyBorder="1" applyAlignment="1">
      <alignment horizontal="left" vertical="center"/>
    </xf>
    <xf numFmtId="4" fontId="205" fillId="0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3" fontId="239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0" fontId="224" fillId="0" borderId="0" xfId="0" applyFont="1" applyAlignment="1">
      <alignment horizontal="left" vertical="center"/>
    </xf>
    <xf numFmtId="0" fontId="243" fillId="0" borderId="0" xfId="0" applyFont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0" fontId="224" fillId="0" borderId="0" xfId="0" applyFont="1" applyAlignment="1">
      <alignment horizontal="left"/>
    </xf>
    <xf numFmtId="0" fontId="248" fillId="0" borderId="0" xfId="0" applyFont="1" applyAlignment="1">
      <alignment horizontal="left" vertical="center"/>
    </xf>
    <xf numFmtId="0" fontId="206" fillId="0" borderId="0" xfId="0" applyFont="1"/>
    <xf numFmtId="0" fontId="254" fillId="0" borderId="0" xfId="0" applyFont="1" applyAlignment="1">
      <alignment horizontal="left" vertical="center"/>
    </xf>
    <xf numFmtId="0" fontId="255" fillId="0" borderId="0" xfId="0" applyFont="1" applyAlignment="1">
      <alignment horizontal="left"/>
    </xf>
    <xf numFmtId="2" fontId="209" fillId="0" borderId="1" xfId="0" applyNumberFormat="1" applyFont="1" applyBorder="1" applyAlignment="1">
      <alignment vertical="center"/>
    </xf>
    <xf numFmtId="4" fontId="257" fillId="0" borderId="1" xfId="0" applyNumberFormat="1" applyFont="1" applyFill="1" applyBorder="1" applyAlignment="1">
      <alignment horizontal="left" vertical="center"/>
    </xf>
    <xf numFmtId="0" fontId="258" fillId="0" borderId="1" xfId="0" applyFont="1" applyBorder="1" applyAlignment="1">
      <alignment horizontal="center" vertical="center"/>
    </xf>
    <xf numFmtId="0" fontId="258" fillId="0" borderId="0" xfId="0" applyFont="1"/>
    <xf numFmtId="4" fontId="242" fillId="0" borderId="1" xfId="3302" applyNumberFormat="1" applyFont="1" applyBorder="1" applyAlignment="1">
      <alignment horizontal="center" vertical="center"/>
    </xf>
    <xf numFmtId="43" fontId="258" fillId="0" borderId="1" xfId="3040" applyFont="1" applyBorder="1" applyAlignment="1">
      <alignment horizontal="center" vertical="center"/>
    </xf>
    <xf numFmtId="43" fontId="206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47" fillId="0" borderId="1" xfId="3040" applyFont="1" applyBorder="1" applyAlignment="1">
      <alignment horizontal="center" vertical="center"/>
    </xf>
    <xf numFmtId="43" fontId="226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" fontId="257" fillId="0" borderId="1" xfId="0" applyNumberFormat="1" applyFont="1" applyFill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3" fontId="253" fillId="0" borderId="1" xfId="3040" applyNumberFormat="1" applyFont="1" applyBorder="1" applyAlignment="1">
      <alignment horizontal="center" vertical="center"/>
    </xf>
    <xf numFmtId="4" fontId="253" fillId="0" borderId="1" xfId="0" applyNumberFormat="1" applyFont="1" applyFill="1" applyBorder="1" applyAlignment="1">
      <alignment horizontal="left" vertical="center"/>
    </xf>
    <xf numFmtId="43" fontId="249" fillId="0" borderId="1" xfId="3040" applyFont="1" applyBorder="1" applyAlignment="1">
      <alignment horizontal="left" vertical="center"/>
    </xf>
    <xf numFmtId="43" fontId="250" fillId="0" borderId="1" xfId="3040" applyFont="1" applyBorder="1" applyAlignment="1">
      <alignment horizontal="left" vertical="center"/>
    </xf>
    <xf numFmtId="43" fontId="237" fillId="0" borderId="1" xfId="3040" applyFont="1" applyBorder="1" applyAlignment="1">
      <alignment horizontal="left" vertical="center"/>
    </xf>
    <xf numFmtId="10" fontId="251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10" fontId="252" fillId="0" borderId="1" xfId="3304" applyNumberFormat="1" applyFont="1" applyBorder="1" applyAlignment="1">
      <alignment horizontal="center" vertical="center"/>
    </xf>
    <xf numFmtId="10" fontId="238" fillId="0" borderId="1" xfId="3304" applyNumberFormat="1" applyFont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05" fillId="0" borderId="1" xfId="3040" applyFont="1" applyBorder="1" applyAlignment="1">
      <alignment horizontal="left" vertical="center"/>
    </xf>
    <xf numFmtId="10" fontId="226" fillId="0" borderId="1" xfId="3304" applyNumberFormat="1" applyFont="1" applyBorder="1" applyAlignment="1">
      <alignment horizontal="center" vertical="center"/>
    </xf>
    <xf numFmtId="43" fontId="212" fillId="0" borderId="1" xfId="3040" applyFont="1" applyBorder="1" applyAlignment="1">
      <alignment horizontal="left" vertical="center"/>
    </xf>
    <xf numFmtId="43" fontId="257" fillId="0" borderId="1" xfId="3040" applyFont="1" applyFill="1" applyBorder="1" applyAlignment="1">
      <alignment horizontal="center" vertical="center"/>
    </xf>
    <xf numFmtId="4" fontId="256" fillId="0" borderId="5" xfId="0" applyNumberFormat="1" applyFont="1" applyFill="1" applyBorder="1" applyAlignment="1">
      <alignment horizontal="left" vertical="center"/>
    </xf>
    <xf numFmtId="10" fontId="256" fillId="0" borderId="5" xfId="3304" applyNumberFormat="1" applyFont="1" applyBorder="1" applyAlignment="1">
      <alignment horizontal="center" vertical="center"/>
    </xf>
    <xf numFmtId="49" fontId="238" fillId="0" borderId="1" xfId="3040" applyNumberFormat="1" applyFont="1" applyBorder="1" applyAlignment="1">
      <alignment horizontal="center" vertical="center"/>
    </xf>
    <xf numFmtId="2" fontId="209" fillId="0" borderId="0" xfId="0" applyNumberFormat="1" applyFont="1"/>
    <xf numFmtId="0" fontId="238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12" fillId="0" borderId="4" xfId="3040" applyNumberFormat="1" applyFont="1" applyBorder="1"/>
    <xf numFmtId="165" fontId="12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9" fillId="0" borderId="1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0" fontId="222" fillId="0" borderId="1" xfId="0" applyFont="1" applyBorder="1" applyAlignment="1">
      <alignment horizontal="left" vertical="center"/>
    </xf>
    <xf numFmtId="43" fontId="260" fillId="2" borderId="1" xfId="3040" applyFont="1" applyFill="1" applyBorder="1" applyAlignment="1">
      <alignment horizontal="left" vertical="center"/>
    </xf>
    <xf numFmtId="4" fontId="261" fillId="0" borderId="1" xfId="0" applyNumberFormat="1" applyFont="1" applyFill="1" applyBorder="1" applyAlignment="1">
      <alignment horizontal="left" vertical="center"/>
    </xf>
    <xf numFmtId="43" fontId="250" fillId="2" borderId="1" xfId="3040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43" fontId="237" fillId="2" borderId="1" xfId="3040" applyFont="1" applyFill="1" applyBorder="1" applyAlignment="1">
      <alignment horizontal="left" vertical="center"/>
    </xf>
    <xf numFmtId="4" fontId="262" fillId="0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2" fontId="250" fillId="2" borderId="1" xfId="0" applyNumberFormat="1" applyFont="1" applyFill="1" applyBorder="1" applyAlignment="1">
      <alignment horizontal="left" vertical="center"/>
    </xf>
    <xf numFmtId="4" fontId="252" fillId="0" borderId="1" xfId="0" applyNumberFormat="1" applyFont="1" applyFill="1" applyBorder="1" applyAlignment="1">
      <alignment horizontal="left" vertical="center"/>
    </xf>
    <xf numFmtId="164" fontId="252" fillId="2" borderId="1" xfId="0" applyNumberFormat="1" applyFont="1" applyFill="1" applyBorder="1" applyAlignment="1">
      <alignment horizontal="left" vertical="center"/>
    </xf>
    <xf numFmtId="164" fontId="263" fillId="2" borderId="1" xfId="0" applyNumberFormat="1" applyFont="1" applyFill="1" applyBorder="1" applyAlignment="1">
      <alignment horizontal="left" vertical="center"/>
    </xf>
    <xf numFmtId="4" fontId="263" fillId="0" borderId="5" xfId="0" applyNumberFormat="1" applyFont="1" applyFill="1" applyBorder="1" applyAlignment="1">
      <alignment horizontal="left" vertical="center"/>
    </xf>
    <xf numFmtId="10" fontId="263" fillId="0" borderId="5" xfId="3304" applyNumberFormat="1" applyFont="1" applyBorder="1" applyAlignment="1">
      <alignment horizontal="center" vertical="center"/>
    </xf>
    <xf numFmtId="43" fontId="257" fillId="0" borderId="1" xfId="3040" applyFont="1" applyBorder="1" applyAlignment="1">
      <alignment horizontal="center" vertical="center"/>
    </xf>
    <xf numFmtId="0" fontId="264" fillId="0" borderId="6" xfId="0" applyFont="1" applyBorder="1" applyAlignment="1">
      <alignment horizontal="center" vertical="center"/>
    </xf>
    <xf numFmtId="4" fontId="206" fillId="0" borderId="1" xfId="0" applyNumberFormat="1" applyFont="1" applyFill="1" applyBorder="1" applyAlignment="1">
      <alignment horizontal="left" vertical="center"/>
    </xf>
    <xf numFmtId="4" fontId="262" fillId="2" borderId="1" xfId="0" applyNumberFormat="1" applyFont="1" applyFill="1" applyBorder="1" applyAlignment="1">
      <alignment horizontal="left" vertical="center"/>
    </xf>
    <xf numFmtId="4" fontId="247" fillId="0" borderId="1" xfId="0" applyNumberFormat="1" applyFont="1" applyFill="1" applyBorder="1" applyAlignment="1">
      <alignment horizontal="left" vertical="center"/>
    </xf>
    <xf numFmtId="10" fontId="247" fillId="0" borderId="1" xfId="3304" applyNumberFormat="1" applyFont="1" applyBorder="1" applyAlignment="1">
      <alignment horizontal="center" vertical="center"/>
    </xf>
    <xf numFmtId="4" fontId="251" fillId="2" borderId="1" xfId="0" applyNumberFormat="1" applyFont="1" applyFill="1" applyBorder="1" applyAlignment="1">
      <alignment horizontal="left" vertical="center"/>
    </xf>
    <xf numFmtId="4" fontId="246" fillId="2" borderId="1" xfId="0" applyNumberFormat="1" applyFont="1" applyFill="1" applyBorder="1" applyAlignment="1">
      <alignment horizontal="left" vertical="center"/>
    </xf>
    <xf numFmtId="4" fontId="206" fillId="2" borderId="1" xfId="0" applyNumberFormat="1" applyFont="1" applyFill="1" applyBorder="1" applyAlignment="1">
      <alignment horizontal="left" vertical="center"/>
    </xf>
    <xf numFmtId="43" fontId="251" fillId="0" borderId="1" xfId="3040" applyFont="1" applyBorder="1" applyAlignment="1">
      <alignment horizontal="center" vertical="center"/>
    </xf>
    <xf numFmtId="1" fontId="246" fillId="2" borderId="1" xfId="0" applyNumberFormat="1" applyFont="1" applyFill="1" applyBorder="1" applyAlignment="1">
      <alignment horizontal="left" vertical="center"/>
    </xf>
    <xf numFmtId="1" fontId="245" fillId="2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4" fontId="260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45" fillId="0" borderId="2" xfId="0" applyNumberFormat="1" applyFont="1" applyFill="1" applyBorder="1" applyAlignment="1">
      <alignment horizontal="left" vertical="center"/>
    </xf>
    <xf numFmtId="3" fontId="245" fillId="0" borderId="0" xfId="3302" applyNumberFormat="1" applyFont="1" applyBorder="1" applyAlignment="1">
      <alignment horizontal="center" vertical="center"/>
    </xf>
    <xf numFmtId="4" fontId="245" fillId="2" borderId="3" xfId="0" applyNumberFormat="1" applyFont="1" applyFill="1" applyBorder="1" applyAlignment="1">
      <alignment horizontal="left" vertical="center"/>
    </xf>
    <xf numFmtId="0" fontId="206" fillId="0" borderId="0" xfId="0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1" fontId="206" fillId="0" borderId="0" xfId="0" applyNumberFormat="1" applyFont="1" applyBorder="1" applyAlignment="1">
      <alignment horizontal="left" vertical="center"/>
    </xf>
    <xf numFmtId="0" fontId="265" fillId="0" borderId="0" xfId="0" applyFont="1" applyAlignment="1">
      <alignment horizontal="left"/>
    </xf>
    <xf numFmtId="0" fontId="265" fillId="0" borderId="0" xfId="0" applyFont="1" applyAlignment="1">
      <alignment horizontal="left" vertical="center"/>
    </xf>
    <xf numFmtId="0" fontId="266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0" fontId="267" fillId="0" borderId="0" xfId="0" applyFont="1" applyAlignment="1">
      <alignment horizontal="left" vertical="center"/>
    </xf>
    <xf numFmtId="0" fontId="267" fillId="0" borderId="0" xfId="0" applyFont="1" applyAlignment="1">
      <alignment horizontal="left"/>
    </xf>
    <xf numFmtId="0" fontId="267" fillId="0" borderId="0" xfId="0" applyFont="1"/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1" fontId="222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60" fillId="0" borderId="1" xfId="3040" applyFont="1" applyBorder="1" applyAlignment="1">
      <alignment horizontal="left" vertical="center"/>
    </xf>
    <xf numFmtId="165" fontId="0" fillId="0" borderId="0" xfId="0" applyNumberFormat="1"/>
    <xf numFmtId="2" fontId="209" fillId="0" borderId="1" xfId="0" applyNumberFormat="1" applyFont="1" applyFill="1" applyBorder="1" applyAlignment="1">
      <alignment vertical="center"/>
    </xf>
    <xf numFmtId="0" fontId="222" fillId="3" borderId="8" xfId="0" applyFont="1" applyFill="1" applyBorder="1" applyAlignment="1">
      <alignment horizontal="center"/>
    </xf>
    <xf numFmtId="0" fontId="206" fillId="0" borderId="9" xfId="0" applyFont="1" applyFill="1" applyBorder="1" applyAlignment="1">
      <alignment horizontal="center"/>
    </xf>
    <xf numFmtId="0" fontId="206" fillId="0" borderId="10" xfId="0" applyFont="1" applyFill="1" applyBorder="1" applyAlignment="1">
      <alignment horizontal="center"/>
    </xf>
    <xf numFmtId="0" fontId="206" fillId="0" borderId="11" xfId="0" applyFont="1" applyFill="1" applyBorder="1" applyAlignment="1">
      <alignment horizontal="center"/>
    </xf>
    <xf numFmtId="0" fontId="206" fillId="0" borderId="12" xfId="0" applyFont="1" applyFill="1" applyBorder="1" applyAlignment="1">
      <alignment horizontal="center"/>
    </xf>
    <xf numFmtId="0" fontId="206" fillId="0" borderId="13" xfId="0" applyFont="1" applyFill="1" applyBorder="1" applyAlignment="1">
      <alignment horizontal="center"/>
    </xf>
    <xf numFmtId="0" fontId="270" fillId="0" borderId="0" xfId="0" applyFont="1" applyFill="1" applyBorder="1" applyAlignment="1">
      <alignment horizontal="center"/>
    </xf>
    <xf numFmtId="0" fontId="206" fillId="0" borderId="1" xfId="0" applyFont="1" applyFill="1" applyBorder="1" applyAlignment="1">
      <alignment horizontal="center"/>
    </xf>
    <xf numFmtId="0" fontId="206" fillId="0" borderId="17" xfId="0" applyFont="1" applyFill="1" applyBorder="1" applyAlignment="1">
      <alignment horizontal="center"/>
    </xf>
    <xf numFmtId="0" fontId="206" fillId="0" borderId="18" xfId="0" applyFont="1" applyFill="1" applyBorder="1" applyAlignment="1">
      <alignment horizontal="center"/>
    </xf>
    <xf numFmtId="0" fontId="0" fillId="0" borderId="0" xfId="0" applyFont="1"/>
    <xf numFmtId="0" fontId="214" fillId="0" borderId="0" xfId="0" applyFont="1"/>
    <xf numFmtId="0" fontId="224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4" fillId="0" borderId="23" xfId="0" applyFont="1" applyBorder="1" applyAlignment="1">
      <alignment horizontal="center" vertical="center"/>
    </xf>
    <xf numFmtId="0" fontId="264" fillId="0" borderId="19" xfId="0" applyFont="1" applyBorder="1" applyAlignment="1">
      <alignment horizontal="center" vertical="center"/>
    </xf>
    <xf numFmtId="0" fontId="222" fillId="0" borderId="19" xfId="0" applyFont="1" applyBorder="1" applyAlignment="1">
      <alignment horizontal="center" vertical="center"/>
    </xf>
    <xf numFmtId="0" fontId="222" fillId="0" borderId="6" xfId="0" applyFont="1" applyBorder="1" applyAlignment="1">
      <alignment horizontal="center" vertical="center"/>
    </xf>
    <xf numFmtId="0" fontId="230" fillId="0" borderId="6" xfId="0" applyFont="1" applyFill="1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4" fontId="205" fillId="0" borderId="23" xfId="0" applyNumberFormat="1" applyFont="1" applyFill="1" applyBorder="1" applyAlignment="1">
      <alignment horizontal="left" vertical="center"/>
    </xf>
    <xf numFmtId="4" fontId="205" fillId="0" borderId="19" xfId="0" applyNumberFormat="1" applyFont="1" applyFill="1" applyBorder="1" applyAlignment="1">
      <alignment horizontal="left" vertical="center"/>
    </xf>
    <xf numFmtId="4" fontId="205" fillId="0" borderId="6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45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230" fillId="4" borderId="19" xfId="0" applyFont="1" applyFill="1" applyBorder="1" applyAlignment="1">
      <alignment horizontal="center" vertical="center"/>
    </xf>
    <xf numFmtId="4" fontId="260" fillId="4" borderId="1" xfId="0" applyNumberFormat="1" applyFont="1" applyFill="1" applyBorder="1" applyAlignment="1">
      <alignment horizontal="center" vertical="center"/>
    </xf>
    <xf numFmtId="4" fontId="260" fillId="4" borderId="1" xfId="0" applyNumberFormat="1" applyFont="1" applyFill="1" applyBorder="1" applyAlignment="1">
      <alignment horizontal="left" vertical="center"/>
    </xf>
    <xf numFmtId="43" fontId="245" fillId="4" borderId="1" xfId="3040" applyFont="1" applyFill="1" applyBorder="1" applyAlignment="1">
      <alignment horizontal="left" vertical="center"/>
    </xf>
    <xf numFmtId="43" fontId="250" fillId="4" borderId="1" xfId="3040" applyFont="1" applyFill="1" applyBorder="1" applyAlignment="1">
      <alignment horizontal="left" vertical="center"/>
    </xf>
    <xf numFmtId="10" fontId="251" fillId="4" borderId="1" xfId="3304" applyNumberFormat="1" applyFont="1" applyFill="1" applyBorder="1" applyAlignment="1">
      <alignment horizontal="center" vertical="center"/>
    </xf>
    <xf numFmtId="10" fontId="252" fillId="4" borderId="1" xfId="3304" applyNumberFormat="1" applyFont="1" applyFill="1" applyBorder="1" applyAlignment="1">
      <alignment horizontal="center" vertical="center"/>
    </xf>
    <xf numFmtId="10" fontId="263" fillId="4" borderId="5" xfId="3304" applyNumberFormat="1" applyFont="1" applyFill="1" applyBorder="1" applyAlignment="1">
      <alignment horizontal="center" vertical="center"/>
    </xf>
    <xf numFmtId="0" fontId="264" fillId="4" borderId="19" xfId="0" applyFont="1" applyFill="1" applyBorder="1" applyAlignment="1">
      <alignment horizontal="center" vertical="center"/>
    </xf>
    <xf numFmtId="43" fontId="257" fillId="4" borderId="1" xfId="3040" applyFont="1" applyFill="1" applyBorder="1" applyAlignment="1">
      <alignment horizontal="center" vertical="center"/>
    </xf>
    <xf numFmtId="43" fontId="206" fillId="4" borderId="1" xfId="3040" applyFont="1" applyFill="1" applyBorder="1" applyAlignment="1">
      <alignment horizontal="center" vertical="center"/>
    </xf>
    <xf numFmtId="43" fontId="247" fillId="4" borderId="1" xfId="3040" applyFont="1" applyFill="1" applyBorder="1" applyAlignment="1">
      <alignment horizontal="center" vertical="center"/>
    </xf>
    <xf numFmtId="10" fontId="247" fillId="4" borderId="1" xfId="3304" applyNumberFormat="1" applyFont="1" applyFill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43" fontId="251" fillId="4" borderId="1" xfId="3040" applyFont="1" applyFill="1" applyBorder="1" applyAlignment="1">
      <alignment horizontal="center" vertical="center"/>
    </xf>
    <xf numFmtId="43" fontId="245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6" fillId="0" borderId="26" xfId="0" applyFont="1" applyFill="1" applyBorder="1" applyAlignment="1">
      <alignment horizontal="center"/>
    </xf>
    <xf numFmtId="0" fontId="206" fillId="0" borderId="15" xfId="0" applyFont="1" applyFill="1" applyBorder="1" applyAlignment="1">
      <alignment horizontal="center"/>
    </xf>
    <xf numFmtId="0" fontId="222" fillId="3" borderId="18" xfId="0" applyFont="1" applyFill="1" applyBorder="1" applyAlignment="1">
      <alignment horizontal="center"/>
    </xf>
    <xf numFmtId="0" fontId="222" fillId="3" borderId="27" xfId="0" applyFont="1" applyFill="1" applyBorder="1" applyAlignment="1">
      <alignment horizontal="center"/>
    </xf>
    <xf numFmtId="0" fontId="222" fillId="5" borderId="27" xfId="0" applyFont="1" applyFill="1" applyBorder="1" applyAlignment="1">
      <alignment horizontal="center"/>
    </xf>
    <xf numFmtId="0" fontId="222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3" fontId="209" fillId="0" borderId="19" xfId="0" applyNumberFormat="1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4" fontId="228" fillId="0" borderId="1" xfId="3302" applyNumberFormat="1" applyFont="1" applyBorder="1" applyAlignment="1">
      <alignment horizontal="center" vertical="center"/>
    </xf>
    <xf numFmtId="43" fontId="237" fillId="0" borderId="1" xfId="3040" applyFont="1" applyBorder="1" applyAlignment="1">
      <alignment horizontal="center" vertical="center"/>
    </xf>
    <xf numFmtId="43" fontId="209" fillId="0" borderId="4" xfId="3040" applyFont="1" applyBorder="1" applyAlignment="1">
      <alignment vertical="center"/>
    </xf>
    <xf numFmtId="10" fontId="209" fillId="0" borderId="4" xfId="3304" applyNumberFormat="1" applyFont="1" applyBorder="1" applyAlignment="1">
      <alignment vertical="center"/>
    </xf>
    <xf numFmtId="0" fontId="273" fillId="2" borderId="0" xfId="0" applyFont="1" applyFill="1"/>
    <xf numFmtId="0" fontId="276" fillId="2" borderId="0" xfId="0" applyFont="1" applyFill="1"/>
    <xf numFmtId="10" fontId="275" fillId="2" borderId="4" xfId="3304" applyNumberFormat="1" applyFont="1" applyFill="1" applyBorder="1" applyAlignment="1">
      <alignment horizontal="center"/>
    </xf>
    <xf numFmtId="43" fontId="224" fillId="0" borderId="4" xfId="3040" applyFont="1" applyBorder="1" applyAlignment="1">
      <alignment horizontal="center"/>
    </xf>
    <xf numFmtId="0" fontId="224" fillId="0" borderId="4" xfId="0" applyFont="1" applyBorder="1" applyAlignment="1">
      <alignment horizontal="center"/>
    </xf>
    <xf numFmtId="43" fontId="224" fillId="0" borderId="4" xfId="0" applyNumberFormat="1" applyFont="1" applyBorder="1" applyAlignment="1">
      <alignment horizontal="center"/>
    </xf>
    <xf numFmtId="10" fontId="244" fillId="0" borderId="1" xfId="3304" applyNumberFormat="1" applyFont="1" applyBorder="1" applyAlignment="1">
      <alignment horizontal="left" vertical="center"/>
    </xf>
    <xf numFmtId="164" fontId="244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43" fontId="279" fillId="2" borderId="1" xfId="3040" applyFont="1" applyFill="1" applyBorder="1" applyAlignment="1">
      <alignment horizontal="right" vertical="center"/>
    </xf>
    <xf numFmtId="43" fontId="279" fillId="2" borderId="1" xfId="3040" applyFont="1" applyFill="1" applyBorder="1" applyAlignment="1">
      <alignment horizontal="center" vertical="center"/>
    </xf>
    <xf numFmtId="43" fontId="280" fillId="2" borderId="1" xfId="3040" applyFont="1" applyFill="1" applyBorder="1" applyAlignment="1">
      <alignment horizontal="right" vertical="center"/>
    </xf>
    <xf numFmtId="0" fontId="278" fillId="2" borderId="4" xfId="0" applyFont="1" applyFill="1" applyBorder="1" applyAlignment="1">
      <alignment horizontal="center"/>
    </xf>
    <xf numFmtId="0" fontId="281" fillId="2" borderId="4" xfId="0" applyFont="1" applyFill="1" applyBorder="1" applyAlignment="1">
      <alignment horizontal="center"/>
    </xf>
    <xf numFmtId="43" fontId="228" fillId="2" borderId="23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2" fillId="0" borderId="4" xfId="0" applyFont="1" applyBorder="1" applyAlignment="1">
      <alignment horizontal="center"/>
    </xf>
    <xf numFmtId="0" fontId="282" fillId="0" borderId="0" xfId="0" applyFont="1"/>
    <xf numFmtId="0" fontId="278" fillId="2" borderId="28" xfId="0" applyFont="1" applyFill="1" applyBorder="1" applyAlignment="1">
      <alignment horizontal="center"/>
    </xf>
    <xf numFmtId="10" fontId="275" fillId="2" borderId="28" xfId="3304" applyNumberFormat="1" applyFont="1" applyFill="1" applyBorder="1" applyAlignment="1">
      <alignment horizontal="center"/>
    </xf>
    <xf numFmtId="4" fontId="204" fillId="0" borderId="5" xfId="0" applyNumberFormat="1" applyFont="1" applyFill="1" applyBorder="1" applyAlignment="1">
      <alignment horizontal="left" vertical="center"/>
    </xf>
    <xf numFmtId="4" fontId="205" fillId="0" borderId="5" xfId="0" applyNumberFormat="1" applyFont="1" applyFill="1" applyBorder="1" applyAlignment="1">
      <alignment horizontal="left" vertical="center"/>
    </xf>
    <xf numFmtId="0" fontId="210" fillId="0" borderId="24" xfId="0" applyFont="1" applyBorder="1" applyAlignment="1">
      <alignment horizontal="left" vertical="center"/>
    </xf>
    <xf numFmtId="43" fontId="277" fillId="2" borderId="33" xfId="3040" applyFont="1" applyFill="1" applyBorder="1" applyAlignment="1">
      <alignment horizontal="right" vertical="center"/>
    </xf>
    <xf numFmtId="4" fontId="272" fillId="2" borderId="34" xfId="0" applyNumberFormat="1" applyFont="1" applyFill="1" applyBorder="1" applyAlignment="1">
      <alignment horizontal="left" vertical="center"/>
    </xf>
    <xf numFmtId="10" fontId="274" fillId="2" borderId="35" xfId="3304" applyNumberFormat="1" applyFont="1" applyFill="1" applyBorder="1" applyAlignment="1">
      <alignment horizontal="right" vertical="center"/>
    </xf>
    <xf numFmtId="10" fontId="275" fillId="2" borderId="36" xfId="3304" applyNumberFormat="1" applyFont="1" applyFill="1" applyBorder="1" applyAlignment="1">
      <alignment horizontal="right" vertical="center"/>
    </xf>
    <xf numFmtId="43" fontId="224" fillId="0" borderId="28" xfId="0" applyNumberFormat="1" applyFont="1" applyBorder="1" applyAlignment="1">
      <alignment horizontal="center"/>
    </xf>
    <xf numFmtId="43" fontId="0" fillId="0" borderId="28" xfId="0" applyNumberFormat="1" applyBorder="1" applyAlignment="1">
      <alignment horizontal="center"/>
    </xf>
    <xf numFmtId="0" fontId="224" fillId="0" borderId="28" xfId="0" applyFont="1" applyBorder="1" applyAlignment="1">
      <alignment horizontal="center"/>
    </xf>
    <xf numFmtId="0" fontId="210" fillId="0" borderId="30" xfId="0" applyFont="1" applyBorder="1" applyAlignment="1">
      <alignment horizontal="left" vertical="center"/>
    </xf>
    <xf numFmtId="43" fontId="217" fillId="0" borderId="31" xfId="3040" applyFont="1" applyBorder="1" applyAlignment="1">
      <alignment horizontal="left" vertical="center"/>
    </xf>
    <xf numFmtId="43" fontId="205" fillId="2" borderId="32" xfId="3040" applyFont="1" applyFill="1" applyBorder="1" applyAlignment="1">
      <alignment horizontal="left" vertical="center"/>
    </xf>
    <xf numFmtId="4" fontId="213" fillId="0" borderId="21" xfId="0" applyNumberFormat="1" applyFont="1" applyFill="1" applyBorder="1" applyAlignment="1">
      <alignment horizontal="left" vertical="center"/>
    </xf>
    <xf numFmtId="43" fontId="217" fillId="0" borderId="1" xfId="3040" applyFont="1" applyBorder="1" applyAlignment="1">
      <alignment horizontal="left" vertical="center"/>
    </xf>
    <xf numFmtId="43" fontId="212" fillId="2" borderId="33" xfId="3040" applyFont="1" applyFill="1" applyBorder="1" applyAlignment="1">
      <alignment horizontal="left" vertical="center"/>
    </xf>
    <xf numFmtId="4" fontId="228" fillId="0" borderId="21" xfId="0" applyNumberFormat="1" applyFont="1" applyFill="1" applyBorder="1" applyAlignment="1">
      <alignment horizontal="left" vertical="center"/>
    </xf>
    <xf numFmtId="43" fontId="229" fillId="0" borderId="1" xfId="3040" applyFont="1" applyBorder="1" applyAlignment="1">
      <alignment horizontal="left" vertical="center"/>
    </xf>
    <xf numFmtId="43" fontId="228" fillId="2" borderId="33" xfId="3040" applyFont="1" applyFill="1" applyBorder="1" applyAlignment="1">
      <alignment horizontal="left" vertical="center"/>
    </xf>
    <xf numFmtId="4" fontId="212" fillId="2" borderId="33" xfId="0" applyNumberFormat="1" applyFont="1" applyFill="1" applyBorder="1" applyAlignment="1">
      <alignment horizontal="left" vertical="center"/>
    </xf>
    <xf numFmtId="4" fontId="225" fillId="0" borderId="21" xfId="0" applyNumberFormat="1" applyFont="1" applyFill="1" applyBorder="1" applyAlignment="1">
      <alignment horizontal="left" vertical="center"/>
    </xf>
    <xf numFmtId="2" fontId="212" fillId="2" borderId="33" xfId="0" applyNumberFormat="1" applyFont="1" applyFill="1" applyBorder="1" applyAlignment="1">
      <alignment horizontal="left" vertical="center"/>
    </xf>
    <xf numFmtId="4" fontId="242" fillId="0" borderId="34" xfId="0" applyNumberFormat="1" applyFont="1" applyFill="1" applyBorder="1" applyAlignment="1">
      <alignment horizontal="left" vertical="center"/>
    </xf>
    <xf numFmtId="10" fontId="244" fillId="0" borderId="35" xfId="3304" applyNumberFormat="1" applyFont="1" applyBorder="1" applyAlignment="1">
      <alignment horizontal="center" vertical="center"/>
    </xf>
    <xf numFmtId="10" fontId="244" fillId="0" borderId="35" xfId="3304" applyNumberFormat="1" applyFont="1" applyBorder="1" applyAlignment="1">
      <alignment horizontal="left" vertical="center"/>
    </xf>
    <xf numFmtId="164" fontId="244" fillId="2" borderId="36" xfId="0" applyNumberFormat="1" applyFont="1" applyFill="1" applyBorder="1" applyAlignment="1">
      <alignment horizontal="left" vertical="center"/>
    </xf>
    <xf numFmtId="0" fontId="282" fillId="0" borderId="28" xfId="0" applyFont="1" applyBorder="1" applyAlignment="1">
      <alignment horizontal="center"/>
    </xf>
    <xf numFmtId="4" fontId="213" fillId="0" borderId="22" xfId="0" applyNumberFormat="1" applyFont="1" applyFill="1" applyBorder="1" applyAlignment="1">
      <alignment horizontal="left" vertical="center"/>
    </xf>
    <xf numFmtId="4" fontId="212" fillId="0" borderId="22" xfId="3304" applyNumberFormat="1" applyFont="1" applyBorder="1" applyAlignment="1">
      <alignment horizontal="left" vertical="center"/>
    </xf>
    <xf numFmtId="2" fontId="212" fillId="2" borderId="2" xfId="0" applyNumberFormat="1" applyFont="1" applyFill="1" applyBorder="1" applyAlignment="1">
      <alignment horizontal="left" vertical="center"/>
    </xf>
    <xf numFmtId="4" fontId="213" fillId="0" borderId="5" xfId="0" applyNumberFormat="1" applyFont="1" applyFill="1" applyBorder="1" applyAlignment="1">
      <alignment horizontal="left" vertical="center"/>
    </xf>
    <xf numFmtId="4" fontId="212" fillId="0" borderId="5" xfId="3304" applyNumberFormat="1" applyFont="1" applyBorder="1" applyAlignment="1">
      <alignment horizontal="left" vertical="center"/>
    </xf>
    <xf numFmtId="2" fontId="212" fillId="2" borderId="5" xfId="0" applyNumberFormat="1" applyFont="1" applyFill="1" applyBorder="1" applyAlignment="1">
      <alignment horizontal="left" vertical="center"/>
    </xf>
    <xf numFmtId="2" fontId="212" fillId="2" borderId="22" xfId="0" applyNumberFormat="1" applyFont="1" applyFill="1" applyBorder="1" applyAlignment="1">
      <alignment horizontal="left" vertical="center"/>
    </xf>
    <xf numFmtId="4" fontId="256" fillId="0" borderId="22" xfId="0" applyNumberFormat="1" applyFont="1" applyFill="1" applyBorder="1" applyAlignment="1">
      <alignment horizontal="left" vertical="center"/>
    </xf>
    <xf numFmtId="43" fontId="256" fillId="0" borderId="22" xfId="3304" applyNumberFormat="1" applyFont="1" applyBorder="1" applyAlignment="1">
      <alignment horizontal="center" vertical="center"/>
    </xf>
    <xf numFmtId="164" fontId="256" fillId="2" borderId="24" xfId="0" applyNumberFormat="1" applyFont="1" applyFill="1" applyBorder="1" applyAlignment="1">
      <alignment horizontal="left" vertical="center"/>
    </xf>
    <xf numFmtId="4" fontId="219" fillId="0" borderId="30" xfId="0" applyNumberFormat="1" applyFont="1" applyFill="1" applyBorder="1" applyAlignment="1">
      <alignment horizontal="left" vertical="center"/>
    </xf>
    <xf numFmtId="10" fontId="219" fillId="0" borderId="31" xfId="3304" applyNumberFormat="1" applyFont="1" applyBorder="1" applyAlignment="1">
      <alignment horizontal="left" vertical="center"/>
    </xf>
    <xf numFmtId="164" fontId="219" fillId="2" borderId="32" xfId="0" applyNumberFormat="1" applyFont="1" applyFill="1" applyBorder="1" applyAlignment="1">
      <alignment horizontal="left" vertical="center"/>
    </xf>
    <xf numFmtId="4" fontId="219" fillId="0" borderId="34" xfId="0" applyNumberFormat="1" applyFont="1" applyFill="1" applyBorder="1" applyAlignment="1">
      <alignment horizontal="left" vertical="center"/>
    </xf>
    <xf numFmtId="10" fontId="219" fillId="0" borderId="35" xfId="3304" applyNumberFormat="1" applyFont="1" applyBorder="1" applyAlignment="1">
      <alignment horizontal="left" vertical="center"/>
    </xf>
    <xf numFmtId="164" fontId="219" fillId="2" borderId="36" xfId="0" applyNumberFormat="1" applyFont="1" applyFill="1" applyBorder="1" applyAlignment="1">
      <alignment horizontal="left" vertical="center"/>
    </xf>
    <xf numFmtId="0" fontId="283" fillId="0" borderId="30" xfId="0" applyFont="1" applyBorder="1" applyAlignment="1">
      <alignment horizontal="left" vertical="center"/>
    </xf>
    <xf numFmtId="4" fontId="262" fillId="0" borderId="31" xfId="3302" applyNumberFormat="1" applyFont="1" applyBorder="1" applyAlignment="1">
      <alignment horizontal="left" vertical="center"/>
    </xf>
    <xf numFmtId="43" fontId="262" fillId="0" borderId="31" xfId="3040" applyFont="1" applyBorder="1" applyAlignment="1">
      <alignment horizontal="left" vertical="center"/>
    </xf>
    <xf numFmtId="4" fontId="226" fillId="2" borderId="32" xfId="0" applyNumberFormat="1" applyFont="1" applyFill="1" applyBorder="1" applyAlignment="1">
      <alignment horizontal="left" vertical="center"/>
    </xf>
    <xf numFmtId="0" fontId="283" fillId="0" borderId="38" xfId="0" applyFont="1" applyBorder="1" applyAlignment="1">
      <alignment horizontal="left" vertical="center"/>
    </xf>
    <xf numFmtId="10" fontId="262" fillId="0" borderId="35" xfId="3304" applyNumberFormat="1" applyFont="1" applyBorder="1" applyAlignment="1">
      <alignment horizontal="center" vertical="center"/>
    </xf>
    <xf numFmtId="4" fontId="262" fillId="0" borderId="35" xfId="3302" applyNumberFormat="1" applyFont="1" applyBorder="1" applyAlignment="1">
      <alignment horizontal="left" vertical="center"/>
    </xf>
    <xf numFmtId="4" fontId="226" fillId="0" borderId="35" xfId="3302" applyNumberFormat="1" applyFont="1" applyBorder="1" applyAlignment="1">
      <alignment horizontal="left" vertical="center"/>
    </xf>
    <xf numFmtId="4" fontId="226" fillId="2" borderId="36" xfId="0" applyNumberFormat="1" applyFont="1" applyFill="1" applyBorder="1" applyAlignment="1">
      <alignment horizontal="left" vertical="center"/>
    </xf>
    <xf numFmtId="43" fontId="298" fillId="0" borderId="4" xfId="0" applyNumberFormat="1" applyFont="1" applyBorder="1"/>
    <xf numFmtId="43" fontId="301" fillId="0" borderId="4" xfId="3040" applyFont="1" applyBorder="1"/>
    <xf numFmtId="43" fontId="298" fillId="0" borderId="4" xfId="3040" applyFont="1" applyBorder="1"/>
    <xf numFmtId="10" fontId="0" fillId="0" borderId="0" xfId="3304" applyNumberFormat="1" applyFont="1"/>
    <xf numFmtId="0" fontId="302" fillId="0" borderId="0" xfId="0" applyFont="1"/>
    <xf numFmtId="4" fontId="238" fillId="2" borderId="21" xfId="0" applyNumberFormat="1" applyFont="1" applyFill="1" applyBorder="1" applyAlignment="1">
      <alignment horizontal="left" vertical="center"/>
    </xf>
    <xf numFmtId="4" fontId="238" fillId="2" borderId="30" xfId="0" applyNumberFormat="1" applyFont="1" applyFill="1" applyBorder="1" applyAlignment="1">
      <alignment horizontal="left" vertical="center"/>
    </xf>
    <xf numFmtId="0" fontId="284" fillId="0" borderId="4" xfId="3048" applyBorder="1" applyAlignment="1">
      <alignment horizontal="center"/>
    </xf>
    <xf numFmtId="2" fontId="305" fillId="0" borderId="1" xfId="0" applyNumberFormat="1" applyFont="1" applyBorder="1" applyAlignment="1">
      <alignment vertical="center"/>
    </xf>
    <xf numFmtId="0" fontId="307" fillId="0" borderId="0" xfId="0" applyFont="1" applyAlignment="1">
      <alignment vertical="center" wrapText="1"/>
    </xf>
    <xf numFmtId="4" fontId="308" fillId="0" borderId="0" xfId="0" applyNumberFormat="1" applyFont="1" applyAlignment="1">
      <alignment horizontal="right" vertical="center" wrapText="1"/>
    </xf>
    <xf numFmtId="0" fontId="309" fillId="0" borderId="1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0" borderId="5" xfId="0" applyNumberFormat="1" applyFont="1" applyFill="1" applyBorder="1" applyAlignment="1">
      <alignment horizontal="left" vertical="center"/>
    </xf>
    <xf numFmtId="4" fontId="314" fillId="2" borderId="30" xfId="0" applyNumberFormat="1" applyFont="1" applyFill="1" applyBorder="1" applyAlignment="1">
      <alignment horizontal="left" vertical="center"/>
    </xf>
    <xf numFmtId="4" fontId="315" fillId="2" borderId="31" xfId="0" applyNumberFormat="1" applyFont="1" applyFill="1" applyBorder="1" applyAlignment="1">
      <alignment horizontal="center" vertical="center"/>
    </xf>
    <xf numFmtId="4" fontId="314" fillId="2" borderId="2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right" vertical="center"/>
    </xf>
    <xf numFmtId="43" fontId="316" fillId="2" borderId="1" xfId="3040" applyFont="1" applyFill="1" applyBorder="1" applyAlignment="1">
      <alignment horizontal="center" vertical="center"/>
    </xf>
    <xf numFmtId="43" fontId="315" fillId="2" borderId="33" xfId="3040" applyFont="1" applyFill="1" applyBorder="1" applyAlignment="1">
      <alignment horizontal="right" vertical="center"/>
    </xf>
    <xf numFmtId="4" fontId="318" fillId="2" borderId="34" xfId="0" applyNumberFormat="1" applyFont="1" applyFill="1" applyBorder="1" applyAlignment="1">
      <alignment horizontal="left" vertical="center"/>
    </xf>
    <xf numFmtId="0" fontId="321" fillId="0" borderId="30" xfId="0" applyFont="1" applyBorder="1" applyAlignment="1">
      <alignment horizontal="left" vertical="center"/>
    </xf>
    <xf numFmtId="43" fontId="311" fillId="0" borderId="31" xfId="3040" applyFont="1" applyBorder="1" applyAlignment="1">
      <alignment horizontal="left" vertical="center"/>
    </xf>
    <xf numFmtId="43" fontId="313" fillId="2" borderId="32" xfId="3040" applyFont="1" applyFill="1" applyBorder="1" applyAlignment="1">
      <alignment horizontal="left" vertical="center"/>
    </xf>
    <xf numFmtId="4" fontId="322" fillId="0" borderId="21" xfId="0" applyNumberFormat="1" applyFont="1" applyFill="1" applyBorder="1" applyAlignment="1">
      <alignment horizontal="left" vertical="center"/>
    </xf>
    <xf numFmtId="43" fontId="323" fillId="0" borderId="1" xfId="3040" applyFont="1" applyBorder="1" applyAlignment="1">
      <alignment horizontal="left" vertical="center"/>
    </xf>
    <xf numFmtId="43" fontId="324" fillId="2" borderId="33" xfId="3040" applyFont="1" applyFill="1" applyBorder="1" applyAlignment="1">
      <alignment horizontal="left" vertical="center"/>
    </xf>
    <xf numFmtId="4" fontId="323" fillId="0" borderId="1" xfId="0" applyNumberFormat="1" applyFont="1" applyBorder="1" applyAlignment="1">
      <alignment horizontal="left" vertical="center"/>
    </xf>
    <xf numFmtId="4" fontId="324" fillId="2" borderId="33" xfId="0" applyNumberFormat="1" applyFont="1" applyFill="1" applyBorder="1" applyAlignment="1">
      <alignment horizontal="left" vertical="center"/>
    </xf>
    <xf numFmtId="10" fontId="324" fillId="0" borderId="1" xfId="3304" applyNumberFormat="1" applyFont="1" applyBorder="1" applyAlignment="1">
      <alignment horizontal="left" vertical="center"/>
    </xf>
    <xf numFmtId="4" fontId="324" fillId="0" borderId="1" xfId="3304" applyNumberFormat="1" applyFont="1" applyBorder="1" applyAlignment="1">
      <alignment horizontal="left" vertical="center"/>
    </xf>
    <xf numFmtId="2" fontId="324" fillId="2" borderId="33" xfId="0" applyNumberFormat="1" applyFont="1" applyFill="1" applyBorder="1" applyAlignment="1">
      <alignment horizontal="left" vertical="center"/>
    </xf>
    <xf numFmtId="4" fontId="326" fillId="0" borderId="34" xfId="0" applyNumberFormat="1" applyFont="1" applyFill="1" applyBorder="1" applyAlignment="1">
      <alignment horizontal="left" vertical="center"/>
    </xf>
    <xf numFmtId="10" fontId="310" fillId="0" borderId="35" xfId="3304" applyNumberFormat="1" applyFont="1" applyBorder="1" applyAlignment="1">
      <alignment horizontal="center" vertical="center"/>
    </xf>
    <xf numFmtId="10" fontId="310" fillId="0" borderId="35" xfId="3304" applyNumberFormat="1" applyFont="1" applyBorder="1" applyAlignment="1">
      <alignment horizontal="left" vertical="center"/>
    </xf>
    <xf numFmtId="164" fontId="310" fillId="2" borderId="36" xfId="0" applyNumberFormat="1" applyFont="1" applyFill="1" applyBorder="1" applyAlignment="1">
      <alignment horizontal="left" vertical="center"/>
    </xf>
    <xf numFmtId="0" fontId="323" fillId="0" borderId="30" xfId="0" applyFont="1" applyBorder="1" applyAlignment="1">
      <alignment horizontal="left" vertical="center"/>
    </xf>
    <xf numFmtId="4" fontId="327" fillId="0" borderId="31" xfId="3302" applyNumberFormat="1" applyFont="1" applyBorder="1" applyAlignment="1">
      <alignment horizontal="left" vertical="center"/>
    </xf>
    <xf numFmtId="43" fontId="327" fillId="0" borderId="31" xfId="3040" applyFont="1" applyBorder="1" applyAlignment="1">
      <alignment horizontal="left" vertical="center"/>
    </xf>
    <xf numFmtId="4" fontId="324" fillId="2" borderId="32" xfId="0" applyNumberFormat="1" applyFont="1" applyFill="1" applyBorder="1" applyAlignment="1">
      <alignment horizontal="left" vertical="center"/>
    </xf>
    <xf numFmtId="0" fontId="323" fillId="0" borderId="38" xfId="0" applyFont="1" applyBorder="1" applyAlignment="1">
      <alignment horizontal="left" vertical="center"/>
    </xf>
    <xf numFmtId="10" fontId="327" fillId="0" borderId="35" xfId="3304" applyNumberFormat="1" applyFont="1" applyBorder="1" applyAlignment="1">
      <alignment horizontal="center" vertical="center"/>
    </xf>
    <xf numFmtId="4" fontId="327" fillId="0" borderId="35" xfId="3302" applyNumberFormat="1" applyFont="1" applyBorder="1" applyAlignment="1">
      <alignment horizontal="left" vertical="center"/>
    </xf>
    <xf numFmtId="4" fontId="324" fillId="0" borderId="35" xfId="3302" applyNumberFormat="1" applyFont="1" applyBorder="1" applyAlignment="1">
      <alignment horizontal="left" vertical="center"/>
    </xf>
    <xf numFmtId="4" fontId="324" fillId="2" borderId="36" xfId="0" applyNumberFormat="1" applyFont="1" applyFill="1" applyBorder="1" applyAlignment="1">
      <alignment horizontal="left" vertical="center"/>
    </xf>
    <xf numFmtId="4" fontId="328" fillId="0" borderId="30" xfId="0" applyNumberFormat="1" applyFont="1" applyFill="1" applyBorder="1" applyAlignment="1">
      <alignment horizontal="left" vertical="center"/>
    </xf>
    <xf numFmtId="10" fontId="328" fillId="0" borderId="31" xfId="3304" applyNumberFormat="1" applyFont="1" applyBorder="1" applyAlignment="1">
      <alignment horizontal="center" vertical="center"/>
    </xf>
    <xf numFmtId="4" fontId="329" fillId="0" borderId="31" xfId="0" applyNumberFormat="1" applyFont="1" applyBorder="1" applyAlignment="1">
      <alignment horizontal="left" vertical="center"/>
    </xf>
    <xf numFmtId="4" fontId="322" fillId="2" borderId="32" xfId="0" applyNumberFormat="1" applyFont="1" applyFill="1" applyBorder="1" applyAlignment="1">
      <alignment horizontal="left" vertical="center"/>
    </xf>
    <xf numFmtId="4" fontId="328" fillId="0" borderId="21" xfId="0" applyNumberFormat="1" applyFont="1" applyFill="1" applyBorder="1" applyAlignment="1">
      <alignment horizontal="left" vertical="center"/>
    </xf>
    <xf numFmtId="4" fontId="329" fillId="0" borderId="1" xfId="0" applyNumberFormat="1" applyFont="1" applyBorder="1" applyAlignment="1">
      <alignment horizontal="left" vertical="center"/>
    </xf>
    <xf numFmtId="4" fontId="322" fillId="2" borderId="33" xfId="0" applyNumberFormat="1" applyFont="1" applyFill="1" applyBorder="1" applyAlignment="1">
      <alignment horizontal="left" vertical="center"/>
    </xf>
    <xf numFmtId="4" fontId="328" fillId="0" borderId="34" xfId="0" applyNumberFormat="1" applyFont="1" applyFill="1" applyBorder="1" applyAlignment="1">
      <alignment horizontal="left" vertical="center"/>
    </xf>
    <xf numFmtId="10" fontId="328" fillId="0" borderId="35" xfId="3304" applyNumberFormat="1" applyFont="1" applyBorder="1" applyAlignment="1">
      <alignment horizontal="center" vertical="center"/>
    </xf>
    <xf numFmtId="4" fontId="326" fillId="2" borderId="36" xfId="0" applyNumberFormat="1" applyFont="1" applyFill="1" applyBorder="1" applyAlignment="1">
      <alignment horizontal="left" vertical="center"/>
    </xf>
    <xf numFmtId="0" fontId="321" fillId="0" borderId="24" xfId="0" applyFont="1" applyBorder="1" applyAlignment="1">
      <alignment horizontal="left" vertical="center"/>
    </xf>
    <xf numFmtId="43" fontId="330" fillId="0" borderId="37" xfId="3040" applyFont="1" applyBorder="1" applyAlignment="1">
      <alignment horizontal="left" vertical="center"/>
    </xf>
    <xf numFmtId="43" fontId="313" fillId="2" borderId="29" xfId="3040" applyFont="1" applyFill="1" applyBorder="1" applyAlignment="1">
      <alignment horizontal="left" vertical="center"/>
    </xf>
    <xf numFmtId="4" fontId="322" fillId="0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4" fillId="2" borderId="1" xfId="0" applyNumberFormat="1" applyFont="1" applyFill="1" applyBorder="1" applyAlignment="1">
      <alignment horizontal="left" vertical="center"/>
    </xf>
    <xf numFmtId="4" fontId="326" fillId="0" borderId="1" xfId="0" applyNumberFormat="1" applyFont="1" applyFill="1" applyBorder="1" applyAlignment="1">
      <alignment horizontal="left" vertical="center"/>
    </xf>
    <xf numFmtId="10" fontId="310" fillId="0" borderId="1" xfId="3304" applyNumberFormat="1" applyFont="1" applyBorder="1" applyAlignment="1">
      <alignment horizontal="left" vertical="center"/>
    </xf>
    <xf numFmtId="164" fontId="310" fillId="2" borderId="1" xfId="0" applyNumberFormat="1" applyFont="1" applyFill="1" applyBorder="1" applyAlignment="1">
      <alignment horizontal="left" vertical="center"/>
    </xf>
    <xf numFmtId="4" fontId="322" fillId="0" borderId="5" xfId="0" applyNumberFormat="1" applyFont="1" applyFill="1" applyBorder="1" applyAlignment="1">
      <alignment horizontal="left" vertical="center"/>
    </xf>
    <xf numFmtId="4" fontId="324" fillId="0" borderId="5" xfId="3304" applyNumberFormat="1" applyFont="1" applyBorder="1" applyAlignment="1">
      <alignment horizontal="left" vertical="center"/>
    </xf>
    <xf numFmtId="2" fontId="324" fillId="2" borderId="5" xfId="0" applyNumberFormat="1" applyFont="1" applyFill="1" applyBorder="1" applyAlignment="1">
      <alignment horizontal="left" vertical="center"/>
    </xf>
    <xf numFmtId="4" fontId="331" fillId="0" borderId="31" xfId="3302" applyNumberFormat="1" applyFont="1" applyBorder="1" applyAlignment="1">
      <alignment horizontal="left" vertical="center"/>
    </xf>
    <xf numFmtId="43" fontId="332" fillId="0" borderId="4" xfId="0" applyNumberFormat="1" applyFont="1" applyBorder="1" applyAlignment="1">
      <alignment horizontal="center"/>
    </xf>
    <xf numFmtId="0" fontId="332" fillId="0" borderId="0" xfId="0" applyFont="1"/>
    <xf numFmtId="0" fontId="0" fillId="0" borderId="4" xfId="0" applyBorder="1" applyAlignment="1">
      <alignment horizontal="center"/>
    </xf>
    <xf numFmtId="43" fontId="7" fillId="0" borderId="4" xfId="3835" applyFont="1" applyBorder="1"/>
    <xf numFmtId="3" fontId="209" fillId="0" borderId="0" xfId="0" applyNumberFormat="1" applyFont="1"/>
    <xf numFmtId="43" fontId="302" fillId="0" borderId="0" xfId="3040" applyFont="1"/>
    <xf numFmtId="0" fontId="0" fillId="0" borderId="19" xfId="0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351" fillId="0" borderId="1" xfId="3040" applyFont="1" applyBorder="1" applyAlignment="1">
      <alignment horizontal="left" vertical="center"/>
    </xf>
    <xf numFmtId="165" fontId="8" fillId="0" borderId="4" xfId="3040" quotePrefix="1" applyNumberFormat="1" applyFont="1" applyBorder="1" applyAlignment="1">
      <alignment horizontal="right"/>
    </xf>
    <xf numFmtId="0" fontId="0" fillId="0" borderId="58" xfId="0" applyFill="1" applyBorder="1"/>
    <xf numFmtId="10" fontId="0" fillId="0" borderId="4" xfId="3304" applyNumberFormat="1" applyFont="1" applyBorder="1"/>
    <xf numFmtId="43" fontId="354" fillId="0" borderId="4" xfId="7176" applyNumberFormat="1" applyFont="1" applyBorder="1"/>
    <xf numFmtId="43" fontId="354" fillId="0" borderId="4" xfId="7176" applyNumberFormat="1" applyFont="1" applyBorder="1"/>
    <xf numFmtId="2" fontId="355" fillId="0" borderId="1" xfId="0" applyNumberFormat="1" applyFont="1" applyBorder="1" applyAlignment="1">
      <alignment vertical="center"/>
    </xf>
    <xf numFmtId="0" fontId="355" fillId="0" borderId="1" xfId="0" applyFont="1" applyBorder="1" applyAlignment="1">
      <alignment vertical="center"/>
    </xf>
    <xf numFmtId="0" fontId="354" fillId="0" borderId="4" xfId="3834" applyFont="1" applyBorder="1"/>
    <xf numFmtId="0" fontId="354" fillId="0" borderId="4" xfId="3834" applyFont="1" applyBorder="1" applyAlignment="1">
      <alignment horizontal="center"/>
    </xf>
    <xf numFmtId="0" fontId="354" fillId="0" borderId="4" xfId="3048" applyFont="1" applyBorder="1"/>
    <xf numFmtId="43" fontId="354" fillId="0" borderId="4" xfId="3040" applyNumberFormat="1" applyFont="1" applyBorder="1"/>
    <xf numFmtId="43" fontId="354" fillId="0" borderId="4" xfId="0" applyNumberFormat="1" applyFont="1" applyBorder="1"/>
    <xf numFmtId="4" fontId="325" fillId="0" borderId="0" xfId="0" applyNumberFormat="1" applyFont="1"/>
    <xf numFmtId="2" fontId="0" fillId="0" borderId="0" xfId="0" applyNumberFormat="1" applyFont="1"/>
    <xf numFmtId="43" fontId="354" fillId="0" borderId="4" xfId="3040" applyFont="1" applyBorder="1"/>
    <xf numFmtId="165" fontId="8" fillId="0" borderId="4" xfId="3040" applyNumberFormat="1" applyFont="1" applyBorder="1" applyAlignment="1">
      <alignment horizontal="right"/>
    </xf>
    <xf numFmtId="4" fontId="313" fillId="0" borderId="5" xfId="0" applyNumberFormat="1" applyFont="1" applyFill="1" applyBorder="1" applyAlignment="1">
      <alignment horizontal="center" vertical="center"/>
    </xf>
    <xf numFmtId="10" fontId="319" fillId="2" borderId="35" xfId="3304" applyNumberFormat="1" applyFont="1" applyFill="1" applyBorder="1" applyAlignment="1">
      <alignment horizontal="center" vertical="center"/>
    </xf>
    <xf numFmtId="43" fontId="311" fillId="0" borderId="31" xfId="3040" applyFont="1" applyBorder="1" applyAlignment="1">
      <alignment horizontal="center" vertical="center"/>
    </xf>
    <xf numFmtId="43" fontId="323" fillId="0" borderId="1" xfId="3040" applyFont="1" applyBorder="1" applyAlignment="1">
      <alignment horizontal="center" vertical="center"/>
    </xf>
    <xf numFmtId="0" fontId="354" fillId="0" borderId="4" xfId="3048" applyFont="1" applyBorder="1" applyAlignment="1">
      <alignment horizontal="center"/>
    </xf>
    <xf numFmtId="165" fontId="214" fillId="0" borderId="4" xfId="3040" applyNumberFormat="1" applyFont="1" applyBorder="1" applyAlignment="1">
      <alignment vertical="center"/>
    </xf>
    <xf numFmtId="0" fontId="222" fillId="60" borderId="14" xfId="0" applyFont="1" applyFill="1" applyBorder="1" applyAlignment="1">
      <alignment horizontal="right"/>
    </xf>
    <xf numFmtId="0" fontId="206" fillId="60" borderId="9" xfId="0" applyFont="1" applyFill="1" applyBorder="1" applyAlignment="1">
      <alignment horizontal="right"/>
    </xf>
    <xf numFmtId="0" fontId="206" fillId="60" borderId="10" xfId="0" applyFont="1" applyFill="1" applyBorder="1" applyAlignment="1">
      <alignment horizontal="right"/>
    </xf>
    <xf numFmtId="0" fontId="206" fillId="60" borderId="11" xfId="0" applyFont="1" applyFill="1" applyBorder="1" applyAlignment="1">
      <alignment horizontal="right"/>
    </xf>
    <xf numFmtId="0" fontId="206" fillId="60" borderId="12" xfId="0" applyFont="1" applyFill="1" applyBorder="1" applyAlignment="1">
      <alignment horizontal="right"/>
    </xf>
    <xf numFmtId="0" fontId="206" fillId="60" borderId="13" xfId="0" applyFont="1" applyFill="1" applyBorder="1" applyAlignment="1">
      <alignment horizontal="right"/>
    </xf>
    <xf numFmtId="0" fontId="206" fillId="60" borderId="24" xfId="0" applyFont="1" applyFill="1" applyBorder="1" applyAlignment="1">
      <alignment horizontal="right"/>
    </xf>
    <xf numFmtId="0" fontId="206" fillId="60" borderId="1" xfId="0" applyFont="1" applyFill="1" applyBorder="1" applyAlignment="1">
      <alignment horizontal="right"/>
    </xf>
    <xf numFmtId="0" fontId="206" fillId="60" borderId="25" xfId="0" applyFont="1" applyFill="1" applyBorder="1" applyAlignment="1">
      <alignment horizontal="right"/>
    </xf>
    <xf numFmtId="0" fontId="222" fillId="60" borderId="7" xfId="0" applyFont="1" applyFill="1" applyBorder="1" applyAlignment="1">
      <alignment horizontal="center"/>
    </xf>
    <xf numFmtId="0" fontId="222" fillId="60" borderId="27" xfId="0" applyFont="1" applyFill="1" applyBorder="1" applyAlignment="1">
      <alignment horizontal="center"/>
    </xf>
    <xf numFmtId="0" fontId="222" fillId="60" borderId="14" xfId="0" applyFont="1" applyFill="1" applyBorder="1" applyAlignment="1">
      <alignment horizontal="center"/>
    </xf>
    <xf numFmtId="0" fontId="222" fillId="60" borderId="16" xfId="0" applyFont="1" applyFill="1" applyBorder="1" applyAlignment="1">
      <alignment horizontal="center"/>
    </xf>
    <xf numFmtId="0" fontId="206" fillId="60" borderId="1" xfId="0" applyFont="1" applyFill="1" applyBorder="1" applyAlignment="1">
      <alignment horizontal="center"/>
    </xf>
    <xf numFmtId="0" fontId="305" fillId="0" borderId="1" xfId="0" applyFont="1" applyBorder="1" applyAlignment="1">
      <alignment horizontal="center" vertical="center"/>
    </xf>
    <xf numFmtId="43" fontId="203" fillId="0" borderId="0" xfId="3040" applyFont="1"/>
    <xf numFmtId="0" fontId="357" fillId="0" borderId="0" xfId="0" applyFont="1"/>
    <xf numFmtId="43" fontId="358" fillId="0" borderId="1" xfId="3040" applyFont="1" applyBorder="1" applyAlignment="1">
      <alignment horizontal="left" vertical="center"/>
    </xf>
    <xf numFmtId="10" fontId="359" fillId="0" borderId="1" xfId="3304" applyNumberFormat="1" applyFont="1" applyBorder="1" applyAlignment="1">
      <alignment horizontal="center" vertical="center"/>
    </xf>
    <xf numFmtId="43" fontId="360" fillId="0" borderId="1" xfId="3040" applyFont="1" applyBorder="1" applyAlignment="1">
      <alignment horizontal="left" vertical="center"/>
    </xf>
    <xf numFmtId="4" fontId="359" fillId="0" borderId="21" xfId="0" applyNumberFormat="1" applyFont="1" applyFill="1" applyBorder="1" applyAlignment="1">
      <alignment horizontal="left" vertical="center"/>
    </xf>
    <xf numFmtId="4" fontId="361" fillId="2" borderId="33" xfId="0" applyNumberFormat="1" applyFont="1" applyFill="1" applyBorder="1" applyAlignment="1">
      <alignment horizontal="left" vertical="center"/>
    </xf>
    <xf numFmtId="0" fontId="362" fillId="0" borderId="0" xfId="0" applyFont="1"/>
    <xf numFmtId="0" fontId="206" fillId="0" borderId="20" xfId="0" applyFont="1" applyFill="1" applyBorder="1" applyAlignment="1">
      <alignment horizontal="center"/>
    </xf>
    <xf numFmtId="4" fontId="365" fillId="0" borderId="1" xfId="0" applyNumberFormat="1" applyFont="1" applyBorder="1" applyAlignment="1">
      <alignment horizontal="left" vertical="center"/>
    </xf>
    <xf numFmtId="4" fontId="364" fillId="2" borderId="1" xfId="0" applyNumberFormat="1" applyFont="1" applyFill="1" applyBorder="1" applyAlignment="1">
      <alignment horizontal="left" vertical="center"/>
    </xf>
    <xf numFmtId="4" fontId="366" fillId="0" borderId="1" xfId="3302" applyNumberFormat="1" applyFont="1" applyBorder="1" applyAlignment="1">
      <alignment horizontal="left" vertical="center"/>
    </xf>
    <xf numFmtId="4" fontId="366" fillId="2" borderId="1" xfId="0" applyNumberFormat="1" applyFont="1" applyFill="1" applyBorder="1" applyAlignment="1">
      <alignment horizontal="left" vertical="center"/>
    </xf>
    <xf numFmtId="43" fontId="330" fillId="0" borderId="0" xfId="3040" applyNumberFormat="1" applyFont="1" applyBorder="1" applyAlignment="1">
      <alignment horizontal="left" vertical="center"/>
    </xf>
    <xf numFmtId="0" fontId="206" fillId="0" borderId="59" xfId="0" applyFont="1" applyFill="1" applyBorder="1" applyAlignment="1">
      <alignment horizontal="center"/>
    </xf>
    <xf numFmtId="0" fontId="203" fillId="0" borderId="0" xfId="0" applyFont="1"/>
    <xf numFmtId="43" fontId="317" fillId="2" borderId="1" xfId="3040" applyFont="1" applyFill="1" applyBorder="1" applyAlignment="1">
      <alignment horizontal="center" vertical="center"/>
    </xf>
    <xf numFmtId="43" fontId="311" fillId="0" borderId="1" xfId="3040" applyFont="1" applyBorder="1" applyAlignment="1">
      <alignment horizontal="center" vertical="center"/>
    </xf>
    <xf numFmtId="10" fontId="324" fillId="0" borderId="1" xfId="3304" applyNumberFormat="1" applyFont="1" applyBorder="1" applyAlignment="1">
      <alignment horizontal="center" vertical="center"/>
    </xf>
    <xf numFmtId="4" fontId="324" fillId="0" borderId="1" xfId="3304" applyNumberFormat="1" applyFont="1" applyBorder="1" applyAlignment="1">
      <alignment horizontal="center" vertical="center"/>
    </xf>
    <xf numFmtId="43" fontId="327" fillId="0" borderId="31" xfId="3040" applyFont="1" applyBorder="1" applyAlignment="1">
      <alignment horizontal="center" vertical="center"/>
    </xf>
    <xf numFmtId="4" fontId="212" fillId="0" borderId="22" xfId="3304" applyNumberFormat="1" applyFont="1" applyBorder="1" applyAlignment="1">
      <alignment horizontal="center" vertical="center"/>
    </xf>
    <xf numFmtId="4" fontId="323" fillId="0" borderId="1" xfId="0" applyNumberFormat="1" applyFont="1" applyBorder="1" applyAlignment="1">
      <alignment horizontal="center" vertical="center"/>
    </xf>
    <xf numFmtId="10" fontId="310" fillId="0" borderId="1" xfId="3304" applyNumberFormat="1" applyFont="1" applyBorder="1" applyAlignment="1">
      <alignment horizontal="center" vertical="center"/>
    </xf>
    <xf numFmtId="4" fontId="324" fillId="0" borderId="5" xfId="3304" applyNumberFormat="1" applyFont="1" applyBorder="1" applyAlignment="1">
      <alignment horizontal="center" vertical="center"/>
    </xf>
    <xf numFmtId="10" fontId="320" fillId="2" borderId="36" xfId="3304" applyNumberFormat="1" applyFont="1" applyFill="1" applyBorder="1" applyAlignment="1">
      <alignment horizontal="center" vertical="center"/>
    </xf>
    <xf numFmtId="2" fontId="368" fillId="0" borderId="4" xfId="0" applyNumberFormat="1" applyFont="1" applyBorder="1"/>
    <xf numFmtId="43" fontId="324" fillId="0" borderId="1" xfId="3040" applyFont="1" applyBorder="1" applyAlignment="1">
      <alignment horizontal="left" vertical="center"/>
    </xf>
    <xf numFmtId="10" fontId="250" fillId="2" borderId="1" xfId="3304" applyNumberFormat="1" applyFont="1" applyFill="1" applyBorder="1" applyAlignment="1">
      <alignment horizontal="right" vertical="center"/>
    </xf>
    <xf numFmtId="43" fontId="222" fillId="2" borderId="1" xfId="3040" applyFont="1" applyFill="1" applyBorder="1" applyAlignment="1">
      <alignment horizontal="left" vertical="center"/>
    </xf>
    <xf numFmtId="43" fontId="0" fillId="0" borderId="0" xfId="0" applyNumberFormat="1" applyFont="1"/>
    <xf numFmtId="2" fontId="305" fillId="59" borderId="1" xfId="0" applyNumberFormat="1" applyFont="1" applyFill="1" applyBorder="1" applyAlignment="1">
      <alignment vertical="center"/>
    </xf>
    <xf numFmtId="0" fontId="370" fillId="0" borderId="0" xfId="0" applyFont="1" applyAlignment="1">
      <alignment horizontal="justify" vertical="center"/>
    </xf>
    <xf numFmtId="0" fontId="372" fillId="0" borderId="0" xfId="0" applyFont="1" applyAlignment="1">
      <alignment horizontal="justify" vertical="center"/>
    </xf>
    <xf numFmtId="0" fontId="375" fillId="0" borderId="0" xfId="0" applyFont="1" applyAlignment="1">
      <alignment horizontal="justify" vertical="center"/>
    </xf>
    <xf numFmtId="0" fontId="373" fillId="0" borderId="0" xfId="0" applyFont="1" applyAlignment="1">
      <alignment horizontal="justify" vertical="center"/>
    </xf>
    <xf numFmtId="0" fontId="377" fillId="0" borderId="0" xfId="0" applyFont="1" applyAlignment="1">
      <alignment horizontal="justify" vertical="center"/>
    </xf>
    <xf numFmtId="0" fontId="374" fillId="0" borderId="0" xfId="0" applyFont="1" applyAlignment="1">
      <alignment horizontal="justify" vertical="center"/>
    </xf>
    <xf numFmtId="0" fontId="222" fillId="61" borderId="14" xfId="0" applyFont="1" applyFill="1" applyBorder="1" applyAlignment="1">
      <alignment horizontal="center"/>
    </xf>
    <xf numFmtId="0" fontId="206" fillId="61" borderId="10" xfId="0" applyFont="1" applyFill="1" applyBorder="1" applyAlignment="1">
      <alignment horizontal="center"/>
    </xf>
    <xf numFmtId="0" fontId="222" fillId="62" borderId="14" xfId="0" applyFont="1" applyFill="1" applyBorder="1" applyAlignment="1">
      <alignment horizontal="center"/>
    </xf>
    <xf numFmtId="0" fontId="206" fillId="62" borderId="10" xfId="0" applyFont="1" applyFill="1" applyBorder="1" applyAlignment="1">
      <alignment horizontal="center"/>
    </xf>
    <xf numFmtId="0" fontId="378" fillId="0" borderId="0" xfId="0" applyFont="1"/>
    <xf numFmtId="9" fontId="0" fillId="0" borderId="0" xfId="3304" applyFont="1"/>
    <xf numFmtId="0" fontId="379" fillId="0" borderId="0" xfId="0" applyFont="1"/>
    <xf numFmtId="0" fontId="236" fillId="0" borderId="19" xfId="0" applyFont="1" applyBorder="1" applyAlignment="1">
      <alignment horizontal="center" vertical="center"/>
    </xf>
    <xf numFmtId="43" fontId="380" fillId="0" borderId="4" xfId="0" applyNumberFormat="1" applyFont="1" applyBorder="1"/>
    <xf numFmtId="0" fontId="354" fillId="0" borderId="4" xfId="0" applyFont="1" applyBorder="1"/>
    <xf numFmtId="0" fontId="381" fillId="0" borderId="0" xfId="0" applyFont="1"/>
    <xf numFmtId="0" fontId="381" fillId="0" borderId="4" xfId="0" applyFont="1" applyBorder="1"/>
    <xf numFmtId="0" fontId="382" fillId="0" borderId="4" xfId="0" applyFont="1" applyBorder="1" applyAlignment="1">
      <alignment vertical="center"/>
    </xf>
    <xf numFmtId="0" fontId="381" fillId="0" borderId="4" xfId="0" applyFont="1" applyBorder="1" applyAlignment="1">
      <alignment vertical="center"/>
    </xf>
    <xf numFmtId="2" fontId="302" fillId="0" borderId="0" xfId="0" applyNumberFormat="1" applyFont="1"/>
    <xf numFmtId="10" fontId="244" fillId="0" borderId="1" xfId="3304" applyNumberFormat="1" applyFont="1" applyBorder="1" applyAlignment="1">
      <alignment horizontal="center" vertical="center"/>
    </xf>
    <xf numFmtId="0" fontId="373" fillId="0" borderId="0" xfId="0" applyFont="1"/>
    <xf numFmtId="43" fontId="226" fillId="0" borderId="1" xfId="3304" applyNumberFormat="1" applyFont="1" applyBorder="1" applyAlignment="1">
      <alignment horizontal="left" vertical="center"/>
    </xf>
    <xf numFmtId="0" fontId="380" fillId="0" borderId="0" xfId="0" applyFont="1"/>
    <xf numFmtId="0" fontId="206" fillId="0" borderId="6" xfId="0" applyFont="1" applyFill="1" applyBorder="1" applyAlignment="1">
      <alignment horizontal="center"/>
    </xf>
    <xf numFmtId="0" fontId="206" fillId="0" borderId="60" xfId="0" applyFont="1" applyFill="1" applyBorder="1" applyAlignment="1">
      <alignment horizontal="center"/>
    </xf>
    <xf numFmtId="0" fontId="206" fillId="0" borderId="21" xfId="0" applyFont="1" applyFill="1" applyBorder="1" applyAlignment="1">
      <alignment horizontal="center"/>
    </xf>
    <xf numFmtId="0" fontId="206" fillId="0" borderId="61" xfId="0" applyFont="1" applyFill="1" applyBorder="1" applyAlignment="1">
      <alignment horizontal="center"/>
    </xf>
    <xf numFmtId="43" fontId="214" fillId="0" borderId="0" xfId="0" applyNumberFormat="1" applyFont="1" applyAlignment="1">
      <alignment horizontal="left" vertical="center"/>
    </xf>
    <xf numFmtId="0" fontId="383" fillId="0" borderId="0" xfId="0" applyFont="1"/>
    <xf numFmtId="165" fontId="0" fillId="0" borderId="4" xfId="3040" applyNumberFormat="1" applyFont="1" applyBorder="1" applyAlignment="1">
      <alignment vertical="center"/>
    </xf>
    <xf numFmtId="43" fontId="249" fillId="0" borderId="37" xfId="3040" applyFont="1" applyBorder="1" applyAlignment="1">
      <alignment horizontal="left" vertical="center"/>
    </xf>
    <xf numFmtId="0" fontId="222" fillId="63" borderId="14" xfId="0" applyFont="1" applyFill="1" applyBorder="1" applyAlignment="1">
      <alignment horizontal="right"/>
    </xf>
    <xf numFmtId="0" fontId="222" fillId="63" borderId="14" xfId="0" applyFont="1" applyFill="1" applyBorder="1" applyAlignment="1">
      <alignment horizontal="center"/>
    </xf>
    <xf numFmtId="0" fontId="206" fillId="63" borderId="9" xfId="0" applyFont="1" applyFill="1" applyBorder="1" applyAlignment="1">
      <alignment horizontal="right"/>
    </xf>
    <xf numFmtId="0" fontId="206" fillId="63" borderId="10" xfId="0" applyFont="1" applyFill="1" applyBorder="1" applyAlignment="1">
      <alignment horizontal="right"/>
    </xf>
    <xf numFmtId="0" fontId="206" fillId="63" borderId="10" xfId="0" applyFont="1" applyFill="1" applyBorder="1" applyAlignment="1">
      <alignment horizontal="center"/>
    </xf>
    <xf numFmtId="0" fontId="206" fillId="63" borderId="11" xfId="0" applyFont="1" applyFill="1" applyBorder="1" applyAlignment="1">
      <alignment horizontal="right"/>
    </xf>
    <xf numFmtId="0" fontId="206" fillId="63" borderId="12" xfId="0" applyFont="1" applyFill="1" applyBorder="1" applyAlignment="1">
      <alignment horizontal="right"/>
    </xf>
    <xf numFmtId="0" fontId="206" fillId="63" borderId="13" xfId="0" applyFont="1" applyFill="1" applyBorder="1" applyAlignment="1">
      <alignment horizontal="right"/>
    </xf>
    <xf numFmtId="0" fontId="206" fillId="63" borderId="24" xfId="0" applyFont="1" applyFill="1" applyBorder="1" applyAlignment="1">
      <alignment horizontal="right"/>
    </xf>
    <xf numFmtId="0" fontId="206" fillId="63" borderId="1" xfId="0" applyFont="1" applyFill="1" applyBorder="1" applyAlignment="1">
      <alignment horizontal="right"/>
    </xf>
    <xf numFmtId="0" fontId="206" fillId="63" borderId="25" xfId="0" applyFont="1" applyFill="1" applyBorder="1" applyAlignment="1">
      <alignment horizontal="right"/>
    </xf>
    <xf numFmtId="0" fontId="206" fillId="60" borderId="10" xfId="0" applyFont="1" applyFill="1" applyBorder="1" applyAlignment="1">
      <alignment horizontal="center"/>
    </xf>
    <xf numFmtId="0" fontId="384" fillId="0" borderId="1" xfId="0" applyFont="1" applyBorder="1" applyAlignment="1">
      <alignment horizontal="center" vertical="center"/>
    </xf>
    <xf numFmtId="2" fontId="384" fillId="0" borderId="1" xfId="0" applyNumberFormat="1" applyFont="1" applyBorder="1" applyAlignment="1">
      <alignment vertical="center"/>
    </xf>
    <xf numFmtId="0" fontId="222" fillId="63" borderId="14" xfId="20369" applyFont="1" applyFill="1" applyBorder="1" applyAlignment="1">
      <alignment horizontal="center"/>
    </xf>
    <xf numFmtId="0" fontId="206" fillId="0" borderId="10" xfId="20369" applyFont="1" applyFill="1" applyBorder="1" applyAlignment="1">
      <alignment horizontal="center"/>
    </xf>
    <xf numFmtId="0" fontId="206" fillId="0" borderId="9" xfId="20369" applyFont="1" applyFill="1" applyBorder="1" applyAlignment="1">
      <alignment horizontal="center"/>
    </xf>
    <xf numFmtId="0" fontId="206" fillId="0" borderId="11" xfId="20369" applyFont="1" applyFill="1" applyBorder="1" applyAlignment="1">
      <alignment horizontal="center"/>
    </xf>
    <xf numFmtId="0" fontId="206" fillId="0" borderId="12" xfId="20369" applyFont="1" applyFill="1" applyBorder="1" applyAlignment="1">
      <alignment horizontal="center"/>
    </xf>
    <xf numFmtId="0" fontId="206" fillId="0" borderId="13" xfId="20369" applyFont="1" applyFill="1" applyBorder="1" applyAlignment="1">
      <alignment horizontal="center"/>
    </xf>
    <xf numFmtId="0" fontId="206" fillId="0" borderId="17" xfId="20369" applyFont="1" applyFill="1" applyBorder="1" applyAlignment="1">
      <alignment horizontal="center"/>
    </xf>
    <xf numFmtId="0" fontId="206" fillId="0" borderId="18" xfId="20369" applyFont="1" applyFill="1" applyBorder="1" applyAlignment="1">
      <alignment horizontal="center"/>
    </xf>
    <xf numFmtId="0" fontId="206" fillId="0" borderId="20" xfId="20369" applyFont="1" applyFill="1" applyBorder="1" applyAlignment="1">
      <alignment horizontal="center"/>
    </xf>
    <xf numFmtId="0" fontId="222" fillId="63" borderId="14" xfId="20369" applyFont="1" applyFill="1" applyBorder="1" applyAlignment="1">
      <alignment horizontal="center"/>
    </xf>
    <xf numFmtId="0" fontId="206" fillId="63" borderId="10" xfId="20369" applyFont="1" applyFill="1" applyBorder="1" applyAlignment="1">
      <alignment horizontal="center"/>
    </xf>
    <xf numFmtId="4" fontId="224" fillId="0" borderId="0" xfId="0" applyNumberFormat="1" applyFont="1"/>
    <xf numFmtId="0" fontId="2" fillId="0" borderId="0" xfId="20372"/>
    <xf numFmtId="43" fontId="2" fillId="0" borderId="0" xfId="20373" applyFont="1"/>
    <xf numFmtId="43" fontId="244" fillId="0" borderId="35" xfId="3304" applyNumberFormat="1" applyFont="1" applyBorder="1" applyAlignment="1">
      <alignment horizontal="center" vertical="center"/>
    </xf>
    <xf numFmtId="43" fontId="311" fillId="59" borderId="31" xfId="3040" applyFont="1" applyFill="1" applyBorder="1" applyAlignment="1">
      <alignment horizontal="left" vertical="center"/>
    </xf>
    <xf numFmtId="4" fontId="313" fillId="59" borderId="5" xfId="0" applyNumberFormat="1" applyFont="1" applyFill="1" applyBorder="1" applyAlignment="1">
      <alignment horizontal="left" vertical="center"/>
    </xf>
    <xf numFmtId="4" fontId="315" fillId="59" borderId="31" xfId="0" applyNumberFormat="1" applyFont="1" applyFill="1" applyBorder="1" applyAlignment="1">
      <alignment horizontal="center" vertical="center"/>
    </xf>
    <xf numFmtId="43" fontId="316" fillId="59" borderId="1" xfId="3040" applyFont="1" applyFill="1" applyBorder="1" applyAlignment="1">
      <alignment horizontal="right" vertical="center"/>
    </xf>
    <xf numFmtId="10" fontId="319" fillId="59" borderId="35" xfId="3304" applyNumberFormat="1" applyFont="1" applyFill="1" applyBorder="1" applyAlignment="1">
      <alignment horizontal="center" vertical="center"/>
    </xf>
    <xf numFmtId="43" fontId="323" fillId="59" borderId="1" xfId="3040" applyFont="1" applyFill="1" applyBorder="1" applyAlignment="1">
      <alignment horizontal="left" vertical="center"/>
    </xf>
    <xf numFmtId="4" fontId="323" fillId="59" borderId="1" xfId="0" applyNumberFormat="1" applyFont="1" applyFill="1" applyBorder="1" applyAlignment="1">
      <alignment horizontal="left" vertical="center"/>
    </xf>
    <xf numFmtId="10" fontId="324" fillId="59" borderId="1" xfId="3304" applyNumberFormat="1" applyFont="1" applyFill="1" applyBorder="1" applyAlignment="1">
      <alignment horizontal="left" vertical="center"/>
    </xf>
    <xf numFmtId="4" fontId="324" fillId="59" borderId="1" xfId="3304" applyNumberFormat="1" applyFont="1" applyFill="1" applyBorder="1" applyAlignment="1">
      <alignment horizontal="left" vertical="center"/>
    </xf>
    <xf numFmtId="10" fontId="310" fillId="59" borderId="35" xfId="3304" applyNumberFormat="1" applyFont="1" applyFill="1" applyBorder="1" applyAlignment="1">
      <alignment horizontal="center" vertical="center"/>
    </xf>
    <xf numFmtId="4" fontId="327" fillId="59" borderId="31" xfId="3302" applyNumberFormat="1" applyFont="1" applyFill="1" applyBorder="1" applyAlignment="1">
      <alignment horizontal="left" vertical="center"/>
    </xf>
    <xf numFmtId="10" fontId="327" fillId="59" borderId="35" xfId="3304" applyNumberFormat="1" applyFont="1" applyFill="1" applyBorder="1" applyAlignment="1">
      <alignment horizontal="center" vertical="center"/>
    </xf>
    <xf numFmtId="10" fontId="328" fillId="59" borderId="31" xfId="3304" applyNumberFormat="1" applyFont="1" applyFill="1" applyBorder="1" applyAlignment="1">
      <alignment horizontal="center" vertical="center"/>
    </xf>
    <xf numFmtId="10" fontId="359" fillId="59" borderId="1" xfId="3304" applyNumberFormat="1" applyFont="1" applyFill="1" applyBorder="1" applyAlignment="1">
      <alignment horizontal="center" vertical="center"/>
    </xf>
    <xf numFmtId="10" fontId="328" fillId="59" borderId="35" xfId="3304" applyNumberFormat="1" applyFont="1" applyFill="1" applyBorder="1" applyAlignment="1">
      <alignment horizontal="center" vertical="center"/>
    </xf>
    <xf numFmtId="4" fontId="212" fillId="59" borderId="22" xfId="3304" applyNumberFormat="1" applyFont="1" applyFill="1" applyBorder="1" applyAlignment="1">
      <alignment horizontal="left" vertical="center"/>
    </xf>
    <xf numFmtId="4" fontId="366" fillId="59" borderId="1" xfId="3302" applyNumberFormat="1" applyFont="1" applyFill="1" applyBorder="1" applyAlignment="1">
      <alignment horizontal="left" vertical="center"/>
    </xf>
    <xf numFmtId="43" fontId="330" fillId="59" borderId="37" xfId="3040" applyFont="1" applyFill="1" applyBorder="1" applyAlignment="1">
      <alignment horizontal="left" vertical="center"/>
    </xf>
    <xf numFmtId="10" fontId="310" fillId="59" borderId="1" xfId="3304" applyNumberFormat="1" applyFont="1" applyFill="1" applyBorder="1" applyAlignment="1">
      <alignment horizontal="left" vertical="center"/>
    </xf>
    <xf numFmtId="4" fontId="324" fillId="59" borderId="5" xfId="3304" applyNumberFormat="1" applyFont="1" applyFill="1" applyBorder="1" applyAlignment="1">
      <alignment horizontal="left" vertical="center"/>
    </xf>
    <xf numFmtId="10" fontId="219" fillId="59" borderId="31" xfId="3304" applyNumberFormat="1" applyFont="1" applyFill="1" applyBorder="1" applyAlignment="1">
      <alignment horizontal="left" vertical="center"/>
    </xf>
    <xf numFmtId="10" fontId="219" fillId="59" borderId="35" xfId="3304" applyNumberFormat="1" applyFont="1" applyFill="1" applyBorder="1" applyAlignment="1">
      <alignment horizontal="left" vertical="center"/>
    </xf>
    <xf numFmtId="0" fontId="0" fillId="59" borderId="0" xfId="0" applyFill="1"/>
    <xf numFmtId="0" fontId="206" fillId="0" borderId="10" xfId="20369" applyFont="1" applyFill="1" applyBorder="1" applyAlignment="1">
      <alignment horizontal="center"/>
    </xf>
    <xf numFmtId="0" fontId="206" fillId="0" borderId="9" xfId="20369" applyFont="1" applyFill="1" applyBorder="1" applyAlignment="1">
      <alignment horizontal="center"/>
    </xf>
    <xf numFmtId="0" fontId="206" fillId="0" borderId="11" xfId="20369" applyFont="1" applyFill="1" applyBorder="1" applyAlignment="1">
      <alignment horizontal="center"/>
    </xf>
    <xf numFmtId="0" fontId="206" fillId="0" borderId="12" xfId="20369" applyFont="1" applyFill="1" applyBorder="1" applyAlignment="1">
      <alignment horizontal="center"/>
    </xf>
    <xf numFmtId="0" fontId="206" fillId="0" borderId="13" xfId="20369" applyFont="1" applyFill="1" applyBorder="1" applyAlignment="1">
      <alignment horizontal="center"/>
    </xf>
    <xf numFmtId="0" fontId="206" fillId="0" borderId="17" xfId="20369" applyFont="1" applyFill="1" applyBorder="1" applyAlignment="1">
      <alignment horizontal="center"/>
    </xf>
    <xf numFmtId="0" fontId="206" fillId="0" borderId="18" xfId="20369" applyFont="1" applyFill="1" applyBorder="1" applyAlignment="1">
      <alignment horizontal="center"/>
    </xf>
    <xf numFmtId="0" fontId="206" fillId="0" borderId="20" xfId="20369" applyFont="1" applyFill="1" applyBorder="1" applyAlignment="1">
      <alignment horizontal="center"/>
    </xf>
    <xf numFmtId="0" fontId="222" fillId="60" borderId="14" xfId="20369" applyFont="1" applyFill="1" applyBorder="1" applyAlignment="1">
      <alignment horizontal="center"/>
    </xf>
    <xf numFmtId="0" fontId="206" fillId="60" borderId="10" xfId="20369" applyFont="1" applyFill="1" applyBorder="1" applyAlignment="1">
      <alignment horizontal="center"/>
    </xf>
    <xf numFmtId="2" fontId="209" fillId="59" borderId="1" xfId="0" applyNumberFormat="1" applyFont="1" applyFill="1" applyBorder="1" applyAlignment="1">
      <alignment vertical="center"/>
    </xf>
    <xf numFmtId="0" fontId="206" fillId="0" borderId="10" xfId="20374" applyFont="1" applyFill="1" applyBorder="1" applyAlignment="1">
      <alignment horizontal="center"/>
    </xf>
    <xf numFmtId="0" fontId="206" fillId="0" borderId="60" xfId="20374" applyFont="1" applyFill="1" applyBorder="1" applyAlignment="1">
      <alignment horizontal="center"/>
    </xf>
    <xf numFmtId="0" fontId="206" fillId="0" borderId="6" xfId="20374" applyFont="1" applyFill="1" applyBorder="1" applyAlignment="1">
      <alignment horizontal="center"/>
    </xf>
    <xf numFmtId="0" fontId="206" fillId="0" borderId="9" xfId="20374" applyFont="1" applyFill="1" applyBorder="1" applyAlignment="1">
      <alignment horizontal="center"/>
    </xf>
    <xf numFmtId="0" fontId="206" fillId="0" borderId="11" xfId="20374" applyFont="1" applyFill="1" applyBorder="1" applyAlignment="1">
      <alignment horizontal="center"/>
    </xf>
    <xf numFmtId="0" fontId="206" fillId="0" borderId="12" xfId="20374" applyFont="1" applyFill="1" applyBorder="1" applyAlignment="1">
      <alignment horizontal="center"/>
    </xf>
    <xf numFmtId="0" fontId="206" fillId="0" borderId="13" xfId="20374" applyFont="1" applyFill="1" applyBorder="1" applyAlignment="1">
      <alignment horizontal="center"/>
    </xf>
    <xf numFmtId="0" fontId="206" fillId="0" borderId="17" xfId="20374" applyFont="1" applyFill="1" applyBorder="1" applyAlignment="1">
      <alignment horizontal="center"/>
    </xf>
    <xf numFmtId="0" fontId="206" fillId="0" borderId="18" xfId="20374" applyFont="1" applyFill="1" applyBorder="1" applyAlignment="1">
      <alignment horizontal="center"/>
    </xf>
    <xf numFmtId="0" fontId="206" fillId="0" borderId="20" xfId="20374" applyFont="1" applyFill="1" applyBorder="1" applyAlignment="1">
      <alignment horizontal="center"/>
    </xf>
    <xf numFmtId="0" fontId="222" fillId="63" borderId="14" xfId="20374" applyFont="1" applyFill="1" applyBorder="1" applyAlignment="1">
      <alignment horizontal="center"/>
    </xf>
    <xf numFmtId="0" fontId="206" fillId="63" borderId="10" xfId="20374" applyFont="1" applyFill="1" applyBorder="1" applyAlignment="1">
      <alignment horizontal="center"/>
    </xf>
    <xf numFmtId="0" fontId="306" fillId="0" borderId="19" xfId="0" applyFont="1" applyBorder="1" applyAlignment="1">
      <alignment horizontal="center" vertical="center"/>
    </xf>
    <xf numFmtId="4" fontId="364" fillId="0" borderId="1" xfId="3302" applyNumberFormat="1" applyFont="1" applyBorder="1" applyAlignment="1">
      <alignment horizontal="left" vertical="center"/>
    </xf>
    <xf numFmtId="43" fontId="387" fillId="0" borderId="1" xfId="3040" applyFont="1" applyBorder="1" applyAlignment="1">
      <alignment horizontal="left" vertical="center"/>
    </xf>
    <xf numFmtId="43" fontId="364" fillId="2" borderId="33" xfId="3040" applyFont="1" applyFill="1" applyBorder="1" applyAlignment="1">
      <alignment horizontal="left" vertical="center"/>
    </xf>
    <xf numFmtId="43" fontId="364" fillId="2" borderId="23" xfId="3040" applyFont="1" applyFill="1" applyBorder="1" applyAlignment="1">
      <alignment horizontal="left" vertical="center"/>
    </xf>
    <xf numFmtId="0" fontId="377" fillId="0" borderId="0" xfId="0" applyFont="1" applyAlignment="1">
      <alignment horizontal="right" vertical="center"/>
    </xf>
    <xf numFmtId="43" fontId="226" fillId="0" borderId="1" xfId="3040" applyFont="1" applyBorder="1" applyAlignment="1">
      <alignment horizontal="left" vertical="center"/>
    </xf>
    <xf numFmtId="0" fontId="373" fillId="0" borderId="0" xfId="0" applyFont="1" applyAlignment="1">
      <alignment vertical="center"/>
    </xf>
    <xf numFmtId="43" fontId="316" fillId="59" borderId="1" xfId="3040" applyFont="1" applyFill="1" applyBorder="1" applyAlignment="1">
      <alignment horizontal="center" vertical="center"/>
    </xf>
    <xf numFmtId="4" fontId="331" fillId="59" borderId="31" xfId="3302" applyNumberFormat="1" applyFont="1" applyFill="1" applyBorder="1" applyAlignment="1">
      <alignment horizontal="left" vertical="center"/>
    </xf>
    <xf numFmtId="0" fontId="0" fillId="0" borderId="28" xfId="0" applyBorder="1" applyAlignment="1">
      <alignment horizontal="center"/>
    </xf>
    <xf numFmtId="165" fontId="264" fillId="0" borderId="19" xfId="0" applyNumberFormat="1" applyFont="1" applyBorder="1" applyAlignment="1">
      <alignment horizontal="center" vertical="center"/>
    </xf>
    <xf numFmtId="43" fontId="354" fillId="0" borderId="4" xfId="20378" applyFont="1" applyBorder="1"/>
    <xf numFmtId="43" fontId="354" fillId="0" borderId="4" xfId="20378" applyFont="1" applyBorder="1"/>
    <xf numFmtId="43" fontId="354" fillId="0" borderId="4" xfId="20378" applyFont="1" applyBorder="1"/>
    <xf numFmtId="43" fontId="354" fillId="0" borderId="4" xfId="26697" applyNumberFormat="1" applyFont="1" applyBorder="1"/>
    <xf numFmtId="43" fontId="354" fillId="0" borderId="4" xfId="26697" applyNumberFormat="1" applyFont="1" applyBorder="1"/>
    <xf numFmtId="43" fontId="354" fillId="0" borderId="4" xfId="26697" applyNumberFormat="1" applyFont="1" applyBorder="1"/>
    <xf numFmtId="43" fontId="354" fillId="0" borderId="4" xfId="26697" applyNumberFormat="1" applyFont="1" applyBorder="1"/>
    <xf numFmtId="43" fontId="391" fillId="0" borderId="28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8" xfId="0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0" xfId="26960" applyFont="1"/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4" fontId="396" fillId="59" borderId="5" xfId="0" applyNumberFormat="1" applyFont="1" applyFill="1" applyBorder="1" applyAlignment="1">
      <alignment horizontal="left" vertical="center"/>
    </xf>
    <xf numFmtId="43" fontId="398" fillId="59" borderId="31" xfId="3040" applyFont="1" applyFill="1" applyBorder="1" applyAlignment="1">
      <alignment horizontal="left" vertical="center"/>
    </xf>
    <xf numFmtId="43" fontId="397" fillId="59" borderId="1" xfId="3040" applyFont="1" applyFill="1" applyBorder="1" applyAlignment="1">
      <alignment horizontal="left" vertical="center"/>
    </xf>
    <xf numFmtId="4" fontId="399" fillId="59" borderId="31" xfId="3302" applyNumberFormat="1" applyFont="1" applyFill="1" applyBorder="1" applyAlignment="1">
      <alignment horizontal="left" vertical="center"/>
    </xf>
    <xf numFmtId="4" fontId="400" fillId="59" borderId="22" xfId="3304" applyNumberFormat="1" applyFont="1" applyFill="1" applyBorder="1" applyAlignment="1">
      <alignment horizontal="left" vertical="center"/>
    </xf>
    <xf numFmtId="43" fontId="401" fillId="59" borderId="37" xfId="3040" applyFont="1" applyFill="1" applyBorder="1" applyAlignment="1">
      <alignment horizontal="left" vertical="center"/>
    </xf>
    <xf numFmtId="10" fontId="402" fillId="59" borderId="31" xfId="3304" applyNumberFormat="1" applyFont="1" applyFill="1" applyBorder="1" applyAlignment="1">
      <alignment horizontal="left" vertical="center"/>
    </xf>
    <xf numFmtId="10" fontId="402" fillId="59" borderId="35" xfId="3304" applyNumberFormat="1" applyFont="1" applyFill="1" applyBorder="1" applyAlignment="1">
      <alignment horizontal="left" vertical="center"/>
    </xf>
    <xf numFmtId="0" fontId="390" fillId="59" borderId="0" xfId="0" applyFont="1" applyFill="1"/>
    <xf numFmtId="10" fontId="394" fillId="59" borderId="31" xfId="3304" applyNumberFormat="1" applyFont="1" applyFill="1" applyBorder="1" applyAlignment="1">
      <alignment horizontal="center" vertical="center"/>
    </xf>
    <xf numFmtId="10" fontId="395" fillId="59" borderId="1" xfId="3304" applyNumberFormat="1" applyFont="1" applyFill="1" applyBorder="1" applyAlignment="1">
      <alignment horizontal="center" vertical="center"/>
    </xf>
    <xf numFmtId="10" fontId="394" fillId="59" borderId="35" xfId="3304" applyNumberFormat="1" applyFont="1" applyFill="1" applyBorder="1" applyAlignment="1">
      <alignment horizontal="center" vertical="center"/>
    </xf>
    <xf numFmtId="10" fontId="393" fillId="59" borderId="35" xfId="3304" applyNumberFormat="1" applyFont="1" applyFill="1" applyBorder="1" applyAlignment="1">
      <alignment horizontal="center" vertical="center"/>
    </xf>
    <xf numFmtId="10" fontId="393" fillId="59" borderId="1" xfId="3304" applyNumberFormat="1" applyFont="1" applyFill="1" applyBorder="1" applyAlignment="1">
      <alignment horizontal="left" vertical="center"/>
    </xf>
    <xf numFmtId="4" fontId="403" fillId="59" borderId="1" xfId="3302" applyNumberFormat="1" applyFont="1" applyFill="1" applyBorder="1" applyAlignment="1">
      <alignment horizontal="left" vertical="center"/>
    </xf>
    <xf numFmtId="10" fontId="404" fillId="59" borderId="35" xfId="3304" applyNumberFormat="1" applyFont="1" applyFill="1" applyBorder="1" applyAlignment="1">
      <alignment horizontal="center" vertical="center"/>
    </xf>
    <xf numFmtId="4" fontId="366" fillId="59" borderId="31" xfId="0" applyNumberFormat="1" applyFont="1" applyFill="1" applyBorder="1" applyAlignment="1">
      <alignment horizontal="center" vertical="center"/>
    </xf>
    <xf numFmtId="43" fontId="405" fillId="59" borderId="1" xfId="3040" applyFont="1" applyFill="1" applyBorder="1" applyAlignment="1">
      <alignment horizontal="right" vertical="center"/>
    </xf>
    <xf numFmtId="4" fontId="405" fillId="59" borderId="1" xfId="0" applyNumberFormat="1" applyFont="1" applyFill="1" applyBorder="1" applyAlignment="1">
      <alignment horizontal="left" vertical="center"/>
    </xf>
    <xf numFmtId="10" fontId="366" fillId="59" borderId="1" xfId="3304" applyNumberFormat="1" applyFont="1" applyFill="1" applyBorder="1" applyAlignment="1">
      <alignment horizontal="left" vertical="center"/>
    </xf>
    <xf numFmtId="4" fontId="366" fillId="59" borderId="1" xfId="3304" applyNumberFormat="1" applyFont="1" applyFill="1" applyBorder="1" applyAlignment="1">
      <alignment horizontal="left" vertical="center"/>
    </xf>
    <xf numFmtId="4" fontId="406" fillId="59" borderId="31" xfId="3302" applyNumberFormat="1" applyFont="1" applyFill="1" applyBorder="1" applyAlignment="1">
      <alignment horizontal="left" vertical="center"/>
    </xf>
    <xf numFmtId="10" fontId="406" fillId="59" borderId="35" xfId="3304" applyNumberFormat="1" applyFont="1" applyFill="1" applyBorder="1" applyAlignment="1">
      <alignment horizontal="center" vertical="center"/>
    </xf>
    <xf numFmtId="4" fontId="364" fillId="59" borderId="22" xfId="3304" applyNumberFormat="1" applyFont="1" applyFill="1" applyBorder="1" applyAlignment="1">
      <alignment horizontal="left" vertical="center"/>
    </xf>
    <xf numFmtId="4" fontId="366" fillId="59" borderId="5" xfId="3304" applyNumberFormat="1" applyFont="1" applyFill="1" applyBorder="1" applyAlignment="1">
      <alignment horizontal="left" vertical="center"/>
    </xf>
    <xf numFmtId="4" fontId="403" fillId="0" borderId="21" xfId="0" applyNumberFormat="1" applyFont="1" applyFill="1" applyBorder="1" applyAlignment="1">
      <alignment horizontal="left" vertical="center"/>
    </xf>
    <xf numFmtId="4" fontId="403" fillId="0" borderId="1" xfId="3302" applyNumberFormat="1" applyFont="1" applyBorder="1" applyAlignment="1">
      <alignment horizontal="left" vertical="center"/>
    </xf>
    <xf numFmtId="4" fontId="403" fillId="0" borderId="1" xfId="3302" applyNumberFormat="1" applyFont="1" applyBorder="1" applyAlignment="1">
      <alignment horizontal="center" vertical="center"/>
    </xf>
    <xf numFmtId="43" fontId="403" fillId="2" borderId="33" xfId="3040" applyFont="1" applyFill="1" applyBorder="1" applyAlignment="1">
      <alignment horizontal="left" vertical="center"/>
    </xf>
    <xf numFmtId="4" fontId="403" fillId="0" borderId="1" xfId="0" applyNumberFormat="1" applyFont="1" applyFill="1" applyBorder="1" applyAlignment="1">
      <alignment horizontal="left" vertical="center"/>
    </xf>
    <xf numFmtId="43" fontId="403" fillId="2" borderId="23" xfId="3040" applyFont="1" applyFill="1" applyBorder="1" applyAlignment="1">
      <alignment horizontal="left" vertical="center"/>
    </xf>
    <xf numFmtId="43" fontId="278" fillId="2" borderId="0" xfId="0" applyNumberFormat="1" applyFont="1" applyFill="1"/>
    <xf numFmtId="43" fontId="251" fillId="4" borderId="1" xfId="3304" applyNumberFormat="1" applyFont="1" applyFill="1" applyBorder="1" applyAlignment="1">
      <alignment horizontal="center" vertical="center"/>
    </xf>
    <xf numFmtId="0" fontId="0" fillId="64" borderId="0" xfId="0" applyFill="1"/>
    <xf numFmtId="1" fontId="230" fillId="2" borderId="1" xfId="0" applyNumberFormat="1" applyFont="1" applyFill="1" applyBorder="1" applyAlignment="1">
      <alignment horizontal="left" vertical="center"/>
    </xf>
    <xf numFmtId="1" fontId="209" fillId="0" borderId="0" xfId="0" applyNumberFormat="1" applyFont="1"/>
    <xf numFmtId="43" fontId="391" fillId="0" borderId="4" xfId="0" applyNumberFormat="1" applyFont="1" applyBorder="1" applyAlignment="1">
      <alignment horizontal="center"/>
    </xf>
    <xf numFmtId="0" fontId="206" fillId="0" borderId="63" xfId="0" applyFont="1" applyFill="1" applyBorder="1" applyAlignment="1">
      <alignment horizontal="center"/>
    </xf>
    <xf numFmtId="0" fontId="230" fillId="0" borderId="2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22" fillId="4" borderId="23" xfId="3040" applyFont="1" applyFill="1" applyBorder="1" applyAlignment="1">
      <alignment horizontal="center" vertical="center"/>
    </xf>
    <xf numFmtId="43" fontId="222" fillId="4" borderId="19" xfId="304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43" fontId="222" fillId="4" borderId="23" xfId="3040" applyFont="1" applyFill="1" applyBorder="1" applyAlignment="1">
      <alignment vertical="center"/>
    </xf>
    <xf numFmtId="43" fontId="222" fillId="4" borderId="19" xfId="3040" applyFont="1" applyFill="1" applyBorder="1" applyAlignment="1">
      <alignment vertical="center"/>
    </xf>
    <xf numFmtId="10" fontId="253" fillId="4" borderId="23" xfId="3304" applyNumberFormat="1" applyFont="1" applyFill="1" applyBorder="1" applyAlignment="1">
      <alignment vertical="center"/>
    </xf>
    <xf numFmtId="10" fontId="253" fillId="4" borderId="19" xfId="3304" applyNumberFormat="1" applyFont="1" applyFill="1" applyBorder="1" applyAlignment="1">
      <alignment vertical="center"/>
    </xf>
    <xf numFmtId="43" fontId="253" fillId="4" borderId="23" xfId="3040" applyFont="1" applyFill="1" applyBorder="1" applyAlignment="1">
      <alignment vertical="center"/>
    </xf>
    <xf numFmtId="43" fontId="253" fillId="4" borderId="19" xfId="3040" applyFont="1" applyFill="1" applyBorder="1" applyAlignment="1">
      <alignment vertical="center"/>
    </xf>
    <xf numFmtId="43" fontId="253" fillId="4" borderId="23" xfId="3040" applyFont="1" applyFill="1" applyBorder="1" applyAlignment="1">
      <alignment horizontal="center" vertical="center"/>
    </xf>
    <xf numFmtId="43" fontId="253" fillId="4" borderId="19" xfId="3040" applyFont="1" applyFill="1" applyBorder="1" applyAlignment="1">
      <alignment horizontal="center" vertical="center"/>
    </xf>
    <xf numFmtId="43" fontId="245" fillId="4" borderId="23" xfId="3040" applyFont="1" applyFill="1" applyBorder="1" applyAlignment="1">
      <alignment horizontal="center" vertical="center"/>
    </xf>
    <xf numFmtId="43" fontId="245" fillId="4" borderId="19" xfId="3040" applyFont="1" applyFill="1" applyBorder="1" applyAlignment="1">
      <alignment horizontal="center" vertical="center"/>
    </xf>
    <xf numFmtId="0" fontId="207" fillId="0" borderId="23" xfId="0" applyFont="1" applyFill="1" applyBorder="1" applyAlignment="1">
      <alignment horizontal="center" vertical="center"/>
    </xf>
    <xf numFmtId="0" fontId="217" fillId="0" borderId="19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0" fontId="310" fillId="0" borderId="23" xfId="0" applyFont="1" applyFill="1" applyBorder="1" applyAlignment="1">
      <alignment horizontal="center" vertical="center"/>
    </xf>
    <xf numFmtId="0" fontId="311" fillId="0" borderId="19" xfId="0" applyFont="1" applyBorder="1" applyAlignment="1">
      <alignment horizontal="center" vertical="center"/>
    </xf>
    <xf numFmtId="0" fontId="311" fillId="0" borderId="6" xfId="0" applyFont="1" applyBorder="1" applyAlignment="1">
      <alignment horizontal="center" vertical="center"/>
    </xf>
    <xf numFmtId="0" fontId="217" fillId="0" borderId="23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31" fillId="0" borderId="1" xfId="0" applyFont="1" applyBorder="1" applyAlignment="1">
      <alignment horizontal="center" vertical="center"/>
    </xf>
    <xf numFmtId="3" fontId="305" fillId="0" borderId="23" xfId="0" applyNumberFormat="1" applyFont="1" applyBorder="1" applyAlignment="1">
      <alignment horizontal="center" vertical="center"/>
    </xf>
    <xf numFmtId="0" fontId="306" fillId="0" borderId="19" xfId="0" applyFont="1" applyBorder="1" applyAlignment="1">
      <alignment horizontal="center" vertical="center"/>
    </xf>
    <xf numFmtId="0" fontId="306" fillId="0" borderId="6" xfId="0" applyFont="1" applyBorder="1" applyAlignment="1">
      <alignment horizontal="center" vertical="center"/>
    </xf>
    <xf numFmtId="3" fontId="209" fillId="0" borderId="23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5" fillId="59" borderId="23" xfId="0" applyNumberFormat="1" applyFont="1" applyFill="1" applyBorder="1" applyAlignment="1">
      <alignment horizontal="center" vertical="center"/>
    </xf>
    <xf numFmtId="0" fontId="306" fillId="59" borderId="19" xfId="0" applyFont="1" applyFill="1" applyBorder="1" applyAlignment="1">
      <alignment horizontal="center" vertical="center"/>
    </xf>
    <xf numFmtId="0" fontId="306" fillId="59" borderId="6" xfId="0" applyFont="1" applyFill="1" applyBorder="1" applyAlignment="1">
      <alignment horizontal="center" vertical="center"/>
    </xf>
    <xf numFmtId="3" fontId="384" fillId="0" borderId="23" xfId="0" applyNumberFormat="1" applyFont="1" applyBorder="1" applyAlignment="1">
      <alignment horizontal="center" vertical="center"/>
    </xf>
    <xf numFmtId="0" fontId="390" fillId="0" borderId="19" xfId="0" applyFont="1" applyBorder="1" applyAlignment="1">
      <alignment horizontal="center" vertical="center"/>
    </xf>
    <xf numFmtId="0" fontId="390" fillId="0" borderId="6" xfId="0" applyFont="1" applyBorder="1" applyAlignment="1">
      <alignment horizontal="center" vertical="center"/>
    </xf>
    <xf numFmtId="3" fontId="209" fillId="0" borderId="19" xfId="0" applyNumberFormat="1" applyFont="1" applyBorder="1" applyAlignment="1">
      <alignment horizontal="center" vertical="center"/>
    </xf>
    <xf numFmtId="3" fontId="209" fillId="0" borderId="6" xfId="0" applyNumberFormat="1" applyFont="1" applyBorder="1" applyAlignment="1">
      <alignment horizontal="center" vertical="center"/>
    </xf>
    <xf numFmtId="0" fontId="209" fillId="0" borderId="23" xfId="0" applyFont="1" applyBorder="1" applyAlignment="1">
      <alignment horizontal="center" vertical="center"/>
    </xf>
    <xf numFmtId="0" fontId="384" fillId="0" borderId="2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8" xfId="0" applyBorder="1" applyAlignment="1">
      <alignment horizontal="center"/>
    </xf>
    <xf numFmtId="0" fontId="284" fillId="0" borderId="4" xfId="3048" applyBorder="1" applyAlignment="1">
      <alignment horizontal="center"/>
    </xf>
    <xf numFmtId="0" fontId="354" fillId="0" borderId="62" xfId="3834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07" fillId="0" borderId="19" xfId="0" applyFont="1" applyFill="1" applyBorder="1" applyAlignment="1">
      <alignment horizontal="center" vertical="center"/>
    </xf>
    <xf numFmtId="0" fontId="207" fillId="0" borderId="6" xfId="0" applyFont="1" applyFill="1" applyBorder="1" applyAlignment="1">
      <alignment horizontal="center" vertical="center"/>
    </xf>
    <xf numFmtId="4" fontId="209" fillId="0" borderId="0" xfId="0" applyNumberFormat="1" applyFont="1"/>
  </cellXfs>
  <cellStyles count="26963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3" xfId="7200"/>
    <cellStyle name="20% - akcent 1 10 2 4" xfId="13806"/>
    <cellStyle name="20% - akcent 1 10 2 5" xfId="20397"/>
    <cellStyle name="20% - akcent 1 10 3" xfId="3854"/>
    <cellStyle name="20% - akcent 1 10 3 2" xfId="10489"/>
    <cellStyle name="20% - akcent 1 10 3 3" xfId="17093"/>
    <cellStyle name="20% - akcent 1 10 3 4" xfId="23684"/>
    <cellStyle name="20% - akcent 1 10 4" xfId="7199"/>
    <cellStyle name="20% - akcent 1 10 5" xfId="13805"/>
    <cellStyle name="20% - akcent 1 10 6" xfId="20396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3" xfId="7201"/>
    <cellStyle name="20% - akcent 1 100 4" xfId="13807"/>
    <cellStyle name="20% - akcent 1 100 5" xfId="20398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3" xfId="7202"/>
    <cellStyle name="20% - akcent 1 101 4" xfId="13808"/>
    <cellStyle name="20% - akcent 1 101 5" xfId="20399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3" xfId="7203"/>
    <cellStyle name="20% - akcent 1 102 4" xfId="13809"/>
    <cellStyle name="20% - akcent 1 102 5" xfId="20400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3" xfId="7204"/>
    <cellStyle name="20% - akcent 1 103 4" xfId="13810"/>
    <cellStyle name="20% - akcent 1 103 5" xfId="20401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3" xfId="7205"/>
    <cellStyle name="20% - akcent 1 104 4" xfId="13811"/>
    <cellStyle name="20% - akcent 1 104 5" xfId="20402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3" xfId="7206"/>
    <cellStyle name="20% - akcent 1 105 4" xfId="13812"/>
    <cellStyle name="20% - akcent 1 105 5" xfId="20403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3" xfId="7207"/>
    <cellStyle name="20% - akcent 1 106 4" xfId="13813"/>
    <cellStyle name="20% - akcent 1 106 5" xfId="20404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3" xfId="7208"/>
    <cellStyle name="20% - akcent 1 107 4" xfId="13814"/>
    <cellStyle name="20% - akcent 1 107 5" xfId="20405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3" xfId="7209"/>
    <cellStyle name="20% - akcent 1 108 4" xfId="13815"/>
    <cellStyle name="20% - akcent 1 108 5" xfId="20406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3" xfId="7210"/>
    <cellStyle name="20% - akcent 1 109 4" xfId="13816"/>
    <cellStyle name="20% - akcent 1 109 5" xfId="20407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3" xfId="7212"/>
    <cellStyle name="20% - akcent 1 11 2 4" xfId="13818"/>
    <cellStyle name="20% - akcent 1 11 2 5" xfId="20409"/>
    <cellStyle name="20% - akcent 1 11 3" xfId="3866"/>
    <cellStyle name="20% - akcent 1 11 3 2" xfId="10501"/>
    <cellStyle name="20% - akcent 1 11 3 3" xfId="17105"/>
    <cellStyle name="20% - akcent 1 11 3 4" xfId="23696"/>
    <cellStyle name="20% - akcent 1 11 4" xfId="7211"/>
    <cellStyle name="20% - akcent 1 11 5" xfId="13817"/>
    <cellStyle name="20% - akcent 1 11 6" xfId="20408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3" xfId="7213"/>
    <cellStyle name="20% - akcent 1 110 4" xfId="13819"/>
    <cellStyle name="20% - akcent 1 110 5" xfId="20410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3" xfId="7214"/>
    <cellStyle name="20% - akcent 1 111 4" xfId="13820"/>
    <cellStyle name="20% - akcent 1 111 5" xfId="20411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3" xfId="7215"/>
    <cellStyle name="20% - akcent 1 112 4" xfId="13821"/>
    <cellStyle name="20% - akcent 1 112 5" xfId="20412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3" xfId="7216"/>
    <cellStyle name="20% - akcent 1 113 4" xfId="13822"/>
    <cellStyle name="20% - akcent 1 113 5" xfId="20413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3" xfId="7217"/>
    <cellStyle name="20% - akcent 1 114 4" xfId="13823"/>
    <cellStyle name="20% - akcent 1 114 5" xfId="20414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3" xfId="7218"/>
    <cellStyle name="20% - akcent 1 115 4" xfId="13824"/>
    <cellStyle name="20% - akcent 1 115 5" xfId="20415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3" xfId="7219"/>
    <cellStyle name="20% - akcent 1 116 4" xfId="13825"/>
    <cellStyle name="20% - akcent 1 116 5" xfId="20416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3" xfId="7220"/>
    <cellStyle name="20% - akcent 1 117 4" xfId="13826"/>
    <cellStyle name="20% - akcent 1 117 5" xfId="20417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3" xfId="7221"/>
    <cellStyle name="20% - akcent 1 118 4" xfId="13827"/>
    <cellStyle name="20% - akcent 1 118 5" xfId="20418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3" xfId="7222"/>
    <cellStyle name="20% - akcent 1 119 4" xfId="13828"/>
    <cellStyle name="20% - akcent 1 119 5" xfId="20419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3" xfId="7224"/>
    <cellStyle name="20% - akcent 1 12 2 4" xfId="13830"/>
    <cellStyle name="20% - akcent 1 12 2 5" xfId="20421"/>
    <cellStyle name="20% - akcent 1 12 3" xfId="3878"/>
    <cellStyle name="20% - akcent 1 12 3 2" xfId="10513"/>
    <cellStyle name="20% - akcent 1 12 3 3" xfId="17117"/>
    <cellStyle name="20% - akcent 1 12 3 4" xfId="23708"/>
    <cellStyle name="20% - akcent 1 12 4" xfId="7223"/>
    <cellStyle name="20% - akcent 1 12 5" xfId="13829"/>
    <cellStyle name="20% - akcent 1 12 6" xfId="20420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3" xfId="7225"/>
    <cellStyle name="20% - akcent 1 120 4" xfId="13831"/>
    <cellStyle name="20% - akcent 1 120 5" xfId="20422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3" xfId="7226"/>
    <cellStyle name="20% - akcent 1 121 4" xfId="13832"/>
    <cellStyle name="20% - akcent 1 121 5" xfId="20423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3" xfId="7227"/>
    <cellStyle name="20% - akcent 1 122 4" xfId="13833"/>
    <cellStyle name="20% - akcent 1 122 5" xfId="20424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3" xfId="7228"/>
    <cellStyle name="20% - akcent 1 123 4" xfId="13834"/>
    <cellStyle name="20% - akcent 1 123 5" xfId="20425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3" xfId="7229"/>
    <cellStyle name="20% - akcent 1 124 4" xfId="13835"/>
    <cellStyle name="20% - akcent 1 124 5" xfId="20426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3" xfId="7230"/>
    <cellStyle name="20% - akcent 1 125 4" xfId="13836"/>
    <cellStyle name="20% - akcent 1 125 5" xfId="20427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3" xfId="7231"/>
    <cellStyle name="20% - akcent 1 126 4" xfId="13837"/>
    <cellStyle name="20% - akcent 1 126 5" xfId="20428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3" xfId="7232"/>
    <cellStyle name="20% - akcent 1 127 4" xfId="13838"/>
    <cellStyle name="20% - akcent 1 127 5" xfId="20429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3" xfId="7233"/>
    <cellStyle name="20% - akcent 1 128 4" xfId="13839"/>
    <cellStyle name="20% - akcent 1 128 5" xfId="20430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3" xfId="7234"/>
    <cellStyle name="20% - akcent 1 129 4" xfId="13840"/>
    <cellStyle name="20% - akcent 1 129 5" xfId="20431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3" xfId="7236"/>
    <cellStyle name="20% - akcent 1 13 2 4" xfId="13842"/>
    <cellStyle name="20% - akcent 1 13 2 5" xfId="20433"/>
    <cellStyle name="20% - akcent 1 13 3" xfId="3890"/>
    <cellStyle name="20% - akcent 1 13 3 2" xfId="10525"/>
    <cellStyle name="20% - akcent 1 13 3 3" xfId="17129"/>
    <cellStyle name="20% - akcent 1 13 3 4" xfId="23720"/>
    <cellStyle name="20% - akcent 1 13 4" xfId="7235"/>
    <cellStyle name="20% - akcent 1 13 5" xfId="13841"/>
    <cellStyle name="20% - akcent 1 13 6" xfId="20432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3" xfId="7237"/>
    <cellStyle name="20% - akcent 1 130 4" xfId="13843"/>
    <cellStyle name="20% - akcent 1 130 5" xfId="20434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3" xfId="7238"/>
    <cellStyle name="20% - akcent 1 131 4" xfId="13844"/>
    <cellStyle name="20% - akcent 1 131 5" xfId="20435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3" xfId="7239"/>
    <cellStyle name="20% - akcent 1 132 4" xfId="13845"/>
    <cellStyle name="20% - akcent 1 132 5" xfId="20436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3" xfId="7240"/>
    <cellStyle name="20% - akcent 1 133 4" xfId="13846"/>
    <cellStyle name="20% - akcent 1 133 5" xfId="20437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3" xfId="7241"/>
    <cellStyle name="20% - akcent 1 134 4" xfId="13847"/>
    <cellStyle name="20% - akcent 1 134 5" xfId="20438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3" xfId="7242"/>
    <cellStyle name="20% - akcent 1 135 4" xfId="13848"/>
    <cellStyle name="20% - akcent 1 135 5" xfId="20439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3" xfId="7243"/>
    <cellStyle name="20% - akcent 1 136 4" xfId="13849"/>
    <cellStyle name="20% - akcent 1 136 5" xfId="20440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3" xfId="7244"/>
    <cellStyle name="20% - akcent 1 137 4" xfId="13850"/>
    <cellStyle name="20% - akcent 1 137 5" xfId="20441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3" xfId="7245"/>
    <cellStyle name="20% - akcent 1 138 4" xfId="13851"/>
    <cellStyle name="20% - akcent 1 138 5" xfId="20442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3" xfId="7246"/>
    <cellStyle name="20% - akcent 1 139 4" xfId="13852"/>
    <cellStyle name="20% - akcent 1 139 5" xfId="20443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3" xfId="7248"/>
    <cellStyle name="20% - akcent 1 14 2 4" xfId="13854"/>
    <cellStyle name="20% - akcent 1 14 2 5" xfId="20445"/>
    <cellStyle name="20% - akcent 1 14 3" xfId="3902"/>
    <cellStyle name="20% - akcent 1 14 3 2" xfId="10537"/>
    <cellStyle name="20% - akcent 1 14 3 3" xfId="17141"/>
    <cellStyle name="20% - akcent 1 14 3 4" xfId="23732"/>
    <cellStyle name="20% - akcent 1 14 4" xfId="7247"/>
    <cellStyle name="20% - akcent 1 14 5" xfId="13853"/>
    <cellStyle name="20% - akcent 1 14 6" xfId="20444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3" xfId="7249"/>
    <cellStyle name="20% - akcent 1 140 4" xfId="13855"/>
    <cellStyle name="20% - akcent 1 140 5" xfId="20446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3" xfId="7250"/>
    <cellStyle name="20% - akcent 1 141 4" xfId="13856"/>
    <cellStyle name="20% - akcent 1 141 5" xfId="20447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3" xfId="7251"/>
    <cellStyle name="20% - akcent 1 142 4" xfId="13857"/>
    <cellStyle name="20% - akcent 1 142 5" xfId="20448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3" xfId="7252"/>
    <cellStyle name="20% - akcent 1 143 4" xfId="13858"/>
    <cellStyle name="20% - akcent 1 143 5" xfId="20449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3" xfId="7253"/>
    <cellStyle name="20% - akcent 1 144 4" xfId="13859"/>
    <cellStyle name="20% - akcent 1 144 5" xfId="20450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3" xfId="7254"/>
    <cellStyle name="20% - akcent 1 145 4" xfId="13860"/>
    <cellStyle name="20% - akcent 1 145 5" xfId="20451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3" xfId="7255"/>
    <cellStyle name="20% - akcent 1 146 4" xfId="13861"/>
    <cellStyle name="20% - akcent 1 146 5" xfId="20452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3" xfId="7256"/>
    <cellStyle name="20% - akcent 1 147 4" xfId="13862"/>
    <cellStyle name="20% - akcent 1 147 5" xfId="20453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3" xfId="7257"/>
    <cellStyle name="20% - akcent 1 148 4" xfId="13863"/>
    <cellStyle name="20% - akcent 1 148 5" xfId="20454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3" xfId="7258"/>
    <cellStyle name="20% - akcent 1 149 4" xfId="13864"/>
    <cellStyle name="20% - akcent 1 149 5" xfId="20455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3" xfId="7260"/>
    <cellStyle name="20% - akcent 1 15 2 4" xfId="13866"/>
    <cellStyle name="20% - akcent 1 15 2 5" xfId="20457"/>
    <cellStyle name="20% - akcent 1 15 3" xfId="3914"/>
    <cellStyle name="20% - akcent 1 15 3 2" xfId="10549"/>
    <cellStyle name="20% - akcent 1 15 3 3" xfId="17153"/>
    <cellStyle name="20% - akcent 1 15 3 4" xfId="23744"/>
    <cellStyle name="20% - akcent 1 15 4" xfId="7259"/>
    <cellStyle name="20% - akcent 1 15 5" xfId="13865"/>
    <cellStyle name="20% - akcent 1 15 6" xfId="20456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3" xfId="7261"/>
    <cellStyle name="20% - akcent 1 150 4" xfId="13867"/>
    <cellStyle name="20% - akcent 1 150 5" xfId="20458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3" xfId="7262"/>
    <cellStyle name="20% - akcent 1 151 4" xfId="13868"/>
    <cellStyle name="20% - akcent 1 151 5" xfId="20459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3" xfId="7263"/>
    <cellStyle name="20% - akcent 1 152 4" xfId="13869"/>
    <cellStyle name="20% - akcent 1 152 5" xfId="20460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3" xfId="7264"/>
    <cellStyle name="20% - akcent 1 153 4" xfId="13870"/>
    <cellStyle name="20% - akcent 1 153 5" xfId="20461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3" xfId="7265"/>
    <cellStyle name="20% - akcent 1 154 4" xfId="13871"/>
    <cellStyle name="20% - akcent 1 154 5" xfId="20462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3" xfId="7266"/>
    <cellStyle name="20% - akcent 1 155 4" xfId="13872"/>
    <cellStyle name="20% - akcent 1 155 5" xfId="20463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3" xfId="7267"/>
    <cellStyle name="20% - akcent 1 156 4" xfId="13873"/>
    <cellStyle name="20% - akcent 1 156 5" xfId="20464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3" xfId="7268"/>
    <cellStyle name="20% - akcent 1 157 4" xfId="13874"/>
    <cellStyle name="20% - akcent 1 157 5" xfId="20465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3" xfId="7269"/>
    <cellStyle name="20% - akcent 1 158 4" xfId="13875"/>
    <cellStyle name="20% - akcent 1 158 5" xfId="20466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3" xfId="7270"/>
    <cellStyle name="20% - akcent 1 159 4" xfId="13876"/>
    <cellStyle name="20% - akcent 1 159 5" xfId="20467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3" xfId="7272"/>
    <cellStyle name="20% - akcent 1 16 2 4" xfId="13878"/>
    <cellStyle name="20% - akcent 1 16 2 5" xfId="20469"/>
    <cellStyle name="20% - akcent 1 16 3" xfId="3926"/>
    <cellStyle name="20% - akcent 1 16 3 2" xfId="10561"/>
    <cellStyle name="20% - akcent 1 16 3 3" xfId="17165"/>
    <cellStyle name="20% - akcent 1 16 3 4" xfId="23756"/>
    <cellStyle name="20% - akcent 1 16 4" xfId="7271"/>
    <cellStyle name="20% - akcent 1 16 5" xfId="13877"/>
    <cellStyle name="20% - akcent 1 16 6" xfId="20468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3" xfId="7273"/>
    <cellStyle name="20% - akcent 1 160 4" xfId="13879"/>
    <cellStyle name="20% - akcent 1 160 5" xfId="20470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3" xfId="7274"/>
    <cellStyle name="20% - akcent 1 161 4" xfId="13880"/>
    <cellStyle name="20% - akcent 1 161 5" xfId="20471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3" xfId="7275"/>
    <cellStyle name="20% - akcent 1 162 4" xfId="13881"/>
    <cellStyle name="20% - akcent 1 162 5" xfId="20472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3" xfId="7276"/>
    <cellStyle name="20% - akcent 1 163 4" xfId="13882"/>
    <cellStyle name="20% - akcent 1 163 5" xfId="20473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3" xfId="7277"/>
    <cellStyle name="20% - akcent 1 164 4" xfId="13883"/>
    <cellStyle name="20% - akcent 1 164 5" xfId="20474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3" xfId="7278"/>
    <cellStyle name="20% - akcent 1 165 4" xfId="13884"/>
    <cellStyle name="20% - akcent 1 165 5" xfId="20475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3" xfId="7279"/>
    <cellStyle name="20% - akcent 1 166 4" xfId="13885"/>
    <cellStyle name="20% - akcent 1 166 5" xfId="20476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3" xfId="7280"/>
    <cellStyle name="20% - akcent 1 167 4" xfId="13886"/>
    <cellStyle name="20% - akcent 1 167 5" xfId="20477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3" xfId="7281"/>
    <cellStyle name="20% - akcent 1 168 4" xfId="13887"/>
    <cellStyle name="20% - akcent 1 168 5" xfId="20478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3" xfId="7282"/>
    <cellStyle name="20% - akcent 1 169 4" xfId="13888"/>
    <cellStyle name="20% - akcent 1 169 5" xfId="20479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3" xfId="7284"/>
    <cellStyle name="20% - akcent 1 17 2 4" xfId="13890"/>
    <cellStyle name="20% - akcent 1 17 2 5" xfId="20481"/>
    <cellStyle name="20% - akcent 1 17 3" xfId="3938"/>
    <cellStyle name="20% - akcent 1 17 3 2" xfId="10573"/>
    <cellStyle name="20% - akcent 1 17 3 3" xfId="17177"/>
    <cellStyle name="20% - akcent 1 17 3 4" xfId="23768"/>
    <cellStyle name="20% - akcent 1 17 4" xfId="7283"/>
    <cellStyle name="20% - akcent 1 17 5" xfId="13889"/>
    <cellStyle name="20% - akcent 1 17 6" xfId="20480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3" xfId="7285"/>
    <cellStyle name="20% - akcent 1 170 4" xfId="13891"/>
    <cellStyle name="20% - akcent 1 170 5" xfId="20482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3" xfId="7286"/>
    <cellStyle name="20% - akcent 1 171 4" xfId="13892"/>
    <cellStyle name="20% - akcent 1 171 5" xfId="20483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3" xfId="7287"/>
    <cellStyle name="20% - akcent 1 172 4" xfId="13893"/>
    <cellStyle name="20% - akcent 1 172 5" xfId="20484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3" xfId="7288"/>
    <cellStyle name="20% - akcent 1 173 4" xfId="13894"/>
    <cellStyle name="20% - akcent 1 173 5" xfId="20485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3" xfId="7289"/>
    <cellStyle name="20% - akcent 1 174 4" xfId="13895"/>
    <cellStyle name="20% - akcent 1 174 5" xfId="20486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3" xfId="7290"/>
    <cellStyle name="20% - akcent 1 175 4" xfId="13896"/>
    <cellStyle name="20% - akcent 1 175 5" xfId="20487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3" xfId="7291"/>
    <cellStyle name="20% - akcent 1 176 4" xfId="13897"/>
    <cellStyle name="20% - akcent 1 176 5" xfId="20488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3" xfId="7292"/>
    <cellStyle name="20% - akcent 1 177 4" xfId="13898"/>
    <cellStyle name="20% - akcent 1 177 5" xfId="20489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3" xfId="7293"/>
    <cellStyle name="20% - akcent 1 178 4" xfId="13899"/>
    <cellStyle name="20% - akcent 1 178 5" xfId="20490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3" xfId="7294"/>
    <cellStyle name="20% - akcent 1 179 4" xfId="13900"/>
    <cellStyle name="20% - akcent 1 179 5" xfId="20491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3" xfId="7296"/>
    <cellStyle name="20% - akcent 1 18 2 4" xfId="13902"/>
    <cellStyle name="20% - akcent 1 18 2 5" xfId="20493"/>
    <cellStyle name="20% - akcent 1 18 3" xfId="3950"/>
    <cellStyle name="20% - akcent 1 18 3 2" xfId="10585"/>
    <cellStyle name="20% - akcent 1 18 3 3" xfId="17189"/>
    <cellStyle name="20% - akcent 1 18 3 4" xfId="23780"/>
    <cellStyle name="20% - akcent 1 18 4" xfId="7295"/>
    <cellStyle name="20% - akcent 1 18 5" xfId="13901"/>
    <cellStyle name="20% - akcent 1 18 6" xfId="20492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3" xfId="7297"/>
    <cellStyle name="20% - akcent 1 180 4" xfId="13903"/>
    <cellStyle name="20% - akcent 1 180 5" xfId="20494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3" xfId="7298"/>
    <cellStyle name="20% - akcent 1 181 4" xfId="13904"/>
    <cellStyle name="20% - akcent 1 181 5" xfId="20495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3" xfId="7299"/>
    <cellStyle name="20% - akcent 1 182 4" xfId="13905"/>
    <cellStyle name="20% - akcent 1 182 5" xfId="20496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3" xfId="7300"/>
    <cellStyle name="20% - akcent 1 183 4" xfId="13906"/>
    <cellStyle name="20% - akcent 1 183 5" xfId="20497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3" xfId="7301"/>
    <cellStyle name="20% - akcent 1 184 4" xfId="13907"/>
    <cellStyle name="20% - akcent 1 184 5" xfId="20498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3" xfId="7302"/>
    <cellStyle name="20% - akcent 1 185 4" xfId="13908"/>
    <cellStyle name="20% - akcent 1 185 5" xfId="20499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3" xfId="7303"/>
    <cellStyle name="20% - akcent 1 186 4" xfId="13909"/>
    <cellStyle name="20% - akcent 1 186 5" xfId="20500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3" xfId="7304"/>
    <cellStyle name="20% - akcent 1 187 4" xfId="13910"/>
    <cellStyle name="20% - akcent 1 187 5" xfId="20501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3" xfId="7305"/>
    <cellStyle name="20% - akcent 1 188 4" xfId="13911"/>
    <cellStyle name="20% - akcent 1 188 5" xfId="20502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3" xfId="7306"/>
    <cellStyle name="20% - akcent 1 189 4" xfId="13912"/>
    <cellStyle name="20% - akcent 1 189 5" xfId="20503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3" xfId="7308"/>
    <cellStyle name="20% - akcent 1 19 2 4" xfId="13914"/>
    <cellStyle name="20% - akcent 1 19 2 5" xfId="20505"/>
    <cellStyle name="20% - akcent 1 19 3" xfId="3962"/>
    <cellStyle name="20% - akcent 1 19 3 2" xfId="10597"/>
    <cellStyle name="20% - akcent 1 19 3 3" xfId="17201"/>
    <cellStyle name="20% - akcent 1 19 3 4" xfId="23792"/>
    <cellStyle name="20% - akcent 1 19 4" xfId="7307"/>
    <cellStyle name="20% - akcent 1 19 5" xfId="13913"/>
    <cellStyle name="20% - akcent 1 19 6" xfId="20504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3" xfId="7309"/>
    <cellStyle name="20% - akcent 1 190 4" xfId="13915"/>
    <cellStyle name="20% - akcent 1 190 5" xfId="20506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3" xfId="7310"/>
    <cellStyle name="20% - akcent 1 191 4" xfId="13916"/>
    <cellStyle name="20% - akcent 1 191 5" xfId="20507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3" xfId="7311"/>
    <cellStyle name="20% - akcent 1 192 4" xfId="13917"/>
    <cellStyle name="20% - akcent 1 192 5" xfId="20508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3" xfId="7312"/>
    <cellStyle name="20% - akcent 1 193 4" xfId="13918"/>
    <cellStyle name="20% - akcent 1 193 5" xfId="20509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3" xfId="7313"/>
    <cellStyle name="20% - akcent 1 194 4" xfId="13919"/>
    <cellStyle name="20% - akcent 1 194 5" xfId="20510"/>
    <cellStyle name="20% - akcent 1 195" xfId="3837"/>
    <cellStyle name="20% - akcent 1 195 2" xfId="10472"/>
    <cellStyle name="20% - akcent 1 195 3" xfId="17076"/>
    <cellStyle name="20% - akcent 1 195 4" xfId="23667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3" xfId="7315"/>
    <cellStyle name="20% - akcent 1 2 2 4" xfId="13921"/>
    <cellStyle name="20% - akcent 1 2 2 5" xfId="20512"/>
    <cellStyle name="20% - akcent 1 2 3" xfId="3969"/>
    <cellStyle name="20% - akcent 1 2 3 2" xfId="10604"/>
    <cellStyle name="20% - akcent 1 2 3 3" xfId="17208"/>
    <cellStyle name="20% - akcent 1 2 3 4" xfId="23799"/>
    <cellStyle name="20% - akcent 1 2 4" xfId="7314"/>
    <cellStyle name="20% - akcent 1 2 5" xfId="13920"/>
    <cellStyle name="20% - akcent 1 2 6" xfId="20511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3" xfId="7317"/>
    <cellStyle name="20% - akcent 1 20 2 4" xfId="13923"/>
    <cellStyle name="20% - akcent 1 20 2 5" xfId="20514"/>
    <cellStyle name="20% - akcent 1 20 3" xfId="3971"/>
    <cellStyle name="20% - akcent 1 20 3 2" xfId="10606"/>
    <cellStyle name="20% - akcent 1 20 3 3" xfId="17210"/>
    <cellStyle name="20% - akcent 1 20 3 4" xfId="23801"/>
    <cellStyle name="20% - akcent 1 20 4" xfId="7316"/>
    <cellStyle name="20% - akcent 1 20 5" xfId="13922"/>
    <cellStyle name="20% - akcent 1 20 6" xfId="20513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3" xfId="7319"/>
    <cellStyle name="20% - akcent 1 21 2 4" xfId="13925"/>
    <cellStyle name="20% - akcent 1 21 2 5" xfId="20516"/>
    <cellStyle name="20% - akcent 1 21 3" xfId="3973"/>
    <cellStyle name="20% - akcent 1 21 3 2" xfId="10608"/>
    <cellStyle name="20% - akcent 1 21 3 3" xfId="17212"/>
    <cellStyle name="20% - akcent 1 21 3 4" xfId="23803"/>
    <cellStyle name="20% - akcent 1 21 4" xfId="7318"/>
    <cellStyle name="20% - akcent 1 21 5" xfId="13924"/>
    <cellStyle name="20% - akcent 1 21 6" xfId="20515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3" xfId="7321"/>
    <cellStyle name="20% - akcent 1 22 2 4" xfId="13927"/>
    <cellStyle name="20% - akcent 1 22 2 5" xfId="20518"/>
    <cellStyle name="20% - akcent 1 22 3" xfId="3975"/>
    <cellStyle name="20% - akcent 1 22 3 2" xfId="10610"/>
    <cellStyle name="20% - akcent 1 22 3 3" xfId="17214"/>
    <cellStyle name="20% - akcent 1 22 3 4" xfId="23805"/>
    <cellStyle name="20% - akcent 1 22 4" xfId="7320"/>
    <cellStyle name="20% - akcent 1 22 5" xfId="13926"/>
    <cellStyle name="20% - akcent 1 22 6" xfId="20517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3" xfId="7323"/>
    <cellStyle name="20% - akcent 1 23 2 4" xfId="13929"/>
    <cellStyle name="20% - akcent 1 23 2 5" xfId="20520"/>
    <cellStyle name="20% - akcent 1 23 3" xfId="3977"/>
    <cellStyle name="20% - akcent 1 23 3 2" xfId="10612"/>
    <cellStyle name="20% - akcent 1 23 3 3" xfId="17216"/>
    <cellStyle name="20% - akcent 1 23 3 4" xfId="23807"/>
    <cellStyle name="20% - akcent 1 23 4" xfId="7322"/>
    <cellStyle name="20% - akcent 1 23 5" xfId="13928"/>
    <cellStyle name="20% - akcent 1 23 6" xfId="20519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3" xfId="7325"/>
    <cellStyle name="20% - akcent 1 24 2 4" xfId="13931"/>
    <cellStyle name="20% - akcent 1 24 2 5" xfId="20522"/>
    <cellStyle name="20% - akcent 1 24 3" xfId="3979"/>
    <cellStyle name="20% - akcent 1 24 3 2" xfId="10614"/>
    <cellStyle name="20% - akcent 1 24 3 3" xfId="17218"/>
    <cellStyle name="20% - akcent 1 24 3 4" xfId="23809"/>
    <cellStyle name="20% - akcent 1 24 4" xfId="7324"/>
    <cellStyle name="20% - akcent 1 24 5" xfId="13930"/>
    <cellStyle name="20% - akcent 1 24 6" xfId="20521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3" xfId="7327"/>
    <cellStyle name="20% - akcent 1 25 2 4" xfId="13933"/>
    <cellStyle name="20% - akcent 1 25 2 5" xfId="20524"/>
    <cellStyle name="20% - akcent 1 25 3" xfId="3981"/>
    <cellStyle name="20% - akcent 1 25 3 2" xfId="10616"/>
    <cellStyle name="20% - akcent 1 25 3 3" xfId="17220"/>
    <cellStyle name="20% - akcent 1 25 3 4" xfId="23811"/>
    <cellStyle name="20% - akcent 1 25 4" xfId="7326"/>
    <cellStyle name="20% - akcent 1 25 5" xfId="13932"/>
    <cellStyle name="20% - akcent 1 25 6" xfId="20523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3" xfId="7329"/>
    <cellStyle name="20% - akcent 1 26 2 4" xfId="13935"/>
    <cellStyle name="20% - akcent 1 26 2 5" xfId="20526"/>
    <cellStyle name="20% - akcent 1 26 3" xfId="3983"/>
    <cellStyle name="20% - akcent 1 26 3 2" xfId="10618"/>
    <cellStyle name="20% - akcent 1 26 3 3" xfId="17222"/>
    <cellStyle name="20% - akcent 1 26 3 4" xfId="23813"/>
    <cellStyle name="20% - akcent 1 26 4" xfId="7328"/>
    <cellStyle name="20% - akcent 1 26 5" xfId="13934"/>
    <cellStyle name="20% - akcent 1 26 6" xfId="20525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3" xfId="7331"/>
    <cellStyle name="20% - akcent 1 27 2 4" xfId="13937"/>
    <cellStyle name="20% - akcent 1 27 2 5" xfId="20528"/>
    <cellStyle name="20% - akcent 1 27 3" xfId="3985"/>
    <cellStyle name="20% - akcent 1 27 3 2" xfId="10620"/>
    <cellStyle name="20% - akcent 1 27 3 3" xfId="17224"/>
    <cellStyle name="20% - akcent 1 27 3 4" xfId="23815"/>
    <cellStyle name="20% - akcent 1 27 4" xfId="7330"/>
    <cellStyle name="20% - akcent 1 27 5" xfId="13936"/>
    <cellStyle name="20% - akcent 1 27 6" xfId="20527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3" xfId="7333"/>
    <cellStyle name="20% - akcent 1 28 2 4" xfId="13939"/>
    <cellStyle name="20% - akcent 1 28 2 5" xfId="20530"/>
    <cellStyle name="20% - akcent 1 28 3" xfId="3987"/>
    <cellStyle name="20% - akcent 1 28 3 2" xfId="10622"/>
    <cellStyle name="20% - akcent 1 28 3 3" xfId="17226"/>
    <cellStyle name="20% - akcent 1 28 3 4" xfId="23817"/>
    <cellStyle name="20% - akcent 1 28 4" xfId="7332"/>
    <cellStyle name="20% - akcent 1 28 5" xfId="13938"/>
    <cellStyle name="20% - akcent 1 28 6" xfId="20529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3" xfId="7335"/>
    <cellStyle name="20% - akcent 1 29 2 4" xfId="13941"/>
    <cellStyle name="20% - akcent 1 29 2 5" xfId="20532"/>
    <cellStyle name="20% - akcent 1 29 3" xfId="3989"/>
    <cellStyle name="20% - akcent 1 29 3 2" xfId="10624"/>
    <cellStyle name="20% - akcent 1 29 3 3" xfId="17228"/>
    <cellStyle name="20% - akcent 1 29 3 4" xfId="23819"/>
    <cellStyle name="20% - akcent 1 29 4" xfId="7334"/>
    <cellStyle name="20% - akcent 1 29 5" xfId="13940"/>
    <cellStyle name="20% - akcent 1 29 6" xfId="20531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3" xfId="7337"/>
    <cellStyle name="20% - akcent 1 3 2 4" xfId="13943"/>
    <cellStyle name="20% - akcent 1 3 2 5" xfId="20534"/>
    <cellStyle name="20% - akcent 1 3 3" xfId="3991"/>
    <cellStyle name="20% - akcent 1 3 3 2" xfId="10626"/>
    <cellStyle name="20% - akcent 1 3 3 3" xfId="17230"/>
    <cellStyle name="20% - akcent 1 3 3 4" xfId="23821"/>
    <cellStyle name="20% - akcent 1 3 4" xfId="7336"/>
    <cellStyle name="20% - akcent 1 3 5" xfId="13942"/>
    <cellStyle name="20% - akcent 1 3 6" xfId="20533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3" xfId="7339"/>
    <cellStyle name="20% - akcent 1 30 2 4" xfId="13945"/>
    <cellStyle name="20% - akcent 1 30 2 5" xfId="20536"/>
    <cellStyle name="20% - akcent 1 30 3" xfId="3993"/>
    <cellStyle name="20% - akcent 1 30 3 2" xfId="10628"/>
    <cellStyle name="20% - akcent 1 30 3 3" xfId="17232"/>
    <cellStyle name="20% - akcent 1 30 3 4" xfId="23823"/>
    <cellStyle name="20% - akcent 1 30 4" xfId="7338"/>
    <cellStyle name="20% - akcent 1 30 5" xfId="13944"/>
    <cellStyle name="20% - akcent 1 30 6" xfId="20535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3" xfId="7341"/>
    <cellStyle name="20% - akcent 1 31 2 4" xfId="13947"/>
    <cellStyle name="20% - akcent 1 31 2 5" xfId="20538"/>
    <cellStyle name="20% - akcent 1 31 3" xfId="3995"/>
    <cellStyle name="20% - akcent 1 31 3 2" xfId="10630"/>
    <cellStyle name="20% - akcent 1 31 3 3" xfId="17234"/>
    <cellStyle name="20% - akcent 1 31 3 4" xfId="23825"/>
    <cellStyle name="20% - akcent 1 31 4" xfId="7340"/>
    <cellStyle name="20% - akcent 1 31 5" xfId="13946"/>
    <cellStyle name="20% - akcent 1 31 6" xfId="20537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3" xfId="7343"/>
    <cellStyle name="20% - akcent 1 32 2 4" xfId="13949"/>
    <cellStyle name="20% - akcent 1 32 2 5" xfId="20540"/>
    <cellStyle name="20% - akcent 1 32 3" xfId="3997"/>
    <cellStyle name="20% - akcent 1 32 3 2" xfId="10632"/>
    <cellStyle name="20% - akcent 1 32 3 3" xfId="17236"/>
    <cellStyle name="20% - akcent 1 32 3 4" xfId="23827"/>
    <cellStyle name="20% - akcent 1 32 4" xfId="7342"/>
    <cellStyle name="20% - akcent 1 32 5" xfId="13948"/>
    <cellStyle name="20% - akcent 1 32 6" xfId="20539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3" xfId="7345"/>
    <cellStyle name="20% - akcent 1 33 2 4" xfId="13951"/>
    <cellStyle name="20% - akcent 1 33 2 5" xfId="20542"/>
    <cellStyle name="20% - akcent 1 33 3" xfId="3999"/>
    <cellStyle name="20% - akcent 1 33 3 2" xfId="10634"/>
    <cellStyle name="20% - akcent 1 33 3 3" xfId="17238"/>
    <cellStyle name="20% - akcent 1 33 3 4" xfId="23829"/>
    <cellStyle name="20% - akcent 1 33 4" xfId="7344"/>
    <cellStyle name="20% - akcent 1 33 5" xfId="13950"/>
    <cellStyle name="20% - akcent 1 33 6" xfId="20541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3" xfId="7347"/>
    <cellStyle name="20% - akcent 1 34 2 4" xfId="13953"/>
    <cellStyle name="20% - akcent 1 34 2 5" xfId="20544"/>
    <cellStyle name="20% - akcent 1 34 3" xfId="4001"/>
    <cellStyle name="20% - akcent 1 34 3 2" xfId="10636"/>
    <cellStyle name="20% - akcent 1 34 3 3" xfId="17240"/>
    <cellStyle name="20% - akcent 1 34 3 4" xfId="23831"/>
    <cellStyle name="20% - akcent 1 34 4" xfId="7346"/>
    <cellStyle name="20% - akcent 1 34 5" xfId="13952"/>
    <cellStyle name="20% - akcent 1 34 6" xfId="20543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3" xfId="7349"/>
    <cellStyle name="20% - akcent 1 35 2 4" xfId="13955"/>
    <cellStyle name="20% - akcent 1 35 2 5" xfId="20546"/>
    <cellStyle name="20% - akcent 1 35 3" xfId="4003"/>
    <cellStyle name="20% - akcent 1 35 3 2" xfId="10638"/>
    <cellStyle name="20% - akcent 1 35 3 3" xfId="17242"/>
    <cellStyle name="20% - akcent 1 35 3 4" xfId="23833"/>
    <cellStyle name="20% - akcent 1 35 4" xfId="7348"/>
    <cellStyle name="20% - akcent 1 35 5" xfId="13954"/>
    <cellStyle name="20% - akcent 1 35 6" xfId="20545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3" xfId="7351"/>
    <cellStyle name="20% - akcent 1 36 2 4" xfId="13957"/>
    <cellStyle name="20% - akcent 1 36 2 5" xfId="20548"/>
    <cellStyle name="20% - akcent 1 36 3" xfId="4005"/>
    <cellStyle name="20% - akcent 1 36 3 2" xfId="10640"/>
    <cellStyle name="20% - akcent 1 36 3 3" xfId="17244"/>
    <cellStyle name="20% - akcent 1 36 3 4" xfId="23835"/>
    <cellStyle name="20% - akcent 1 36 4" xfId="7350"/>
    <cellStyle name="20% - akcent 1 36 5" xfId="13956"/>
    <cellStyle name="20% - akcent 1 36 6" xfId="20547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3" xfId="7353"/>
    <cellStyle name="20% - akcent 1 37 2 4" xfId="13959"/>
    <cellStyle name="20% - akcent 1 37 2 5" xfId="20550"/>
    <cellStyle name="20% - akcent 1 37 3" xfId="4007"/>
    <cellStyle name="20% - akcent 1 37 3 2" xfId="10642"/>
    <cellStyle name="20% - akcent 1 37 3 3" xfId="17246"/>
    <cellStyle name="20% - akcent 1 37 3 4" xfId="23837"/>
    <cellStyle name="20% - akcent 1 37 4" xfId="7352"/>
    <cellStyle name="20% - akcent 1 37 5" xfId="13958"/>
    <cellStyle name="20% - akcent 1 37 6" xfId="20549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3" xfId="7355"/>
    <cellStyle name="20% - akcent 1 38 2 4" xfId="13961"/>
    <cellStyle name="20% - akcent 1 38 2 5" xfId="20552"/>
    <cellStyle name="20% - akcent 1 38 3" xfId="4009"/>
    <cellStyle name="20% - akcent 1 38 3 2" xfId="10644"/>
    <cellStyle name="20% - akcent 1 38 3 3" xfId="17248"/>
    <cellStyle name="20% - akcent 1 38 3 4" xfId="23839"/>
    <cellStyle name="20% - akcent 1 38 4" xfId="7354"/>
    <cellStyle name="20% - akcent 1 38 5" xfId="13960"/>
    <cellStyle name="20% - akcent 1 38 6" xfId="20551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3" xfId="7357"/>
    <cellStyle name="20% - akcent 1 39 2 4" xfId="13963"/>
    <cellStyle name="20% - akcent 1 39 2 5" xfId="20554"/>
    <cellStyle name="20% - akcent 1 39 3" xfId="4011"/>
    <cellStyle name="20% - akcent 1 39 3 2" xfId="10646"/>
    <cellStyle name="20% - akcent 1 39 3 3" xfId="17250"/>
    <cellStyle name="20% - akcent 1 39 3 4" xfId="23841"/>
    <cellStyle name="20% - akcent 1 39 4" xfId="7356"/>
    <cellStyle name="20% - akcent 1 39 5" xfId="13962"/>
    <cellStyle name="20% - akcent 1 39 6" xfId="20553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3" xfId="7359"/>
    <cellStyle name="20% - akcent 1 4 2 4" xfId="13965"/>
    <cellStyle name="20% - akcent 1 4 2 5" xfId="20556"/>
    <cellStyle name="20% - akcent 1 4 3" xfId="4013"/>
    <cellStyle name="20% - akcent 1 4 3 2" xfId="10648"/>
    <cellStyle name="20% - akcent 1 4 3 3" xfId="17252"/>
    <cellStyle name="20% - akcent 1 4 3 4" xfId="23843"/>
    <cellStyle name="20% - akcent 1 4 4" xfId="7358"/>
    <cellStyle name="20% - akcent 1 4 5" xfId="13964"/>
    <cellStyle name="20% - akcent 1 4 6" xfId="20555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3" xfId="7361"/>
    <cellStyle name="20% - akcent 1 40 2 4" xfId="13967"/>
    <cellStyle name="20% - akcent 1 40 2 5" xfId="20558"/>
    <cellStyle name="20% - akcent 1 40 3" xfId="4015"/>
    <cellStyle name="20% - akcent 1 40 3 2" xfId="10650"/>
    <cellStyle name="20% - akcent 1 40 3 3" xfId="17254"/>
    <cellStyle name="20% - akcent 1 40 3 4" xfId="23845"/>
    <cellStyle name="20% - akcent 1 40 4" xfId="7360"/>
    <cellStyle name="20% - akcent 1 40 5" xfId="13966"/>
    <cellStyle name="20% - akcent 1 40 6" xfId="20557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3" xfId="7363"/>
    <cellStyle name="20% - akcent 1 41 2 4" xfId="13969"/>
    <cellStyle name="20% - akcent 1 41 2 5" xfId="20560"/>
    <cellStyle name="20% - akcent 1 41 3" xfId="4017"/>
    <cellStyle name="20% - akcent 1 41 3 2" xfId="10652"/>
    <cellStyle name="20% - akcent 1 41 3 3" xfId="17256"/>
    <cellStyle name="20% - akcent 1 41 3 4" xfId="23847"/>
    <cellStyle name="20% - akcent 1 41 4" xfId="7362"/>
    <cellStyle name="20% - akcent 1 41 5" xfId="13968"/>
    <cellStyle name="20% - akcent 1 41 6" xfId="20559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3" xfId="7365"/>
    <cellStyle name="20% - akcent 1 42 2 4" xfId="13971"/>
    <cellStyle name="20% - akcent 1 42 2 5" xfId="20562"/>
    <cellStyle name="20% - akcent 1 42 3" xfId="4019"/>
    <cellStyle name="20% - akcent 1 42 3 2" xfId="10654"/>
    <cellStyle name="20% - akcent 1 42 3 3" xfId="17258"/>
    <cellStyle name="20% - akcent 1 42 3 4" xfId="23849"/>
    <cellStyle name="20% - akcent 1 42 4" xfId="7364"/>
    <cellStyle name="20% - akcent 1 42 5" xfId="13970"/>
    <cellStyle name="20% - akcent 1 42 6" xfId="20561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3" xfId="7367"/>
    <cellStyle name="20% - akcent 1 43 2 4" xfId="13973"/>
    <cellStyle name="20% - akcent 1 43 2 5" xfId="20564"/>
    <cellStyle name="20% - akcent 1 43 3" xfId="4021"/>
    <cellStyle name="20% - akcent 1 43 3 2" xfId="10656"/>
    <cellStyle name="20% - akcent 1 43 3 3" xfId="17260"/>
    <cellStyle name="20% - akcent 1 43 3 4" xfId="23851"/>
    <cellStyle name="20% - akcent 1 43 4" xfId="7366"/>
    <cellStyle name="20% - akcent 1 43 5" xfId="13972"/>
    <cellStyle name="20% - akcent 1 43 6" xfId="20563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3" xfId="7369"/>
    <cellStyle name="20% - akcent 1 44 2 4" xfId="13975"/>
    <cellStyle name="20% - akcent 1 44 2 5" xfId="20566"/>
    <cellStyle name="20% - akcent 1 44 3" xfId="4023"/>
    <cellStyle name="20% - akcent 1 44 3 2" xfId="10658"/>
    <cellStyle name="20% - akcent 1 44 3 3" xfId="17262"/>
    <cellStyle name="20% - akcent 1 44 3 4" xfId="23853"/>
    <cellStyle name="20% - akcent 1 44 4" xfId="7368"/>
    <cellStyle name="20% - akcent 1 44 5" xfId="13974"/>
    <cellStyle name="20% - akcent 1 44 6" xfId="20565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3" xfId="7371"/>
    <cellStyle name="20% - akcent 1 45 2 4" xfId="13977"/>
    <cellStyle name="20% - akcent 1 45 2 5" xfId="20568"/>
    <cellStyle name="20% - akcent 1 45 3" xfId="4025"/>
    <cellStyle name="20% - akcent 1 45 3 2" xfId="10660"/>
    <cellStyle name="20% - akcent 1 45 3 3" xfId="17264"/>
    <cellStyle name="20% - akcent 1 45 3 4" xfId="23855"/>
    <cellStyle name="20% - akcent 1 45 4" xfId="7370"/>
    <cellStyle name="20% - akcent 1 45 5" xfId="13976"/>
    <cellStyle name="20% - akcent 1 45 6" xfId="20567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3" xfId="7373"/>
    <cellStyle name="20% - akcent 1 46 2 4" xfId="13979"/>
    <cellStyle name="20% - akcent 1 46 2 5" xfId="20570"/>
    <cellStyle name="20% - akcent 1 46 3" xfId="4027"/>
    <cellStyle name="20% - akcent 1 46 3 2" xfId="10662"/>
    <cellStyle name="20% - akcent 1 46 3 3" xfId="17266"/>
    <cellStyle name="20% - akcent 1 46 3 4" xfId="23857"/>
    <cellStyle name="20% - akcent 1 46 4" xfId="7372"/>
    <cellStyle name="20% - akcent 1 46 5" xfId="13978"/>
    <cellStyle name="20% - akcent 1 46 6" xfId="20569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3" xfId="7375"/>
    <cellStyle name="20% - akcent 1 47 2 4" xfId="13981"/>
    <cellStyle name="20% - akcent 1 47 2 5" xfId="20572"/>
    <cellStyle name="20% - akcent 1 47 3" xfId="4029"/>
    <cellStyle name="20% - akcent 1 47 3 2" xfId="10664"/>
    <cellStyle name="20% - akcent 1 47 3 3" xfId="17268"/>
    <cellStyle name="20% - akcent 1 47 3 4" xfId="23859"/>
    <cellStyle name="20% - akcent 1 47 4" xfId="7374"/>
    <cellStyle name="20% - akcent 1 47 5" xfId="13980"/>
    <cellStyle name="20% - akcent 1 47 6" xfId="20571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3" xfId="7377"/>
    <cellStyle name="20% - akcent 1 48 2 4" xfId="13983"/>
    <cellStyle name="20% - akcent 1 48 2 5" xfId="20574"/>
    <cellStyle name="20% - akcent 1 48 3" xfId="4031"/>
    <cellStyle name="20% - akcent 1 48 3 2" xfId="10666"/>
    <cellStyle name="20% - akcent 1 48 3 3" xfId="17270"/>
    <cellStyle name="20% - akcent 1 48 3 4" xfId="23861"/>
    <cellStyle name="20% - akcent 1 48 4" xfId="7376"/>
    <cellStyle name="20% - akcent 1 48 5" xfId="13982"/>
    <cellStyle name="20% - akcent 1 48 6" xfId="20573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3" xfId="7379"/>
    <cellStyle name="20% - akcent 1 49 2 4" xfId="13985"/>
    <cellStyle name="20% - akcent 1 49 2 5" xfId="20576"/>
    <cellStyle name="20% - akcent 1 49 3" xfId="4033"/>
    <cellStyle name="20% - akcent 1 49 3 2" xfId="10668"/>
    <cellStyle name="20% - akcent 1 49 3 3" xfId="17272"/>
    <cellStyle name="20% - akcent 1 49 3 4" xfId="23863"/>
    <cellStyle name="20% - akcent 1 49 4" xfId="7378"/>
    <cellStyle name="20% - akcent 1 49 5" xfId="13984"/>
    <cellStyle name="20% - akcent 1 49 6" xfId="20575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3" xfId="7381"/>
    <cellStyle name="20% - akcent 1 5 2 4" xfId="13987"/>
    <cellStyle name="20% - akcent 1 5 2 5" xfId="20578"/>
    <cellStyle name="20% - akcent 1 5 3" xfId="4035"/>
    <cellStyle name="20% - akcent 1 5 3 2" xfId="10670"/>
    <cellStyle name="20% - akcent 1 5 3 3" xfId="17274"/>
    <cellStyle name="20% - akcent 1 5 3 4" xfId="23865"/>
    <cellStyle name="20% - akcent 1 5 4" xfId="7380"/>
    <cellStyle name="20% - akcent 1 5 5" xfId="13986"/>
    <cellStyle name="20% - akcent 1 5 6" xfId="20577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3" xfId="7383"/>
    <cellStyle name="20% - akcent 1 50 2 4" xfId="13989"/>
    <cellStyle name="20% - akcent 1 50 2 5" xfId="20580"/>
    <cellStyle name="20% - akcent 1 50 3" xfId="4037"/>
    <cellStyle name="20% - akcent 1 50 3 2" xfId="10672"/>
    <cellStyle name="20% - akcent 1 50 3 3" xfId="17276"/>
    <cellStyle name="20% - akcent 1 50 3 4" xfId="23867"/>
    <cellStyle name="20% - akcent 1 50 4" xfId="7382"/>
    <cellStyle name="20% - akcent 1 50 5" xfId="13988"/>
    <cellStyle name="20% - akcent 1 50 6" xfId="20579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3" xfId="7385"/>
    <cellStyle name="20% - akcent 1 51 2 4" xfId="13991"/>
    <cellStyle name="20% - akcent 1 51 2 5" xfId="20582"/>
    <cellStyle name="20% - akcent 1 51 3" xfId="4039"/>
    <cellStyle name="20% - akcent 1 51 3 2" xfId="10674"/>
    <cellStyle name="20% - akcent 1 51 3 3" xfId="17278"/>
    <cellStyle name="20% - akcent 1 51 3 4" xfId="23869"/>
    <cellStyle name="20% - akcent 1 51 4" xfId="7384"/>
    <cellStyle name="20% - akcent 1 51 5" xfId="13990"/>
    <cellStyle name="20% - akcent 1 51 6" xfId="20581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3" xfId="7387"/>
    <cellStyle name="20% - akcent 1 52 2 4" xfId="13993"/>
    <cellStyle name="20% - akcent 1 52 2 5" xfId="20584"/>
    <cellStyle name="20% - akcent 1 52 3" xfId="4041"/>
    <cellStyle name="20% - akcent 1 52 3 2" xfId="10676"/>
    <cellStyle name="20% - akcent 1 52 3 3" xfId="17280"/>
    <cellStyle name="20% - akcent 1 52 3 4" xfId="23871"/>
    <cellStyle name="20% - akcent 1 52 4" xfId="7386"/>
    <cellStyle name="20% - akcent 1 52 5" xfId="13992"/>
    <cellStyle name="20% - akcent 1 52 6" xfId="20583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3" xfId="7389"/>
    <cellStyle name="20% - akcent 1 53 2 4" xfId="13995"/>
    <cellStyle name="20% - akcent 1 53 2 5" xfId="20586"/>
    <cellStyle name="20% - akcent 1 53 3" xfId="4043"/>
    <cellStyle name="20% - akcent 1 53 3 2" xfId="10678"/>
    <cellStyle name="20% - akcent 1 53 3 3" xfId="17282"/>
    <cellStyle name="20% - akcent 1 53 3 4" xfId="23873"/>
    <cellStyle name="20% - akcent 1 53 4" xfId="7388"/>
    <cellStyle name="20% - akcent 1 53 5" xfId="13994"/>
    <cellStyle name="20% - akcent 1 53 6" xfId="20585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3" xfId="7391"/>
    <cellStyle name="20% - akcent 1 54 2 4" xfId="13997"/>
    <cellStyle name="20% - akcent 1 54 2 5" xfId="20588"/>
    <cellStyle name="20% - akcent 1 54 3" xfId="4045"/>
    <cellStyle name="20% - akcent 1 54 3 2" xfId="10680"/>
    <cellStyle name="20% - akcent 1 54 3 3" xfId="17284"/>
    <cellStyle name="20% - akcent 1 54 3 4" xfId="23875"/>
    <cellStyle name="20% - akcent 1 54 4" xfId="7390"/>
    <cellStyle name="20% - akcent 1 54 5" xfId="13996"/>
    <cellStyle name="20% - akcent 1 54 6" xfId="20587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3" xfId="7393"/>
    <cellStyle name="20% - akcent 1 55 2 4" xfId="13999"/>
    <cellStyle name="20% - akcent 1 55 2 5" xfId="20590"/>
    <cellStyle name="20% - akcent 1 55 3" xfId="4047"/>
    <cellStyle name="20% - akcent 1 55 3 2" xfId="10682"/>
    <cellStyle name="20% - akcent 1 55 3 3" xfId="17286"/>
    <cellStyle name="20% - akcent 1 55 3 4" xfId="23877"/>
    <cellStyle name="20% - akcent 1 55 4" xfId="7392"/>
    <cellStyle name="20% - akcent 1 55 5" xfId="13998"/>
    <cellStyle name="20% - akcent 1 55 6" xfId="20589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3" xfId="7395"/>
    <cellStyle name="20% - akcent 1 56 2 4" xfId="14001"/>
    <cellStyle name="20% - akcent 1 56 2 5" xfId="20592"/>
    <cellStyle name="20% - akcent 1 56 3" xfId="4049"/>
    <cellStyle name="20% - akcent 1 56 3 2" xfId="10684"/>
    <cellStyle name="20% - akcent 1 56 3 3" xfId="17288"/>
    <cellStyle name="20% - akcent 1 56 3 4" xfId="23879"/>
    <cellStyle name="20% - akcent 1 56 4" xfId="7394"/>
    <cellStyle name="20% - akcent 1 56 5" xfId="14000"/>
    <cellStyle name="20% - akcent 1 56 6" xfId="20591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3" xfId="7397"/>
    <cellStyle name="20% - akcent 1 57 2 4" xfId="14003"/>
    <cellStyle name="20% - akcent 1 57 2 5" xfId="20594"/>
    <cellStyle name="20% - akcent 1 57 3" xfId="4051"/>
    <cellStyle name="20% - akcent 1 57 3 2" xfId="10686"/>
    <cellStyle name="20% - akcent 1 57 3 3" xfId="17290"/>
    <cellStyle name="20% - akcent 1 57 3 4" xfId="23881"/>
    <cellStyle name="20% - akcent 1 57 4" xfId="7396"/>
    <cellStyle name="20% - akcent 1 57 5" xfId="14002"/>
    <cellStyle name="20% - akcent 1 57 6" xfId="20593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3" xfId="7399"/>
    <cellStyle name="20% - akcent 1 58 2 4" xfId="14005"/>
    <cellStyle name="20% - akcent 1 58 2 5" xfId="20596"/>
    <cellStyle name="20% - akcent 1 58 3" xfId="4053"/>
    <cellStyle name="20% - akcent 1 58 3 2" xfId="10688"/>
    <cellStyle name="20% - akcent 1 58 3 3" xfId="17292"/>
    <cellStyle name="20% - akcent 1 58 3 4" xfId="23883"/>
    <cellStyle name="20% - akcent 1 58 4" xfId="7398"/>
    <cellStyle name="20% - akcent 1 58 5" xfId="14004"/>
    <cellStyle name="20% - akcent 1 58 6" xfId="20595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3" xfId="7401"/>
    <cellStyle name="20% - akcent 1 59 2 4" xfId="14007"/>
    <cellStyle name="20% - akcent 1 59 2 5" xfId="20598"/>
    <cellStyle name="20% - akcent 1 59 3" xfId="4055"/>
    <cellStyle name="20% - akcent 1 59 3 2" xfId="10690"/>
    <cellStyle name="20% - akcent 1 59 3 3" xfId="17294"/>
    <cellStyle name="20% - akcent 1 59 3 4" xfId="23885"/>
    <cellStyle name="20% - akcent 1 59 4" xfId="7400"/>
    <cellStyle name="20% - akcent 1 59 5" xfId="14006"/>
    <cellStyle name="20% - akcent 1 59 6" xfId="20597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3" xfId="7403"/>
    <cellStyle name="20% - akcent 1 6 2 4" xfId="14009"/>
    <cellStyle name="20% - akcent 1 6 2 5" xfId="20600"/>
    <cellStyle name="20% - akcent 1 6 3" xfId="4057"/>
    <cellStyle name="20% - akcent 1 6 3 2" xfId="10692"/>
    <cellStyle name="20% - akcent 1 6 3 3" xfId="17296"/>
    <cellStyle name="20% - akcent 1 6 3 4" xfId="23887"/>
    <cellStyle name="20% - akcent 1 6 4" xfId="7402"/>
    <cellStyle name="20% - akcent 1 6 5" xfId="14008"/>
    <cellStyle name="20% - akcent 1 6 6" xfId="20599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3" xfId="7404"/>
    <cellStyle name="20% - akcent 1 60 4" xfId="14010"/>
    <cellStyle name="20% - akcent 1 60 5" xfId="20601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3" xfId="7405"/>
    <cellStyle name="20% - akcent 1 61 4" xfId="14011"/>
    <cellStyle name="20% - akcent 1 61 5" xfId="20602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3" xfId="7406"/>
    <cellStyle name="20% - akcent 1 62 4" xfId="14012"/>
    <cellStyle name="20% - akcent 1 62 5" xfId="20603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3" xfId="7407"/>
    <cellStyle name="20% - akcent 1 63 4" xfId="14013"/>
    <cellStyle name="20% - akcent 1 63 5" xfId="20604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3" xfId="7408"/>
    <cellStyle name="20% - akcent 1 64 4" xfId="14014"/>
    <cellStyle name="20% - akcent 1 64 5" xfId="20605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3" xfId="7409"/>
    <cellStyle name="20% - akcent 1 65 4" xfId="14015"/>
    <cellStyle name="20% - akcent 1 65 5" xfId="20606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3" xfId="7410"/>
    <cellStyle name="20% - akcent 1 66 4" xfId="14016"/>
    <cellStyle name="20% - akcent 1 66 5" xfId="20607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3" xfId="7411"/>
    <cellStyle name="20% - akcent 1 67 4" xfId="14017"/>
    <cellStyle name="20% - akcent 1 67 5" xfId="20608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3" xfId="7412"/>
    <cellStyle name="20% - akcent 1 68 4" xfId="14018"/>
    <cellStyle name="20% - akcent 1 68 5" xfId="20609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3" xfId="7413"/>
    <cellStyle name="20% - akcent 1 69 4" xfId="14019"/>
    <cellStyle name="20% - akcent 1 69 5" xfId="20610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3" xfId="7415"/>
    <cellStyle name="20% - akcent 1 7 2 4" xfId="14021"/>
    <cellStyle name="20% - akcent 1 7 2 5" xfId="20612"/>
    <cellStyle name="20% - akcent 1 7 3" xfId="4069"/>
    <cellStyle name="20% - akcent 1 7 3 2" xfId="10704"/>
    <cellStyle name="20% - akcent 1 7 3 3" xfId="17308"/>
    <cellStyle name="20% - akcent 1 7 3 4" xfId="23899"/>
    <cellStyle name="20% - akcent 1 7 4" xfId="7414"/>
    <cellStyle name="20% - akcent 1 7 5" xfId="14020"/>
    <cellStyle name="20% - akcent 1 7 6" xfId="20611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3" xfId="7416"/>
    <cellStyle name="20% - akcent 1 70 4" xfId="14022"/>
    <cellStyle name="20% - akcent 1 70 5" xfId="20613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3" xfId="7417"/>
    <cellStyle name="20% - akcent 1 71 4" xfId="14023"/>
    <cellStyle name="20% - akcent 1 71 5" xfId="20614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3" xfId="7418"/>
    <cellStyle name="20% - akcent 1 72 4" xfId="14024"/>
    <cellStyle name="20% - akcent 1 72 5" xfId="20615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3" xfId="7419"/>
    <cellStyle name="20% - akcent 1 73 4" xfId="14025"/>
    <cellStyle name="20% - akcent 1 73 5" xfId="20616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3" xfId="7420"/>
    <cellStyle name="20% - akcent 1 74 4" xfId="14026"/>
    <cellStyle name="20% - akcent 1 74 5" xfId="20617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3" xfId="7421"/>
    <cellStyle name="20% - akcent 1 75 4" xfId="14027"/>
    <cellStyle name="20% - akcent 1 75 5" xfId="20618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3" xfId="7422"/>
    <cellStyle name="20% - akcent 1 76 4" xfId="14028"/>
    <cellStyle name="20% - akcent 1 76 5" xfId="20619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3" xfId="7423"/>
    <cellStyle name="20% - akcent 1 77 4" xfId="14029"/>
    <cellStyle name="20% - akcent 1 77 5" xfId="20620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3" xfId="7424"/>
    <cellStyle name="20% - akcent 1 78 4" xfId="14030"/>
    <cellStyle name="20% - akcent 1 78 5" xfId="20621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3" xfId="7425"/>
    <cellStyle name="20% - akcent 1 79 4" xfId="14031"/>
    <cellStyle name="20% - akcent 1 79 5" xfId="20622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3" xfId="7427"/>
    <cellStyle name="20% - akcent 1 8 2 4" xfId="14033"/>
    <cellStyle name="20% - akcent 1 8 2 5" xfId="20624"/>
    <cellStyle name="20% - akcent 1 8 3" xfId="4081"/>
    <cellStyle name="20% - akcent 1 8 3 2" xfId="10716"/>
    <cellStyle name="20% - akcent 1 8 3 3" xfId="17320"/>
    <cellStyle name="20% - akcent 1 8 3 4" xfId="23911"/>
    <cellStyle name="20% - akcent 1 8 4" xfId="7426"/>
    <cellStyle name="20% - akcent 1 8 5" xfId="14032"/>
    <cellStyle name="20% - akcent 1 8 6" xfId="20623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3" xfId="7428"/>
    <cellStyle name="20% - akcent 1 80 4" xfId="14034"/>
    <cellStyle name="20% - akcent 1 80 5" xfId="20625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3" xfId="7429"/>
    <cellStyle name="20% - akcent 1 81 4" xfId="14035"/>
    <cellStyle name="20% - akcent 1 81 5" xfId="20626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3" xfId="7430"/>
    <cellStyle name="20% - akcent 1 82 4" xfId="14036"/>
    <cellStyle name="20% - akcent 1 82 5" xfId="20627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3" xfId="7431"/>
    <cellStyle name="20% - akcent 1 83 4" xfId="14037"/>
    <cellStyle name="20% - akcent 1 83 5" xfId="20628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3" xfId="7432"/>
    <cellStyle name="20% - akcent 1 84 4" xfId="14038"/>
    <cellStyle name="20% - akcent 1 84 5" xfId="20629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3" xfId="7433"/>
    <cellStyle name="20% - akcent 1 85 4" xfId="14039"/>
    <cellStyle name="20% - akcent 1 85 5" xfId="20630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3" xfId="7434"/>
    <cellStyle name="20% - akcent 1 86 4" xfId="14040"/>
    <cellStyle name="20% - akcent 1 86 5" xfId="20631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3" xfId="7435"/>
    <cellStyle name="20% - akcent 1 87 4" xfId="14041"/>
    <cellStyle name="20% - akcent 1 87 5" xfId="20632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3" xfId="7436"/>
    <cellStyle name="20% - akcent 1 88 4" xfId="14042"/>
    <cellStyle name="20% - akcent 1 88 5" xfId="20633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3" xfId="7437"/>
    <cellStyle name="20% - akcent 1 89 4" xfId="14043"/>
    <cellStyle name="20% - akcent 1 89 5" xfId="20634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3" xfId="7439"/>
    <cellStyle name="20% - akcent 1 9 2 4" xfId="14045"/>
    <cellStyle name="20% - akcent 1 9 2 5" xfId="20636"/>
    <cellStyle name="20% - akcent 1 9 3" xfId="4093"/>
    <cellStyle name="20% - akcent 1 9 3 2" xfId="10728"/>
    <cellStyle name="20% - akcent 1 9 3 3" xfId="17332"/>
    <cellStyle name="20% - akcent 1 9 3 4" xfId="23923"/>
    <cellStyle name="20% - akcent 1 9 4" xfId="7438"/>
    <cellStyle name="20% - akcent 1 9 5" xfId="14044"/>
    <cellStyle name="20% - akcent 1 9 6" xfId="20635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3" xfId="7440"/>
    <cellStyle name="20% - akcent 1 90 4" xfId="14046"/>
    <cellStyle name="20% - akcent 1 90 5" xfId="20637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3" xfId="7441"/>
    <cellStyle name="20% - akcent 1 91 4" xfId="14047"/>
    <cellStyle name="20% - akcent 1 91 5" xfId="20638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3" xfId="7442"/>
    <cellStyle name="20% - akcent 1 92 4" xfId="14048"/>
    <cellStyle name="20% - akcent 1 92 5" xfId="20639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3" xfId="7443"/>
    <cellStyle name="20% - akcent 1 93 4" xfId="14049"/>
    <cellStyle name="20% - akcent 1 93 5" xfId="20640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3" xfId="7444"/>
    <cellStyle name="20% - akcent 1 94 4" xfId="14050"/>
    <cellStyle name="20% - akcent 1 94 5" xfId="20641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3" xfId="7445"/>
    <cellStyle name="20% - akcent 1 95 4" xfId="14051"/>
    <cellStyle name="20% - akcent 1 95 5" xfId="20642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3" xfId="7446"/>
    <cellStyle name="20% - akcent 1 96 4" xfId="14052"/>
    <cellStyle name="20% - akcent 1 96 5" xfId="20643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3" xfId="7447"/>
    <cellStyle name="20% - akcent 1 97 4" xfId="14053"/>
    <cellStyle name="20% - akcent 1 97 5" xfId="20644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3" xfId="7448"/>
    <cellStyle name="20% - akcent 1 98 4" xfId="14054"/>
    <cellStyle name="20% - akcent 1 98 5" xfId="20645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3" xfId="7449"/>
    <cellStyle name="20% - akcent 1 99 4" xfId="14055"/>
    <cellStyle name="20% - akcent 1 99 5" xfId="20646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3" xfId="7451"/>
    <cellStyle name="20% - akcent 2 10 2 4" xfId="14057"/>
    <cellStyle name="20% - akcent 2 10 2 5" xfId="20648"/>
    <cellStyle name="20% - akcent 2 10 3" xfId="4105"/>
    <cellStyle name="20% - akcent 2 10 3 2" xfId="10740"/>
    <cellStyle name="20% - akcent 2 10 3 3" xfId="17344"/>
    <cellStyle name="20% - akcent 2 10 3 4" xfId="23935"/>
    <cellStyle name="20% - akcent 2 10 4" xfId="7450"/>
    <cellStyle name="20% - akcent 2 10 5" xfId="14056"/>
    <cellStyle name="20% - akcent 2 10 6" xfId="20647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3" xfId="7452"/>
    <cellStyle name="20% - akcent 2 100 4" xfId="14058"/>
    <cellStyle name="20% - akcent 2 100 5" xfId="20649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3" xfId="7453"/>
    <cellStyle name="20% - akcent 2 101 4" xfId="14059"/>
    <cellStyle name="20% - akcent 2 101 5" xfId="20650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3" xfId="7454"/>
    <cellStyle name="20% - akcent 2 102 4" xfId="14060"/>
    <cellStyle name="20% - akcent 2 102 5" xfId="20651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3" xfId="7455"/>
    <cellStyle name="20% - akcent 2 103 4" xfId="14061"/>
    <cellStyle name="20% - akcent 2 103 5" xfId="20652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3" xfId="7456"/>
    <cellStyle name="20% - akcent 2 104 4" xfId="14062"/>
    <cellStyle name="20% - akcent 2 104 5" xfId="20653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3" xfId="7457"/>
    <cellStyle name="20% - akcent 2 105 4" xfId="14063"/>
    <cellStyle name="20% - akcent 2 105 5" xfId="20654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3" xfId="7458"/>
    <cellStyle name="20% - akcent 2 106 4" xfId="14064"/>
    <cellStyle name="20% - akcent 2 106 5" xfId="20655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3" xfId="7459"/>
    <cellStyle name="20% - akcent 2 107 4" xfId="14065"/>
    <cellStyle name="20% - akcent 2 107 5" xfId="20656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3" xfId="7460"/>
    <cellStyle name="20% - akcent 2 108 4" xfId="14066"/>
    <cellStyle name="20% - akcent 2 108 5" xfId="20657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3" xfId="7461"/>
    <cellStyle name="20% - akcent 2 109 4" xfId="14067"/>
    <cellStyle name="20% - akcent 2 109 5" xfId="20658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3" xfId="7463"/>
    <cellStyle name="20% - akcent 2 11 2 4" xfId="14069"/>
    <cellStyle name="20% - akcent 2 11 2 5" xfId="20660"/>
    <cellStyle name="20% - akcent 2 11 3" xfId="4117"/>
    <cellStyle name="20% - akcent 2 11 3 2" xfId="10752"/>
    <cellStyle name="20% - akcent 2 11 3 3" xfId="17356"/>
    <cellStyle name="20% - akcent 2 11 3 4" xfId="23947"/>
    <cellStyle name="20% - akcent 2 11 4" xfId="7462"/>
    <cellStyle name="20% - akcent 2 11 5" xfId="14068"/>
    <cellStyle name="20% - akcent 2 11 6" xfId="20659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3" xfId="7464"/>
    <cellStyle name="20% - akcent 2 110 4" xfId="14070"/>
    <cellStyle name="20% - akcent 2 110 5" xfId="20661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3" xfId="7465"/>
    <cellStyle name="20% - akcent 2 111 4" xfId="14071"/>
    <cellStyle name="20% - akcent 2 111 5" xfId="20662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3" xfId="7466"/>
    <cellStyle name="20% - akcent 2 112 4" xfId="14072"/>
    <cellStyle name="20% - akcent 2 112 5" xfId="20663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3" xfId="7467"/>
    <cellStyle name="20% - akcent 2 113 4" xfId="14073"/>
    <cellStyle name="20% - akcent 2 113 5" xfId="20664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3" xfId="7468"/>
    <cellStyle name="20% - akcent 2 114 4" xfId="14074"/>
    <cellStyle name="20% - akcent 2 114 5" xfId="20665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3" xfId="7469"/>
    <cellStyle name="20% - akcent 2 115 4" xfId="14075"/>
    <cellStyle name="20% - akcent 2 115 5" xfId="20666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3" xfId="7470"/>
    <cellStyle name="20% - akcent 2 116 4" xfId="14076"/>
    <cellStyle name="20% - akcent 2 116 5" xfId="20667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3" xfId="7471"/>
    <cellStyle name="20% - akcent 2 117 4" xfId="14077"/>
    <cellStyle name="20% - akcent 2 117 5" xfId="20668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3" xfId="7472"/>
    <cellStyle name="20% - akcent 2 118 4" xfId="14078"/>
    <cellStyle name="20% - akcent 2 118 5" xfId="20669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3" xfId="7473"/>
    <cellStyle name="20% - akcent 2 119 4" xfId="14079"/>
    <cellStyle name="20% - akcent 2 119 5" xfId="20670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3" xfId="7475"/>
    <cellStyle name="20% - akcent 2 12 2 4" xfId="14081"/>
    <cellStyle name="20% - akcent 2 12 2 5" xfId="20672"/>
    <cellStyle name="20% - akcent 2 12 3" xfId="4129"/>
    <cellStyle name="20% - akcent 2 12 3 2" xfId="10764"/>
    <cellStyle name="20% - akcent 2 12 3 3" xfId="17368"/>
    <cellStyle name="20% - akcent 2 12 3 4" xfId="23959"/>
    <cellStyle name="20% - akcent 2 12 4" xfId="7474"/>
    <cellStyle name="20% - akcent 2 12 5" xfId="14080"/>
    <cellStyle name="20% - akcent 2 12 6" xfId="20671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3" xfId="7476"/>
    <cellStyle name="20% - akcent 2 120 4" xfId="14082"/>
    <cellStyle name="20% - akcent 2 120 5" xfId="20673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3" xfId="7477"/>
    <cellStyle name="20% - akcent 2 121 4" xfId="14083"/>
    <cellStyle name="20% - akcent 2 121 5" xfId="20674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3" xfId="7478"/>
    <cellStyle name="20% - akcent 2 122 4" xfId="14084"/>
    <cellStyle name="20% - akcent 2 122 5" xfId="20675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3" xfId="7479"/>
    <cellStyle name="20% - akcent 2 123 4" xfId="14085"/>
    <cellStyle name="20% - akcent 2 123 5" xfId="20676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3" xfId="7480"/>
    <cellStyle name="20% - akcent 2 124 4" xfId="14086"/>
    <cellStyle name="20% - akcent 2 124 5" xfId="20677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3" xfId="7481"/>
    <cellStyle name="20% - akcent 2 125 4" xfId="14087"/>
    <cellStyle name="20% - akcent 2 125 5" xfId="20678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3" xfId="7482"/>
    <cellStyle name="20% - akcent 2 126 4" xfId="14088"/>
    <cellStyle name="20% - akcent 2 126 5" xfId="20679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3" xfId="7483"/>
    <cellStyle name="20% - akcent 2 127 4" xfId="14089"/>
    <cellStyle name="20% - akcent 2 127 5" xfId="20680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3" xfId="7484"/>
    <cellStyle name="20% - akcent 2 128 4" xfId="14090"/>
    <cellStyle name="20% - akcent 2 128 5" xfId="20681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3" xfId="7485"/>
    <cellStyle name="20% - akcent 2 129 4" xfId="14091"/>
    <cellStyle name="20% - akcent 2 129 5" xfId="20682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3" xfId="7487"/>
    <cellStyle name="20% - akcent 2 13 2 4" xfId="14093"/>
    <cellStyle name="20% - akcent 2 13 2 5" xfId="20684"/>
    <cellStyle name="20% - akcent 2 13 3" xfId="4141"/>
    <cellStyle name="20% - akcent 2 13 3 2" xfId="10776"/>
    <cellStyle name="20% - akcent 2 13 3 3" xfId="17380"/>
    <cellStyle name="20% - akcent 2 13 3 4" xfId="23971"/>
    <cellStyle name="20% - akcent 2 13 4" xfId="7486"/>
    <cellStyle name="20% - akcent 2 13 5" xfId="14092"/>
    <cellStyle name="20% - akcent 2 13 6" xfId="20683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3" xfId="7488"/>
    <cellStyle name="20% - akcent 2 130 4" xfId="14094"/>
    <cellStyle name="20% - akcent 2 130 5" xfId="20685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3" xfId="7489"/>
    <cellStyle name="20% - akcent 2 131 4" xfId="14095"/>
    <cellStyle name="20% - akcent 2 131 5" xfId="20686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3" xfId="7490"/>
    <cellStyle name="20% - akcent 2 132 4" xfId="14096"/>
    <cellStyle name="20% - akcent 2 132 5" xfId="20687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3" xfId="7491"/>
    <cellStyle name="20% - akcent 2 133 4" xfId="14097"/>
    <cellStyle name="20% - akcent 2 133 5" xfId="20688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3" xfId="7492"/>
    <cellStyle name="20% - akcent 2 134 4" xfId="14098"/>
    <cellStyle name="20% - akcent 2 134 5" xfId="20689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3" xfId="7493"/>
    <cellStyle name="20% - akcent 2 135 4" xfId="14099"/>
    <cellStyle name="20% - akcent 2 135 5" xfId="20690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3" xfId="7494"/>
    <cellStyle name="20% - akcent 2 136 4" xfId="14100"/>
    <cellStyle name="20% - akcent 2 136 5" xfId="20691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3" xfId="7495"/>
    <cellStyle name="20% - akcent 2 137 4" xfId="14101"/>
    <cellStyle name="20% - akcent 2 137 5" xfId="20692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3" xfId="7496"/>
    <cellStyle name="20% - akcent 2 138 4" xfId="14102"/>
    <cellStyle name="20% - akcent 2 138 5" xfId="20693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3" xfId="7497"/>
    <cellStyle name="20% - akcent 2 139 4" xfId="14103"/>
    <cellStyle name="20% - akcent 2 139 5" xfId="20694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3" xfId="7499"/>
    <cellStyle name="20% - akcent 2 14 2 4" xfId="14105"/>
    <cellStyle name="20% - akcent 2 14 2 5" xfId="20696"/>
    <cellStyle name="20% - akcent 2 14 3" xfId="4153"/>
    <cellStyle name="20% - akcent 2 14 3 2" xfId="10788"/>
    <cellStyle name="20% - akcent 2 14 3 3" xfId="17392"/>
    <cellStyle name="20% - akcent 2 14 3 4" xfId="23983"/>
    <cellStyle name="20% - akcent 2 14 4" xfId="7498"/>
    <cellStyle name="20% - akcent 2 14 5" xfId="14104"/>
    <cellStyle name="20% - akcent 2 14 6" xfId="20695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3" xfId="7500"/>
    <cellStyle name="20% - akcent 2 140 4" xfId="14106"/>
    <cellStyle name="20% - akcent 2 140 5" xfId="20697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3" xfId="7501"/>
    <cellStyle name="20% - akcent 2 141 4" xfId="14107"/>
    <cellStyle name="20% - akcent 2 141 5" xfId="20698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3" xfId="7502"/>
    <cellStyle name="20% - akcent 2 142 4" xfId="14108"/>
    <cellStyle name="20% - akcent 2 142 5" xfId="20699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3" xfId="7503"/>
    <cellStyle name="20% - akcent 2 143 4" xfId="14109"/>
    <cellStyle name="20% - akcent 2 143 5" xfId="20700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3" xfId="7504"/>
    <cellStyle name="20% - akcent 2 144 4" xfId="14110"/>
    <cellStyle name="20% - akcent 2 144 5" xfId="20701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3" xfId="7505"/>
    <cellStyle name="20% - akcent 2 145 4" xfId="14111"/>
    <cellStyle name="20% - akcent 2 145 5" xfId="20702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3" xfId="7506"/>
    <cellStyle name="20% - akcent 2 146 4" xfId="14112"/>
    <cellStyle name="20% - akcent 2 146 5" xfId="20703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3" xfId="7507"/>
    <cellStyle name="20% - akcent 2 147 4" xfId="14113"/>
    <cellStyle name="20% - akcent 2 147 5" xfId="20704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3" xfId="7508"/>
    <cellStyle name="20% - akcent 2 148 4" xfId="14114"/>
    <cellStyle name="20% - akcent 2 148 5" xfId="20705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3" xfId="7509"/>
    <cellStyle name="20% - akcent 2 149 4" xfId="14115"/>
    <cellStyle name="20% - akcent 2 149 5" xfId="20706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3" xfId="7511"/>
    <cellStyle name="20% - akcent 2 15 2 4" xfId="14117"/>
    <cellStyle name="20% - akcent 2 15 2 5" xfId="20708"/>
    <cellStyle name="20% - akcent 2 15 3" xfId="4165"/>
    <cellStyle name="20% - akcent 2 15 3 2" xfId="10800"/>
    <cellStyle name="20% - akcent 2 15 3 3" xfId="17404"/>
    <cellStyle name="20% - akcent 2 15 3 4" xfId="23995"/>
    <cellStyle name="20% - akcent 2 15 4" xfId="7510"/>
    <cellStyle name="20% - akcent 2 15 5" xfId="14116"/>
    <cellStyle name="20% - akcent 2 15 6" xfId="20707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3" xfId="7512"/>
    <cellStyle name="20% - akcent 2 150 4" xfId="14118"/>
    <cellStyle name="20% - akcent 2 150 5" xfId="20709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3" xfId="7513"/>
    <cellStyle name="20% - akcent 2 151 4" xfId="14119"/>
    <cellStyle name="20% - akcent 2 151 5" xfId="20710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3" xfId="7514"/>
    <cellStyle name="20% - akcent 2 152 4" xfId="14120"/>
    <cellStyle name="20% - akcent 2 152 5" xfId="20711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3" xfId="7515"/>
    <cellStyle name="20% - akcent 2 153 4" xfId="14121"/>
    <cellStyle name="20% - akcent 2 153 5" xfId="20712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3" xfId="7516"/>
    <cellStyle name="20% - akcent 2 154 4" xfId="14122"/>
    <cellStyle name="20% - akcent 2 154 5" xfId="20713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3" xfId="7517"/>
    <cellStyle name="20% - akcent 2 155 4" xfId="14123"/>
    <cellStyle name="20% - akcent 2 155 5" xfId="20714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3" xfId="7518"/>
    <cellStyle name="20% - akcent 2 156 4" xfId="14124"/>
    <cellStyle name="20% - akcent 2 156 5" xfId="20715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3" xfId="7519"/>
    <cellStyle name="20% - akcent 2 157 4" xfId="14125"/>
    <cellStyle name="20% - akcent 2 157 5" xfId="20716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3" xfId="7520"/>
    <cellStyle name="20% - akcent 2 158 4" xfId="14126"/>
    <cellStyle name="20% - akcent 2 158 5" xfId="20717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3" xfId="7521"/>
    <cellStyle name="20% - akcent 2 159 4" xfId="14127"/>
    <cellStyle name="20% - akcent 2 159 5" xfId="20718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3" xfId="7523"/>
    <cellStyle name="20% - akcent 2 16 2 4" xfId="14129"/>
    <cellStyle name="20% - akcent 2 16 2 5" xfId="20720"/>
    <cellStyle name="20% - akcent 2 16 3" xfId="4177"/>
    <cellStyle name="20% - akcent 2 16 3 2" xfId="10812"/>
    <cellStyle name="20% - akcent 2 16 3 3" xfId="17416"/>
    <cellStyle name="20% - akcent 2 16 3 4" xfId="24007"/>
    <cellStyle name="20% - akcent 2 16 4" xfId="7522"/>
    <cellStyle name="20% - akcent 2 16 5" xfId="14128"/>
    <cellStyle name="20% - akcent 2 16 6" xfId="20719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3" xfId="7524"/>
    <cellStyle name="20% - akcent 2 160 4" xfId="14130"/>
    <cellStyle name="20% - akcent 2 160 5" xfId="20721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3" xfId="7525"/>
    <cellStyle name="20% - akcent 2 161 4" xfId="14131"/>
    <cellStyle name="20% - akcent 2 161 5" xfId="20722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3" xfId="7526"/>
    <cellStyle name="20% - akcent 2 162 4" xfId="14132"/>
    <cellStyle name="20% - akcent 2 162 5" xfId="20723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3" xfId="7527"/>
    <cellStyle name="20% - akcent 2 163 4" xfId="14133"/>
    <cellStyle name="20% - akcent 2 163 5" xfId="20724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3" xfId="7528"/>
    <cellStyle name="20% - akcent 2 164 4" xfId="14134"/>
    <cellStyle name="20% - akcent 2 164 5" xfId="20725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3" xfId="7529"/>
    <cellStyle name="20% - akcent 2 165 4" xfId="14135"/>
    <cellStyle name="20% - akcent 2 165 5" xfId="20726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3" xfId="7530"/>
    <cellStyle name="20% - akcent 2 166 4" xfId="14136"/>
    <cellStyle name="20% - akcent 2 166 5" xfId="20727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3" xfId="7531"/>
    <cellStyle name="20% - akcent 2 167 4" xfId="14137"/>
    <cellStyle name="20% - akcent 2 167 5" xfId="20728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3" xfId="7532"/>
    <cellStyle name="20% - akcent 2 168 4" xfId="14138"/>
    <cellStyle name="20% - akcent 2 168 5" xfId="20729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3" xfId="7533"/>
    <cellStyle name="20% - akcent 2 169 4" xfId="14139"/>
    <cellStyle name="20% - akcent 2 169 5" xfId="20730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3" xfId="7535"/>
    <cellStyle name="20% - akcent 2 17 2 4" xfId="14141"/>
    <cellStyle name="20% - akcent 2 17 2 5" xfId="20732"/>
    <cellStyle name="20% - akcent 2 17 3" xfId="4189"/>
    <cellStyle name="20% - akcent 2 17 3 2" xfId="10824"/>
    <cellStyle name="20% - akcent 2 17 3 3" xfId="17428"/>
    <cellStyle name="20% - akcent 2 17 3 4" xfId="24019"/>
    <cellStyle name="20% - akcent 2 17 4" xfId="7534"/>
    <cellStyle name="20% - akcent 2 17 5" xfId="14140"/>
    <cellStyle name="20% - akcent 2 17 6" xfId="20731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3" xfId="7536"/>
    <cellStyle name="20% - akcent 2 170 4" xfId="14142"/>
    <cellStyle name="20% - akcent 2 170 5" xfId="20733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3" xfId="7537"/>
    <cellStyle name="20% - akcent 2 171 4" xfId="14143"/>
    <cellStyle name="20% - akcent 2 171 5" xfId="20734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3" xfId="7538"/>
    <cellStyle name="20% - akcent 2 172 4" xfId="14144"/>
    <cellStyle name="20% - akcent 2 172 5" xfId="20735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3" xfId="7539"/>
    <cellStyle name="20% - akcent 2 173 4" xfId="14145"/>
    <cellStyle name="20% - akcent 2 173 5" xfId="20736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3" xfId="7540"/>
    <cellStyle name="20% - akcent 2 174 4" xfId="14146"/>
    <cellStyle name="20% - akcent 2 174 5" xfId="20737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3" xfId="7541"/>
    <cellStyle name="20% - akcent 2 175 4" xfId="14147"/>
    <cellStyle name="20% - akcent 2 175 5" xfId="20738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3" xfId="7542"/>
    <cellStyle name="20% - akcent 2 176 4" xfId="14148"/>
    <cellStyle name="20% - akcent 2 176 5" xfId="20739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3" xfId="7543"/>
    <cellStyle name="20% - akcent 2 177 4" xfId="14149"/>
    <cellStyle name="20% - akcent 2 177 5" xfId="20740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3" xfId="7544"/>
    <cellStyle name="20% - akcent 2 178 4" xfId="14150"/>
    <cellStyle name="20% - akcent 2 178 5" xfId="20741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3" xfId="7545"/>
    <cellStyle name="20% - akcent 2 179 4" xfId="14151"/>
    <cellStyle name="20% - akcent 2 179 5" xfId="20742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3" xfId="7547"/>
    <cellStyle name="20% - akcent 2 18 2 4" xfId="14153"/>
    <cellStyle name="20% - akcent 2 18 2 5" xfId="20744"/>
    <cellStyle name="20% - akcent 2 18 3" xfId="4201"/>
    <cellStyle name="20% - akcent 2 18 3 2" xfId="10836"/>
    <cellStyle name="20% - akcent 2 18 3 3" xfId="17440"/>
    <cellStyle name="20% - akcent 2 18 3 4" xfId="24031"/>
    <cellStyle name="20% - akcent 2 18 4" xfId="7546"/>
    <cellStyle name="20% - akcent 2 18 5" xfId="14152"/>
    <cellStyle name="20% - akcent 2 18 6" xfId="20743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3" xfId="7548"/>
    <cellStyle name="20% - akcent 2 180 4" xfId="14154"/>
    <cellStyle name="20% - akcent 2 180 5" xfId="20745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3" xfId="7549"/>
    <cellStyle name="20% - akcent 2 181 4" xfId="14155"/>
    <cellStyle name="20% - akcent 2 181 5" xfId="20746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3" xfId="7550"/>
    <cellStyle name="20% - akcent 2 182 4" xfId="14156"/>
    <cellStyle name="20% - akcent 2 182 5" xfId="20747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3" xfId="7551"/>
    <cellStyle name="20% - akcent 2 183 4" xfId="14157"/>
    <cellStyle name="20% - akcent 2 183 5" xfId="20748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3" xfId="7552"/>
    <cellStyle name="20% - akcent 2 184 4" xfId="14158"/>
    <cellStyle name="20% - akcent 2 184 5" xfId="20749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3" xfId="7553"/>
    <cellStyle name="20% - akcent 2 185 4" xfId="14159"/>
    <cellStyle name="20% - akcent 2 185 5" xfId="20750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3" xfId="7554"/>
    <cellStyle name="20% - akcent 2 186 4" xfId="14160"/>
    <cellStyle name="20% - akcent 2 186 5" xfId="20751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3" xfId="7555"/>
    <cellStyle name="20% - akcent 2 187 4" xfId="14161"/>
    <cellStyle name="20% - akcent 2 187 5" xfId="20752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3" xfId="7556"/>
    <cellStyle name="20% - akcent 2 188 4" xfId="14162"/>
    <cellStyle name="20% - akcent 2 188 5" xfId="20753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3" xfId="7557"/>
    <cellStyle name="20% - akcent 2 189 4" xfId="14163"/>
    <cellStyle name="20% - akcent 2 189 5" xfId="20754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3" xfId="7559"/>
    <cellStyle name="20% - akcent 2 19 2 4" xfId="14165"/>
    <cellStyle name="20% - akcent 2 19 2 5" xfId="20756"/>
    <cellStyle name="20% - akcent 2 19 3" xfId="4213"/>
    <cellStyle name="20% - akcent 2 19 3 2" xfId="10848"/>
    <cellStyle name="20% - akcent 2 19 3 3" xfId="17452"/>
    <cellStyle name="20% - akcent 2 19 3 4" xfId="24043"/>
    <cellStyle name="20% - akcent 2 19 4" xfId="7558"/>
    <cellStyle name="20% - akcent 2 19 5" xfId="14164"/>
    <cellStyle name="20% - akcent 2 19 6" xfId="20755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3" xfId="7560"/>
    <cellStyle name="20% - akcent 2 190 4" xfId="14166"/>
    <cellStyle name="20% - akcent 2 190 5" xfId="20757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3" xfId="7561"/>
    <cellStyle name="20% - akcent 2 191 4" xfId="14167"/>
    <cellStyle name="20% - akcent 2 191 5" xfId="20758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3" xfId="7562"/>
    <cellStyle name="20% - akcent 2 192 4" xfId="14168"/>
    <cellStyle name="20% - akcent 2 192 5" xfId="20759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3" xfId="7563"/>
    <cellStyle name="20% - akcent 2 193 4" xfId="14169"/>
    <cellStyle name="20% - akcent 2 193 5" xfId="20760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3" xfId="7564"/>
    <cellStyle name="20% - akcent 2 194 4" xfId="14170"/>
    <cellStyle name="20% - akcent 2 194 5" xfId="20761"/>
    <cellStyle name="20% - akcent 2 195" xfId="3839"/>
    <cellStyle name="20% - akcent 2 195 2" xfId="10474"/>
    <cellStyle name="20% - akcent 2 195 3" xfId="17078"/>
    <cellStyle name="20% - akcent 2 195 4" xfId="23669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3" xfId="7566"/>
    <cellStyle name="20% - akcent 2 2 2 4" xfId="14172"/>
    <cellStyle name="20% - akcent 2 2 2 5" xfId="20763"/>
    <cellStyle name="20% - akcent 2 2 3" xfId="4220"/>
    <cellStyle name="20% - akcent 2 2 3 2" xfId="10855"/>
    <cellStyle name="20% - akcent 2 2 3 3" xfId="17459"/>
    <cellStyle name="20% - akcent 2 2 3 4" xfId="24050"/>
    <cellStyle name="20% - akcent 2 2 4" xfId="7565"/>
    <cellStyle name="20% - akcent 2 2 5" xfId="14171"/>
    <cellStyle name="20% - akcent 2 2 6" xfId="20762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3" xfId="7568"/>
    <cellStyle name="20% - akcent 2 20 2 4" xfId="14174"/>
    <cellStyle name="20% - akcent 2 20 2 5" xfId="20765"/>
    <cellStyle name="20% - akcent 2 20 3" xfId="4222"/>
    <cellStyle name="20% - akcent 2 20 3 2" xfId="10857"/>
    <cellStyle name="20% - akcent 2 20 3 3" xfId="17461"/>
    <cellStyle name="20% - akcent 2 20 3 4" xfId="24052"/>
    <cellStyle name="20% - akcent 2 20 4" xfId="7567"/>
    <cellStyle name="20% - akcent 2 20 5" xfId="14173"/>
    <cellStyle name="20% - akcent 2 20 6" xfId="20764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3" xfId="7570"/>
    <cellStyle name="20% - akcent 2 21 2 4" xfId="14176"/>
    <cellStyle name="20% - akcent 2 21 2 5" xfId="20767"/>
    <cellStyle name="20% - akcent 2 21 3" xfId="4224"/>
    <cellStyle name="20% - akcent 2 21 3 2" xfId="10859"/>
    <cellStyle name="20% - akcent 2 21 3 3" xfId="17463"/>
    <cellStyle name="20% - akcent 2 21 3 4" xfId="24054"/>
    <cellStyle name="20% - akcent 2 21 4" xfId="7569"/>
    <cellStyle name="20% - akcent 2 21 5" xfId="14175"/>
    <cellStyle name="20% - akcent 2 21 6" xfId="20766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3" xfId="7572"/>
    <cellStyle name="20% - akcent 2 22 2 4" xfId="14178"/>
    <cellStyle name="20% - akcent 2 22 2 5" xfId="20769"/>
    <cellStyle name="20% - akcent 2 22 3" xfId="4226"/>
    <cellStyle name="20% - akcent 2 22 3 2" xfId="10861"/>
    <cellStyle name="20% - akcent 2 22 3 3" xfId="17465"/>
    <cellStyle name="20% - akcent 2 22 3 4" xfId="24056"/>
    <cellStyle name="20% - akcent 2 22 4" xfId="7571"/>
    <cellStyle name="20% - akcent 2 22 5" xfId="14177"/>
    <cellStyle name="20% - akcent 2 22 6" xfId="20768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3" xfId="7574"/>
    <cellStyle name="20% - akcent 2 23 2 4" xfId="14180"/>
    <cellStyle name="20% - akcent 2 23 2 5" xfId="20771"/>
    <cellStyle name="20% - akcent 2 23 3" xfId="4228"/>
    <cellStyle name="20% - akcent 2 23 3 2" xfId="10863"/>
    <cellStyle name="20% - akcent 2 23 3 3" xfId="17467"/>
    <cellStyle name="20% - akcent 2 23 3 4" xfId="24058"/>
    <cellStyle name="20% - akcent 2 23 4" xfId="7573"/>
    <cellStyle name="20% - akcent 2 23 5" xfId="14179"/>
    <cellStyle name="20% - akcent 2 23 6" xfId="20770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3" xfId="7576"/>
    <cellStyle name="20% - akcent 2 24 2 4" xfId="14182"/>
    <cellStyle name="20% - akcent 2 24 2 5" xfId="20773"/>
    <cellStyle name="20% - akcent 2 24 3" xfId="4230"/>
    <cellStyle name="20% - akcent 2 24 3 2" xfId="10865"/>
    <cellStyle name="20% - akcent 2 24 3 3" xfId="17469"/>
    <cellStyle name="20% - akcent 2 24 3 4" xfId="24060"/>
    <cellStyle name="20% - akcent 2 24 4" xfId="7575"/>
    <cellStyle name="20% - akcent 2 24 5" xfId="14181"/>
    <cellStyle name="20% - akcent 2 24 6" xfId="20772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3" xfId="7578"/>
    <cellStyle name="20% - akcent 2 25 2 4" xfId="14184"/>
    <cellStyle name="20% - akcent 2 25 2 5" xfId="20775"/>
    <cellStyle name="20% - akcent 2 25 3" xfId="4232"/>
    <cellStyle name="20% - akcent 2 25 3 2" xfId="10867"/>
    <cellStyle name="20% - akcent 2 25 3 3" xfId="17471"/>
    <cellStyle name="20% - akcent 2 25 3 4" xfId="24062"/>
    <cellStyle name="20% - akcent 2 25 4" xfId="7577"/>
    <cellStyle name="20% - akcent 2 25 5" xfId="14183"/>
    <cellStyle name="20% - akcent 2 25 6" xfId="20774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3" xfId="7580"/>
    <cellStyle name="20% - akcent 2 26 2 4" xfId="14186"/>
    <cellStyle name="20% - akcent 2 26 2 5" xfId="20777"/>
    <cellStyle name="20% - akcent 2 26 3" xfId="4234"/>
    <cellStyle name="20% - akcent 2 26 3 2" xfId="10869"/>
    <cellStyle name="20% - akcent 2 26 3 3" xfId="17473"/>
    <cellStyle name="20% - akcent 2 26 3 4" xfId="24064"/>
    <cellStyle name="20% - akcent 2 26 4" xfId="7579"/>
    <cellStyle name="20% - akcent 2 26 5" xfId="14185"/>
    <cellStyle name="20% - akcent 2 26 6" xfId="20776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3" xfId="7582"/>
    <cellStyle name="20% - akcent 2 27 2 4" xfId="14188"/>
    <cellStyle name="20% - akcent 2 27 2 5" xfId="20779"/>
    <cellStyle name="20% - akcent 2 27 3" xfId="4236"/>
    <cellStyle name="20% - akcent 2 27 3 2" xfId="10871"/>
    <cellStyle name="20% - akcent 2 27 3 3" xfId="17475"/>
    <cellStyle name="20% - akcent 2 27 3 4" xfId="24066"/>
    <cellStyle name="20% - akcent 2 27 4" xfId="7581"/>
    <cellStyle name="20% - akcent 2 27 5" xfId="14187"/>
    <cellStyle name="20% - akcent 2 27 6" xfId="20778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3" xfId="7584"/>
    <cellStyle name="20% - akcent 2 28 2 4" xfId="14190"/>
    <cellStyle name="20% - akcent 2 28 2 5" xfId="20781"/>
    <cellStyle name="20% - akcent 2 28 3" xfId="4238"/>
    <cellStyle name="20% - akcent 2 28 3 2" xfId="10873"/>
    <cellStyle name="20% - akcent 2 28 3 3" xfId="17477"/>
    <cellStyle name="20% - akcent 2 28 3 4" xfId="24068"/>
    <cellStyle name="20% - akcent 2 28 4" xfId="7583"/>
    <cellStyle name="20% - akcent 2 28 5" xfId="14189"/>
    <cellStyle name="20% - akcent 2 28 6" xfId="20780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3" xfId="7586"/>
    <cellStyle name="20% - akcent 2 29 2 4" xfId="14192"/>
    <cellStyle name="20% - akcent 2 29 2 5" xfId="20783"/>
    <cellStyle name="20% - akcent 2 29 3" xfId="4240"/>
    <cellStyle name="20% - akcent 2 29 3 2" xfId="10875"/>
    <cellStyle name="20% - akcent 2 29 3 3" xfId="17479"/>
    <cellStyle name="20% - akcent 2 29 3 4" xfId="24070"/>
    <cellStyle name="20% - akcent 2 29 4" xfId="7585"/>
    <cellStyle name="20% - akcent 2 29 5" xfId="14191"/>
    <cellStyle name="20% - akcent 2 29 6" xfId="20782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3" xfId="7588"/>
    <cellStyle name="20% - akcent 2 3 2 4" xfId="14194"/>
    <cellStyle name="20% - akcent 2 3 2 5" xfId="20785"/>
    <cellStyle name="20% - akcent 2 3 3" xfId="4242"/>
    <cellStyle name="20% - akcent 2 3 3 2" xfId="10877"/>
    <cellStyle name="20% - akcent 2 3 3 3" xfId="17481"/>
    <cellStyle name="20% - akcent 2 3 3 4" xfId="24072"/>
    <cellStyle name="20% - akcent 2 3 4" xfId="7587"/>
    <cellStyle name="20% - akcent 2 3 5" xfId="14193"/>
    <cellStyle name="20% - akcent 2 3 6" xfId="20784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3" xfId="7590"/>
    <cellStyle name="20% - akcent 2 30 2 4" xfId="14196"/>
    <cellStyle name="20% - akcent 2 30 2 5" xfId="20787"/>
    <cellStyle name="20% - akcent 2 30 3" xfId="4244"/>
    <cellStyle name="20% - akcent 2 30 3 2" xfId="10879"/>
    <cellStyle name="20% - akcent 2 30 3 3" xfId="17483"/>
    <cellStyle name="20% - akcent 2 30 3 4" xfId="24074"/>
    <cellStyle name="20% - akcent 2 30 4" xfId="7589"/>
    <cellStyle name="20% - akcent 2 30 5" xfId="14195"/>
    <cellStyle name="20% - akcent 2 30 6" xfId="20786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3" xfId="7592"/>
    <cellStyle name="20% - akcent 2 31 2 4" xfId="14198"/>
    <cellStyle name="20% - akcent 2 31 2 5" xfId="20789"/>
    <cellStyle name="20% - akcent 2 31 3" xfId="4246"/>
    <cellStyle name="20% - akcent 2 31 3 2" xfId="10881"/>
    <cellStyle name="20% - akcent 2 31 3 3" xfId="17485"/>
    <cellStyle name="20% - akcent 2 31 3 4" xfId="24076"/>
    <cellStyle name="20% - akcent 2 31 4" xfId="7591"/>
    <cellStyle name="20% - akcent 2 31 5" xfId="14197"/>
    <cellStyle name="20% - akcent 2 31 6" xfId="20788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3" xfId="7594"/>
    <cellStyle name="20% - akcent 2 32 2 4" xfId="14200"/>
    <cellStyle name="20% - akcent 2 32 2 5" xfId="20791"/>
    <cellStyle name="20% - akcent 2 32 3" xfId="4248"/>
    <cellStyle name="20% - akcent 2 32 3 2" xfId="10883"/>
    <cellStyle name="20% - akcent 2 32 3 3" xfId="17487"/>
    <cellStyle name="20% - akcent 2 32 3 4" xfId="24078"/>
    <cellStyle name="20% - akcent 2 32 4" xfId="7593"/>
    <cellStyle name="20% - akcent 2 32 5" xfId="14199"/>
    <cellStyle name="20% - akcent 2 32 6" xfId="20790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3" xfId="7596"/>
    <cellStyle name="20% - akcent 2 33 2 4" xfId="14202"/>
    <cellStyle name="20% - akcent 2 33 2 5" xfId="20793"/>
    <cellStyle name="20% - akcent 2 33 3" xfId="4250"/>
    <cellStyle name="20% - akcent 2 33 3 2" xfId="10885"/>
    <cellStyle name="20% - akcent 2 33 3 3" xfId="17489"/>
    <cellStyle name="20% - akcent 2 33 3 4" xfId="24080"/>
    <cellStyle name="20% - akcent 2 33 4" xfId="7595"/>
    <cellStyle name="20% - akcent 2 33 5" xfId="14201"/>
    <cellStyle name="20% - akcent 2 33 6" xfId="20792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3" xfId="7598"/>
    <cellStyle name="20% - akcent 2 34 2 4" xfId="14204"/>
    <cellStyle name="20% - akcent 2 34 2 5" xfId="20795"/>
    <cellStyle name="20% - akcent 2 34 3" xfId="4252"/>
    <cellStyle name="20% - akcent 2 34 3 2" xfId="10887"/>
    <cellStyle name="20% - akcent 2 34 3 3" xfId="17491"/>
    <cellStyle name="20% - akcent 2 34 3 4" xfId="24082"/>
    <cellStyle name="20% - akcent 2 34 4" xfId="7597"/>
    <cellStyle name="20% - akcent 2 34 5" xfId="14203"/>
    <cellStyle name="20% - akcent 2 34 6" xfId="20794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3" xfId="7600"/>
    <cellStyle name="20% - akcent 2 35 2 4" xfId="14206"/>
    <cellStyle name="20% - akcent 2 35 2 5" xfId="20797"/>
    <cellStyle name="20% - akcent 2 35 3" xfId="4254"/>
    <cellStyle name="20% - akcent 2 35 3 2" xfId="10889"/>
    <cellStyle name="20% - akcent 2 35 3 3" xfId="17493"/>
    <cellStyle name="20% - akcent 2 35 3 4" xfId="24084"/>
    <cellStyle name="20% - akcent 2 35 4" xfId="7599"/>
    <cellStyle name="20% - akcent 2 35 5" xfId="14205"/>
    <cellStyle name="20% - akcent 2 35 6" xfId="20796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3" xfId="7602"/>
    <cellStyle name="20% - akcent 2 36 2 4" xfId="14208"/>
    <cellStyle name="20% - akcent 2 36 2 5" xfId="20799"/>
    <cellStyle name="20% - akcent 2 36 3" xfId="4256"/>
    <cellStyle name="20% - akcent 2 36 3 2" xfId="10891"/>
    <cellStyle name="20% - akcent 2 36 3 3" xfId="17495"/>
    <cellStyle name="20% - akcent 2 36 3 4" xfId="24086"/>
    <cellStyle name="20% - akcent 2 36 4" xfId="7601"/>
    <cellStyle name="20% - akcent 2 36 5" xfId="14207"/>
    <cellStyle name="20% - akcent 2 36 6" xfId="20798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3" xfId="7604"/>
    <cellStyle name="20% - akcent 2 37 2 4" xfId="14210"/>
    <cellStyle name="20% - akcent 2 37 2 5" xfId="20801"/>
    <cellStyle name="20% - akcent 2 37 3" xfId="4258"/>
    <cellStyle name="20% - akcent 2 37 3 2" xfId="10893"/>
    <cellStyle name="20% - akcent 2 37 3 3" xfId="17497"/>
    <cellStyle name="20% - akcent 2 37 3 4" xfId="24088"/>
    <cellStyle name="20% - akcent 2 37 4" xfId="7603"/>
    <cellStyle name="20% - akcent 2 37 5" xfId="14209"/>
    <cellStyle name="20% - akcent 2 37 6" xfId="20800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3" xfId="7606"/>
    <cellStyle name="20% - akcent 2 38 2 4" xfId="14212"/>
    <cellStyle name="20% - akcent 2 38 2 5" xfId="20803"/>
    <cellStyle name="20% - akcent 2 38 3" xfId="4260"/>
    <cellStyle name="20% - akcent 2 38 3 2" xfId="10895"/>
    <cellStyle name="20% - akcent 2 38 3 3" xfId="17499"/>
    <cellStyle name="20% - akcent 2 38 3 4" xfId="24090"/>
    <cellStyle name="20% - akcent 2 38 4" xfId="7605"/>
    <cellStyle name="20% - akcent 2 38 5" xfId="14211"/>
    <cellStyle name="20% - akcent 2 38 6" xfId="20802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3" xfId="7608"/>
    <cellStyle name="20% - akcent 2 39 2 4" xfId="14214"/>
    <cellStyle name="20% - akcent 2 39 2 5" xfId="20805"/>
    <cellStyle name="20% - akcent 2 39 3" xfId="4262"/>
    <cellStyle name="20% - akcent 2 39 3 2" xfId="10897"/>
    <cellStyle name="20% - akcent 2 39 3 3" xfId="17501"/>
    <cellStyle name="20% - akcent 2 39 3 4" xfId="24092"/>
    <cellStyle name="20% - akcent 2 39 4" xfId="7607"/>
    <cellStyle name="20% - akcent 2 39 5" xfId="14213"/>
    <cellStyle name="20% - akcent 2 39 6" xfId="20804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3" xfId="7610"/>
    <cellStyle name="20% - akcent 2 4 2 4" xfId="14216"/>
    <cellStyle name="20% - akcent 2 4 2 5" xfId="20807"/>
    <cellStyle name="20% - akcent 2 4 3" xfId="4264"/>
    <cellStyle name="20% - akcent 2 4 3 2" xfId="10899"/>
    <cellStyle name="20% - akcent 2 4 3 3" xfId="17503"/>
    <cellStyle name="20% - akcent 2 4 3 4" xfId="24094"/>
    <cellStyle name="20% - akcent 2 4 4" xfId="7609"/>
    <cellStyle name="20% - akcent 2 4 5" xfId="14215"/>
    <cellStyle name="20% - akcent 2 4 6" xfId="20806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3" xfId="7612"/>
    <cellStyle name="20% - akcent 2 40 2 4" xfId="14218"/>
    <cellStyle name="20% - akcent 2 40 2 5" xfId="20809"/>
    <cellStyle name="20% - akcent 2 40 3" xfId="4266"/>
    <cellStyle name="20% - akcent 2 40 3 2" xfId="10901"/>
    <cellStyle name="20% - akcent 2 40 3 3" xfId="17505"/>
    <cellStyle name="20% - akcent 2 40 3 4" xfId="24096"/>
    <cellStyle name="20% - akcent 2 40 4" xfId="7611"/>
    <cellStyle name="20% - akcent 2 40 5" xfId="14217"/>
    <cellStyle name="20% - akcent 2 40 6" xfId="20808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3" xfId="7614"/>
    <cellStyle name="20% - akcent 2 41 2 4" xfId="14220"/>
    <cellStyle name="20% - akcent 2 41 2 5" xfId="20811"/>
    <cellStyle name="20% - akcent 2 41 3" xfId="4268"/>
    <cellStyle name="20% - akcent 2 41 3 2" xfId="10903"/>
    <cellStyle name="20% - akcent 2 41 3 3" xfId="17507"/>
    <cellStyle name="20% - akcent 2 41 3 4" xfId="24098"/>
    <cellStyle name="20% - akcent 2 41 4" xfId="7613"/>
    <cellStyle name="20% - akcent 2 41 5" xfId="14219"/>
    <cellStyle name="20% - akcent 2 41 6" xfId="20810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3" xfId="7616"/>
    <cellStyle name="20% - akcent 2 42 2 4" xfId="14222"/>
    <cellStyle name="20% - akcent 2 42 2 5" xfId="20813"/>
    <cellStyle name="20% - akcent 2 42 3" xfId="4270"/>
    <cellStyle name="20% - akcent 2 42 3 2" xfId="10905"/>
    <cellStyle name="20% - akcent 2 42 3 3" xfId="17509"/>
    <cellStyle name="20% - akcent 2 42 3 4" xfId="24100"/>
    <cellStyle name="20% - akcent 2 42 4" xfId="7615"/>
    <cellStyle name="20% - akcent 2 42 5" xfId="14221"/>
    <cellStyle name="20% - akcent 2 42 6" xfId="20812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3" xfId="7618"/>
    <cellStyle name="20% - akcent 2 43 2 4" xfId="14224"/>
    <cellStyle name="20% - akcent 2 43 2 5" xfId="20815"/>
    <cellStyle name="20% - akcent 2 43 3" xfId="4272"/>
    <cellStyle name="20% - akcent 2 43 3 2" xfId="10907"/>
    <cellStyle name="20% - akcent 2 43 3 3" xfId="17511"/>
    <cellStyle name="20% - akcent 2 43 3 4" xfId="24102"/>
    <cellStyle name="20% - akcent 2 43 4" xfId="7617"/>
    <cellStyle name="20% - akcent 2 43 5" xfId="14223"/>
    <cellStyle name="20% - akcent 2 43 6" xfId="20814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3" xfId="7620"/>
    <cellStyle name="20% - akcent 2 44 2 4" xfId="14226"/>
    <cellStyle name="20% - akcent 2 44 2 5" xfId="20817"/>
    <cellStyle name="20% - akcent 2 44 3" xfId="4274"/>
    <cellStyle name="20% - akcent 2 44 3 2" xfId="10909"/>
    <cellStyle name="20% - akcent 2 44 3 3" xfId="17513"/>
    <cellStyle name="20% - akcent 2 44 3 4" xfId="24104"/>
    <cellStyle name="20% - akcent 2 44 4" xfId="7619"/>
    <cellStyle name="20% - akcent 2 44 5" xfId="14225"/>
    <cellStyle name="20% - akcent 2 44 6" xfId="20816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3" xfId="7622"/>
    <cellStyle name="20% - akcent 2 45 2 4" xfId="14228"/>
    <cellStyle name="20% - akcent 2 45 2 5" xfId="20819"/>
    <cellStyle name="20% - akcent 2 45 3" xfId="4276"/>
    <cellStyle name="20% - akcent 2 45 3 2" xfId="10911"/>
    <cellStyle name="20% - akcent 2 45 3 3" xfId="17515"/>
    <cellStyle name="20% - akcent 2 45 3 4" xfId="24106"/>
    <cellStyle name="20% - akcent 2 45 4" xfId="7621"/>
    <cellStyle name="20% - akcent 2 45 5" xfId="14227"/>
    <cellStyle name="20% - akcent 2 45 6" xfId="20818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3" xfId="7624"/>
    <cellStyle name="20% - akcent 2 46 2 4" xfId="14230"/>
    <cellStyle name="20% - akcent 2 46 2 5" xfId="20821"/>
    <cellStyle name="20% - akcent 2 46 3" xfId="4278"/>
    <cellStyle name="20% - akcent 2 46 3 2" xfId="10913"/>
    <cellStyle name="20% - akcent 2 46 3 3" xfId="17517"/>
    <cellStyle name="20% - akcent 2 46 3 4" xfId="24108"/>
    <cellStyle name="20% - akcent 2 46 4" xfId="7623"/>
    <cellStyle name="20% - akcent 2 46 5" xfId="14229"/>
    <cellStyle name="20% - akcent 2 46 6" xfId="20820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3" xfId="7626"/>
    <cellStyle name="20% - akcent 2 47 2 4" xfId="14232"/>
    <cellStyle name="20% - akcent 2 47 2 5" xfId="20823"/>
    <cellStyle name="20% - akcent 2 47 3" xfId="4280"/>
    <cellStyle name="20% - akcent 2 47 3 2" xfId="10915"/>
    <cellStyle name="20% - akcent 2 47 3 3" xfId="17519"/>
    <cellStyle name="20% - akcent 2 47 3 4" xfId="24110"/>
    <cellStyle name="20% - akcent 2 47 4" xfId="7625"/>
    <cellStyle name="20% - akcent 2 47 5" xfId="14231"/>
    <cellStyle name="20% - akcent 2 47 6" xfId="20822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3" xfId="7628"/>
    <cellStyle name="20% - akcent 2 48 2 4" xfId="14234"/>
    <cellStyle name="20% - akcent 2 48 2 5" xfId="20825"/>
    <cellStyle name="20% - akcent 2 48 3" xfId="4282"/>
    <cellStyle name="20% - akcent 2 48 3 2" xfId="10917"/>
    <cellStyle name="20% - akcent 2 48 3 3" xfId="17521"/>
    <cellStyle name="20% - akcent 2 48 3 4" xfId="24112"/>
    <cellStyle name="20% - akcent 2 48 4" xfId="7627"/>
    <cellStyle name="20% - akcent 2 48 5" xfId="14233"/>
    <cellStyle name="20% - akcent 2 48 6" xfId="20824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3" xfId="7630"/>
    <cellStyle name="20% - akcent 2 49 2 4" xfId="14236"/>
    <cellStyle name="20% - akcent 2 49 2 5" xfId="20827"/>
    <cellStyle name="20% - akcent 2 49 3" xfId="4284"/>
    <cellStyle name="20% - akcent 2 49 3 2" xfId="10919"/>
    <cellStyle name="20% - akcent 2 49 3 3" xfId="17523"/>
    <cellStyle name="20% - akcent 2 49 3 4" xfId="24114"/>
    <cellStyle name="20% - akcent 2 49 4" xfId="7629"/>
    <cellStyle name="20% - akcent 2 49 5" xfId="14235"/>
    <cellStyle name="20% - akcent 2 49 6" xfId="20826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3" xfId="7632"/>
    <cellStyle name="20% - akcent 2 5 2 4" xfId="14238"/>
    <cellStyle name="20% - akcent 2 5 2 5" xfId="20829"/>
    <cellStyle name="20% - akcent 2 5 3" xfId="4286"/>
    <cellStyle name="20% - akcent 2 5 3 2" xfId="10921"/>
    <cellStyle name="20% - akcent 2 5 3 3" xfId="17525"/>
    <cellStyle name="20% - akcent 2 5 3 4" xfId="24116"/>
    <cellStyle name="20% - akcent 2 5 4" xfId="7631"/>
    <cellStyle name="20% - akcent 2 5 5" xfId="14237"/>
    <cellStyle name="20% - akcent 2 5 6" xfId="20828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3" xfId="7634"/>
    <cellStyle name="20% - akcent 2 50 2 4" xfId="14240"/>
    <cellStyle name="20% - akcent 2 50 2 5" xfId="20831"/>
    <cellStyle name="20% - akcent 2 50 3" xfId="4288"/>
    <cellStyle name="20% - akcent 2 50 3 2" xfId="10923"/>
    <cellStyle name="20% - akcent 2 50 3 3" xfId="17527"/>
    <cellStyle name="20% - akcent 2 50 3 4" xfId="24118"/>
    <cellStyle name="20% - akcent 2 50 4" xfId="7633"/>
    <cellStyle name="20% - akcent 2 50 5" xfId="14239"/>
    <cellStyle name="20% - akcent 2 50 6" xfId="20830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3" xfId="7636"/>
    <cellStyle name="20% - akcent 2 51 2 4" xfId="14242"/>
    <cellStyle name="20% - akcent 2 51 2 5" xfId="20833"/>
    <cellStyle name="20% - akcent 2 51 3" xfId="4290"/>
    <cellStyle name="20% - akcent 2 51 3 2" xfId="10925"/>
    <cellStyle name="20% - akcent 2 51 3 3" xfId="17529"/>
    <cellStyle name="20% - akcent 2 51 3 4" xfId="24120"/>
    <cellStyle name="20% - akcent 2 51 4" xfId="7635"/>
    <cellStyle name="20% - akcent 2 51 5" xfId="14241"/>
    <cellStyle name="20% - akcent 2 51 6" xfId="20832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3" xfId="7638"/>
    <cellStyle name="20% - akcent 2 52 2 4" xfId="14244"/>
    <cellStyle name="20% - akcent 2 52 2 5" xfId="20835"/>
    <cellStyle name="20% - akcent 2 52 3" xfId="4292"/>
    <cellStyle name="20% - akcent 2 52 3 2" xfId="10927"/>
    <cellStyle name="20% - akcent 2 52 3 3" xfId="17531"/>
    <cellStyle name="20% - akcent 2 52 3 4" xfId="24122"/>
    <cellStyle name="20% - akcent 2 52 4" xfId="7637"/>
    <cellStyle name="20% - akcent 2 52 5" xfId="14243"/>
    <cellStyle name="20% - akcent 2 52 6" xfId="20834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3" xfId="7640"/>
    <cellStyle name="20% - akcent 2 53 2 4" xfId="14246"/>
    <cellStyle name="20% - akcent 2 53 2 5" xfId="20837"/>
    <cellStyle name="20% - akcent 2 53 3" xfId="4294"/>
    <cellStyle name="20% - akcent 2 53 3 2" xfId="10929"/>
    <cellStyle name="20% - akcent 2 53 3 3" xfId="17533"/>
    <cellStyle name="20% - akcent 2 53 3 4" xfId="24124"/>
    <cellStyle name="20% - akcent 2 53 4" xfId="7639"/>
    <cellStyle name="20% - akcent 2 53 5" xfId="14245"/>
    <cellStyle name="20% - akcent 2 53 6" xfId="20836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3" xfId="7642"/>
    <cellStyle name="20% - akcent 2 54 2 4" xfId="14248"/>
    <cellStyle name="20% - akcent 2 54 2 5" xfId="20839"/>
    <cellStyle name="20% - akcent 2 54 3" xfId="4296"/>
    <cellStyle name="20% - akcent 2 54 3 2" xfId="10931"/>
    <cellStyle name="20% - akcent 2 54 3 3" xfId="17535"/>
    <cellStyle name="20% - akcent 2 54 3 4" xfId="24126"/>
    <cellStyle name="20% - akcent 2 54 4" xfId="7641"/>
    <cellStyle name="20% - akcent 2 54 5" xfId="14247"/>
    <cellStyle name="20% - akcent 2 54 6" xfId="20838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3" xfId="7644"/>
    <cellStyle name="20% - akcent 2 55 2 4" xfId="14250"/>
    <cellStyle name="20% - akcent 2 55 2 5" xfId="20841"/>
    <cellStyle name="20% - akcent 2 55 3" xfId="4298"/>
    <cellStyle name="20% - akcent 2 55 3 2" xfId="10933"/>
    <cellStyle name="20% - akcent 2 55 3 3" xfId="17537"/>
    <cellStyle name="20% - akcent 2 55 3 4" xfId="24128"/>
    <cellStyle name="20% - akcent 2 55 4" xfId="7643"/>
    <cellStyle name="20% - akcent 2 55 5" xfId="14249"/>
    <cellStyle name="20% - akcent 2 55 6" xfId="20840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3" xfId="7646"/>
    <cellStyle name="20% - akcent 2 56 2 4" xfId="14252"/>
    <cellStyle name="20% - akcent 2 56 2 5" xfId="20843"/>
    <cellStyle name="20% - akcent 2 56 3" xfId="4300"/>
    <cellStyle name="20% - akcent 2 56 3 2" xfId="10935"/>
    <cellStyle name="20% - akcent 2 56 3 3" xfId="17539"/>
    <cellStyle name="20% - akcent 2 56 3 4" xfId="24130"/>
    <cellStyle name="20% - akcent 2 56 4" xfId="7645"/>
    <cellStyle name="20% - akcent 2 56 5" xfId="14251"/>
    <cellStyle name="20% - akcent 2 56 6" xfId="20842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3" xfId="7648"/>
    <cellStyle name="20% - akcent 2 57 2 4" xfId="14254"/>
    <cellStyle name="20% - akcent 2 57 2 5" xfId="20845"/>
    <cellStyle name="20% - akcent 2 57 3" xfId="4302"/>
    <cellStyle name="20% - akcent 2 57 3 2" xfId="10937"/>
    <cellStyle name="20% - akcent 2 57 3 3" xfId="17541"/>
    <cellStyle name="20% - akcent 2 57 3 4" xfId="24132"/>
    <cellStyle name="20% - akcent 2 57 4" xfId="7647"/>
    <cellStyle name="20% - akcent 2 57 5" xfId="14253"/>
    <cellStyle name="20% - akcent 2 57 6" xfId="20844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3" xfId="7650"/>
    <cellStyle name="20% - akcent 2 58 2 4" xfId="14256"/>
    <cellStyle name="20% - akcent 2 58 2 5" xfId="20847"/>
    <cellStyle name="20% - akcent 2 58 3" xfId="4304"/>
    <cellStyle name="20% - akcent 2 58 3 2" xfId="10939"/>
    <cellStyle name="20% - akcent 2 58 3 3" xfId="17543"/>
    <cellStyle name="20% - akcent 2 58 3 4" xfId="24134"/>
    <cellStyle name="20% - akcent 2 58 4" xfId="7649"/>
    <cellStyle name="20% - akcent 2 58 5" xfId="14255"/>
    <cellStyle name="20% - akcent 2 58 6" xfId="20846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3" xfId="7652"/>
    <cellStyle name="20% - akcent 2 59 2 4" xfId="14258"/>
    <cellStyle name="20% - akcent 2 59 2 5" xfId="20849"/>
    <cellStyle name="20% - akcent 2 59 3" xfId="4306"/>
    <cellStyle name="20% - akcent 2 59 3 2" xfId="10941"/>
    <cellStyle name="20% - akcent 2 59 3 3" xfId="17545"/>
    <cellStyle name="20% - akcent 2 59 3 4" xfId="24136"/>
    <cellStyle name="20% - akcent 2 59 4" xfId="7651"/>
    <cellStyle name="20% - akcent 2 59 5" xfId="14257"/>
    <cellStyle name="20% - akcent 2 59 6" xfId="20848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3" xfId="7654"/>
    <cellStyle name="20% - akcent 2 6 2 4" xfId="14260"/>
    <cellStyle name="20% - akcent 2 6 2 5" xfId="20851"/>
    <cellStyle name="20% - akcent 2 6 3" xfId="4308"/>
    <cellStyle name="20% - akcent 2 6 3 2" xfId="10943"/>
    <cellStyle name="20% - akcent 2 6 3 3" xfId="17547"/>
    <cellStyle name="20% - akcent 2 6 3 4" xfId="24138"/>
    <cellStyle name="20% - akcent 2 6 4" xfId="7653"/>
    <cellStyle name="20% - akcent 2 6 5" xfId="14259"/>
    <cellStyle name="20% - akcent 2 6 6" xfId="20850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3" xfId="7655"/>
    <cellStyle name="20% - akcent 2 60 4" xfId="14261"/>
    <cellStyle name="20% - akcent 2 60 5" xfId="20852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3" xfId="7656"/>
    <cellStyle name="20% - akcent 2 61 4" xfId="14262"/>
    <cellStyle name="20% - akcent 2 61 5" xfId="20853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3" xfId="7657"/>
    <cellStyle name="20% - akcent 2 62 4" xfId="14263"/>
    <cellStyle name="20% - akcent 2 62 5" xfId="20854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3" xfId="7658"/>
    <cellStyle name="20% - akcent 2 63 4" xfId="14264"/>
    <cellStyle name="20% - akcent 2 63 5" xfId="20855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3" xfId="7659"/>
    <cellStyle name="20% - akcent 2 64 4" xfId="14265"/>
    <cellStyle name="20% - akcent 2 64 5" xfId="20856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3" xfId="7660"/>
    <cellStyle name="20% - akcent 2 65 4" xfId="14266"/>
    <cellStyle name="20% - akcent 2 65 5" xfId="20857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3" xfId="7661"/>
    <cellStyle name="20% - akcent 2 66 4" xfId="14267"/>
    <cellStyle name="20% - akcent 2 66 5" xfId="20858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3" xfId="7662"/>
    <cellStyle name="20% - akcent 2 67 4" xfId="14268"/>
    <cellStyle name="20% - akcent 2 67 5" xfId="20859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3" xfId="7663"/>
    <cellStyle name="20% - akcent 2 68 4" xfId="14269"/>
    <cellStyle name="20% - akcent 2 68 5" xfId="20860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3" xfId="7664"/>
    <cellStyle name="20% - akcent 2 69 4" xfId="14270"/>
    <cellStyle name="20% - akcent 2 69 5" xfId="20861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3" xfId="7666"/>
    <cellStyle name="20% - akcent 2 7 2 4" xfId="14272"/>
    <cellStyle name="20% - akcent 2 7 2 5" xfId="20863"/>
    <cellStyle name="20% - akcent 2 7 3" xfId="4320"/>
    <cellStyle name="20% - akcent 2 7 3 2" xfId="10955"/>
    <cellStyle name="20% - akcent 2 7 3 3" xfId="17559"/>
    <cellStyle name="20% - akcent 2 7 3 4" xfId="24150"/>
    <cellStyle name="20% - akcent 2 7 4" xfId="7665"/>
    <cellStyle name="20% - akcent 2 7 5" xfId="14271"/>
    <cellStyle name="20% - akcent 2 7 6" xfId="20862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3" xfId="7667"/>
    <cellStyle name="20% - akcent 2 70 4" xfId="14273"/>
    <cellStyle name="20% - akcent 2 70 5" xfId="20864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3" xfId="7668"/>
    <cellStyle name="20% - akcent 2 71 4" xfId="14274"/>
    <cellStyle name="20% - akcent 2 71 5" xfId="20865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3" xfId="7669"/>
    <cellStyle name="20% - akcent 2 72 4" xfId="14275"/>
    <cellStyle name="20% - akcent 2 72 5" xfId="20866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3" xfId="7670"/>
    <cellStyle name="20% - akcent 2 73 4" xfId="14276"/>
    <cellStyle name="20% - akcent 2 73 5" xfId="20867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3" xfId="7671"/>
    <cellStyle name="20% - akcent 2 74 4" xfId="14277"/>
    <cellStyle name="20% - akcent 2 74 5" xfId="20868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3" xfId="7672"/>
    <cellStyle name="20% - akcent 2 75 4" xfId="14278"/>
    <cellStyle name="20% - akcent 2 75 5" xfId="20869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3" xfId="7673"/>
    <cellStyle name="20% - akcent 2 76 4" xfId="14279"/>
    <cellStyle name="20% - akcent 2 76 5" xfId="20870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3" xfId="7674"/>
    <cellStyle name="20% - akcent 2 77 4" xfId="14280"/>
    <cellStyle name="20% - akcent 2 77 5" xfId="20871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3" xfId="7675"/>
    <cellStyle name="20% - akcent 2 78 4" xfId="14281"/>
    <cellStyle name="20% - akcent 2 78 5" xfId="20872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3" xfId="7676"/>
    <cellStyle name="20% - akcent 2 79 4" xfId="14282"/>
    <cellStyle name="20% - akcent 2 79 5" xfId="20873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3" xfId="7678"/>
    <cellStyle name="20% - akcent 2 8 2 4" xfId="14284"/>
    <cellStyle name="20% - akcent 2 8 2 5" xfId="20875"/>
    <cellStyle name="20% - akcent 2 8 3" xfId="4332"/>
    <cellStyle name="20% - akcent 2 8 3 2" xfId="10967"/>
    <cellStyle name="20% - akcent 2 8 3 3" xfId="17571"/>
    <cellStyle name="20% - akcent 2 8 3 4" xfId="24162"/>
    <cellStyle name="20% - akcent 2 8 4" xfId="7677"/>
    <cellStyle name="20% - akcent 2 8 5" xfId="14283"/>
    <cellStyle name="20% - akcent 2 8 6" xfId="20874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3" xfId="7679"/>
    <cellStyle name="20% - akcent 2 80 4" xfId="14285"/>
    <cellStyle name="20% - akcent 2 80 5" xfId="20876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3" xfId="7680"/>
    <cellStyle name="20% - akcent 2 81 4" xfId="14286"/>
    <cellStyle name="20% - akcent 2 81 5" xfId="20877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3" xfId="7681"/>
    <cellStyle name="20% - akcent 2 82 4" xfId="14287"/>
    <cellStyle name="20% - akcent 2 82 5" xfId="20878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3" xfId="7682"/>
    <cellStyle name="20% - akcent 2 83 4" xfId="14288"/>
    <cellStyle name="20% - akcent 2 83 5" xfId="20879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3" xfId="7683"/>
    <cellStyle name="20% - akcent 2 84 4" xfId="14289"/>
    <cellStyle name="20% - akcent 2 84 5" xfId="20880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3" xfId="7684"/>
    <cellStyle name="20% - akcent 2 85 4" xfId="14290"/>
    <cellStyle name="20% - akcent 2 85 5" xfId="20881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3" xfId="7685"/>
    <cellStyle name="20% - akcent 2 86 4" xfId="14291"/>
    <cellStyle name="20% - akcent 2 86 5" xfId="20882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3" xfId="7686"/>
    <cellStyle name="20% - akcent 2 87 4" xfId="14292"/>
    <cellStyle name="20% - akcent 2 87 5" xfId="20883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3" xfId="7687"/>
    <cellStyle name="20% - akcent 2 88 4" xfId="14293"/>
    <cellStyle name="20% - akcent 2 88 5" xfId="20884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3" xfId="7688"/>
    <cellStyle name="20% - akcent 2 89 4" xfId="14294"/>
    <cellStyle name="20% - akcent 2 89 5" xfId="20885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3" xfId="7690"/>
    <cellStyle name="20% - akcent 2 9 2 4" xfId="14296"/>
    <cellStyle name="20% - akcent 2 9 2 5" xfId="20887"/>
    <cellStyle name="20% - akcent 2 9 3" xfId="4344"/>
    <cellStyle name="20% - akcent 2 9 3 2" xfId="10979"/>
    <cellStyle name="20% - akcent 2 9 3 3" xfId="17583"/>
    <cellStyle name="20% - akcent 2 9 3 4" xfId="24174"/>
    <cellStyle name="20% - akcent 2 9 4" xfId="7689"/>
    <cellStyle name="20% - akcent 2 9 5" xfId="14295"/>
    <cellStyle name="20% - akcent 2 9 6" xfId="20886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3" xfId="7691"/>
    <cellStyle name="20% - akcent 2 90 4" xfId="14297"/>
    <cellStyle name="20% - akcent 2 90 5" xfId="20888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3" xfId="7692"/>
    <cellStyle name="20% - akcent 2 91 4" xfId="14298"/>
    <cellStyle name="20% - akcent 2 91 5" xfId="20889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3" xfId="7693"/>
    <cellStyle name="20% - akcent 2 92 4" xfId="14299"/>
    <cellStyle name="20% - akcent 2 92 5" xfId="20890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3" xfId="7694"/>
    <cellStyle name="20% - akcent 2 93 4" xfId="14300"/>
    <cellStyle name="20% - akcent 2 93 5" xfId="20891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3" xfId="7695"/>
    <cellStyle name="20% - akcent 2 94 4" xfId="14301"/>
    <cellStyle name="20% - akcent 2 94 5" xfId="20892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3" xfId="7696"/>
    <cellStyle name="20% - akcent 2 95 4" xfId="14302"/>
    <cellStyle name="20% - akcent 2 95 5" xfId="20893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3" xfId="7697"/>
    <cellStyle name="20% - akcent 2 96 4" xfId="14303"/>
    <cellStyle name="20% - akcent 2 96 5" xfId="20894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3" xfId="7698"/>
    <cellStyle name="20% - akcent 2 97 4" xfId="14304"/>
    <cellStyle name="20% - akcent 2 97 5" xfId="20895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3" xfId="7699"/>
    <cellStyle name="20% - akcent 2 98 4" xfId="14305"/>
    <cellStyle name="20% - akcent 2 98 5" xfId="20896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3" xfId="7700"/>
    <cellStyle name="20% - akcent 2 99 4" xfId="14306"/>
    <cellStyle name="20% - akcent 2 99 5" xfId="20897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3" xfId="7702"/>
    <cellStyle name="20% - akcent 3 10 2 4" xfId="14308"/>
    <cellStyle name="20% - akcent 3 10 2 5" xfId="20899"/>
    <cellStyle name="20% - akcent 3 10 3" xfId="4356"/>
    <cellStyle name="20% - akcent 3 10 3 2" xfId="10991"/>
    <cellStyle name="20% - akcent 3 10 3 3" xfId="17595"/>
    <cellStyle name="20% - akcent 3 10 3 4" xfId="24186"/>
    <cellStyle name="20% - akcent 3 10 4" xfId="7701"/>
    <cellStyle name="20% - akcent 3 10 5" xfId="14307"/>
    <cellStyle name="20% - akcent 3 10 6" xfId="20898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3" xfId="7703"/>
    <cellStyle name="20% - akcent 3 100 4" xfId="14309"/>
    <cellStyle name="20% - akcent 3 100 5" xfId="20900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3" xfId="7704"/>
    <cellStyle name="20% - akcent 3 101 4" xfId="14310"/>
    <cellStyle name="20% - akcent 3 101 5" xfId="20901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3" xfId="7705"/>
    <cellStyle name="20% - akcent 3 102 4" xfId="14311"/>
    <cellStyle name="20% - akcent 3 102 5" xfId="20902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3" xfId="7706"/>
    <cellStyle name="20% - akcent 3 103 4" xfId="14312"/>
    <cellStyle name="20% - akcent 3 103 5" xfId="20903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3" xfId="7707"/>
    <cellStyle name="20% - akcent 3 104 4" xfId="14313"/>
    <cellStyle name="20% - akcent 3 104 5" xfId="20904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3" xfId="7708"/>
    <cellStyle name="20% - akcent 3 105 4" xfId="14314"/>
    <cellStyle name="20% - akcent 3 105 5" xfId="20905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3" xfId="7709"/>
    <cellStyle name="20% - akcent 3 106 4" xfId="14315"/>
    <cellStyle name="20% - akcent 3 106 5" xfId="20906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3" xfId="7710"/>
    <cellStyle name="20% - akcent 3 107 4" xfId="14316"/>
    <cellStyle name="20% - akcent 3 107 5" xfId="20907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3" xfId="7711"/>
    <cellStyle name="20% - akcent 3 108 4" xfId="14317"/>
    <cellStyle name="20% - akcent 3 108 5" xfId="20908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3" xfId="7712"/>
    <cellStyle name="20% - akcent 3 109 4" xfId="14318"/>
    <cellStyle name="20% - akcent 3 109 5" xfId="20909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3" xfId="7714"/>
    <cellStyle name="20% - akcent 3 11 2 4" xfId="14320"/>
    <cellStyle name="20% - akcent 3 11 2 5" xfId="20911"/>
    <cellStyle name="20% - akcent 3 11 3" xfId="4368"/>
    <cellStyle name="20% - akcent 3 11 3 2" xfId="11003"/>
    <cellStyle name="20% - akcent 3 11 3 3" xfId="17607"/>
    <cellStyle name="20% - akcent 3 11 3 4" xfId="24198"/>
    <cellStyle name="20% - akcent 3 11 4" xfId="7713"/>
    <cellStyle name="20% - akcent 3 11 5" xfId="14319"/>
    <cellStyle name="20% - akcent 3 11 6" xfId="20910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3" xfId="7715"/>
    <cellStyle name="20% - akcent 3 110 4" xfId="14321"/>
    <cellStyle name="20% - akcent 3 110 5" xfId="20912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3" xfId="7716"/>
    <cellStyle name="20% - akcent 3 111 4" xfId="14322"/>
    <cellStyle name="20% - akcent 3 111 5" xfId="20913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3" xfId="7717"/>
    <cellStyle name="20% - akcent 3 112 4" xfId="14323"/>
    <cellStyle name="20% - akcent 3 112 5" xfId="20914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3" xfId="7718"/>
    <cellStyle name="20% - akcent 3 113 4" xfId="14324"/>
    <cellStyle name="20% - akcent 3 113 5" xfId="20915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3" xfId="7719"/>
    <cellStyle name="20% - akcent 3 114 4" xfId="14325"/>
    <cellStyle name="20% - akcent 3 114 5" xfId="20916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3" xfId="7720"/>
    <cellStyle name="20% - akcent 3 115 4" xfId="14326"/>
    <cellStyle name="20% - akcent 3 115 5" xfId="20917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3" xfId="7721"/>
    <cellStyle name="20% - akcent 3 116 4" xfId="14327"/>
    <cellStyle name="20% - akcent 3 116 5" xfId="20918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3" xfId="7722"/>
    <cellStyle name="20% - akcent 3 117 4" xfId="14328"/>
    <cellStyle name="20% - akcent 3 117 5" xfId="20919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3" xfId="7723"/>
    <cellStyle name="20% - akcent 3 118 4" xfId="14329"/>
    <cellStyle name="20% - akcent 3 118 5" xfId="20920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3" xfId="7724"/>
    <cellStyle name="20% - akcent 3 119 4" xfId="14330"/>
    <cellStyle name="20% - akcent 3 119 5" xfId="20921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3" xfId="7726"/>
    <cellStyle name="20% - akcent 3 12 2 4" xfId="14332"/>
    <cellStyle name="20% - akcent 3 12 2 5" xfId="20923"/>
    <cellStyle name="20% - akcent 3 12 3" xfId="4380"/>
    <cellStyle name="20% - akcent 3 12 3 2" xfId="11015"/>
    <cellStyle name="20% - akcent 3 12 3 3" xfId="17619"/>
    <cellStyle name="20% - akcent 3 12 3 4" xfId="24210"/>
    <cellStyle name="20% - akcent 3 12 4" xfId="7725"/>
    <cellStyle name="20% - akcent 3 12 5" xfId="14331"/>
    <cellStyle name="20% - akcent 3 12 6" xfId="20922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3" xfId="7727"/>
    <cellStyle name="20% - akcent 3 120 4" xfId="14333"/>
    <cellStyle name="20% - akcent 3 120 5" xfId="20924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3" xfId="7728"/>
    <cellStyle name="20% - akcent 3 121 4" xfId="14334"/>
    <cellStyle name="20% - akcent 3 121 5" xfId="20925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3" xfId="7729"/>
    <cellStyle name="20% - akcent 3 122 4" xfId="14335"/>
    <cellStyle name="20% - akcent 3 122 5" xfId="20926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3" xfId="7730"/>
    <cellStyle name="20% - akcent 3 123 4" xfId="14336"/>
    <cellStyle name="20% - akcent 3 123 5" xfId="20927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3" xfId="7731"/>
    <cellStyle name="20% - akcent 3 124 4" xfId="14337"/>
    <cellStyle name="20% - akcent 3 124 5" xfId="20928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3" xfId="7732"/>
    <cellStyle name="20% - akcent 3 125 4" xfId="14338"/>
    <cellStyle name="20% - akcent 3 125 5" xfId="20929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3" xfId="7733"/>
    <cellStyle name="20% - akcent 3 126 4" xfId="14339"/>
    <cellStyle name="20% - akcent 3 126 5" xfId="20930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3" xfId="7734"/>
    <cellStyle name="20% - akcent 3 127 4" xfId="14340"/>
    <cellStyle name="20% - akcent 3 127 5" xfId="20931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3" xfId="7735"/>
    <cellStyle name="20% - akcent 3 128 4" xfId="14341"/>
    <cellStyle name="20% - akcent 3 128 5" xfId="20932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3" xfId="7736"/>
    <cellStyle name="20% - akcent 3 129 4" xfId="14342"/>
    <cellStyle name="20% - akcent 3 129 5" xfId="20933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3" xfId="7738"/>
    <cellStyle name="20% - akcent 3 13 2 4" xfId="14344"/>
    <cellStyle name="20% - akcent 3 13 2 5" xfId="20935"/>
    <cellStyle name="20% - akcent 3 13 3" xfId="4392"/>
    <cellStyle name="20% - akcent 3 13 3 2" xfId="11027"/>
    <cellStyle name="20% - akcent 3 13 3 3" xfId="17631"/>
    <cellStyle name="20% - akcent 3 13 3 4" xfId="24222"/>
    <cellStyle name="20% - akcent 3 13 4" xfId="7737"/>
    <cellStyle name="20% - akcent 3 13 5" xfId="14343"/>
    <cellStyle name="20% - akcent 3 13 6" xfId="20934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3" xfId="7739"/>
    <cellStyle name="20% - akcent 3 130 4" xfId="14345"/>
    <cellStyle name="20% - akcent 3 130 5" xfId="20936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3" xfId="7740"/>
    <cellStyle name="20% - akcent 3 131 4" xfId="14346"/>
    <cellStyle name="20% - akcent 3 131 5" xfId="20937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3" xfId="7741"/>
    <cellStyle name="20% - akcent 3 132 4" xfId="14347"/>
    <cellStyle name="20% - akcent 3 132 5" xfId="20938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3" xfId="7742"/>
    <cellStyle name="20% - akcent 3 133 4" xfId="14348"/>
    <cellStyle name="20% - akcent 3 133 5" xfId="20939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3" xfId="7743"/>
    <cellStyle name="20% - akcent 3 134 4" xfId="14349"/>
    <cellStyle name="20% - akcent 3 134 5" xfId="20940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3" xfId="7744"/>
    <cellStyle name="20% - akcent 3 135 4" xfId="14350"/>
    <cellStyle name="20% - akcent 3 135 5" xfId="20941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3" xfId="7745"/>
    <cellStyle name="20% - akcent 3 136 4" xfId="14351"/>
    <cellStyle name="20% - akcent 3 136 5" xfId="20942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3" xfId="7746"/>
    <cellStyle name="20% - akcent 3 137 4" xfId="14352"/>
    <cellStyle name="20% - akcent 3 137 5" xfId="20943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3" xfId="7747"/>
    <cellStyle name="20% - akcent 3 138 4" xfId="14353"/>
    <cellStyle name="20% - akcent 3 138 5" xfId="20944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3" xfId="7748"/>
    <cellStyle name="20% - akcent 3 139 4" xfId="14354"/>
    <cellStyle name="20% - akcent 3 139 5" xfId="20945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3" xfId="7750"/>
    <cellStyle name="20% - akcent 3 14 2 4" xfId="14356"/>
    <cellStyle name="20% - akcent 3 14 2 5" xfId="20947"/>
    <cellStyle name="20% - akcent 3 14 3" xfId="4404"/>
    <cellStyle name="20% - akcent 3 14 3 2" xfId="11039"/>
    <cellStyle name="20% - akcent 3 14 3 3" xfId="17643"/>
    <cellStyle name="20% - akcent 3 14 3 4" xfId="24234"/>
    <cellStyle name="20% - akcent 3 14 4" xfId="7749"/>
    <cellStyle name="20% - akcent 3 14 5" xfId="14355"/>
    <cellStyle name="20% - akcent 3 14 6" xfId="20946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3" xfId="7751"/>
    <cellStyle name="20% - akcent 3 140 4" xfId="14357"/>
    <cellStyle name="20% - akcent 3 140 5" xfId="20948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3" xfId="7752"/>
    <cellStyle name="20% - akcent 3 141 4" xfId="14358"/>
    <cellStyle name="20% - akcent 3 141 5" xfId="20949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3" xfId="7753"/>
    <cellStyle name="20% - akcent 3 142 4" xfId="14359"/>
    <cellStyle name="20% - akcent 3 142 5" xfId="20950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3" xfId="7754"/>
    <cellStyle name="20% - akcent 3 143 4" xfId="14360"/>
    <cellStyle name="20% - akcent 3 143 5" xfId="20951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3" xfId="7755"/>
    <cellStyle name="20% - akcent 3 144 4" xfId="14361"/>
    <cellStyle name="20% - akcent 3 144 5" xfId="20952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3" xfId="7756"/>
    <cellStyle name="20% - akcent 3 145 4" xfId="14362"/>
    <cellStyle name="20% - akcent 3 145 5" xfId="20953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3" xfId="7757"/>
    <cellStyle name="20% - akcent 3 146 4" xfId="14363"/>
    <cellStyle name="20% - akcent 3 146 5" xfId="20954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3" xfId="7758"/>
    <cellStyle name="20% - akcent 3 147 4" xfId="14364"/>
    <cellStyle name="20% - akcent 3 147 5" xfId="20955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3" xfId="7759"/>
    <cellStyle name="20% - akcent 3 148 4" xfId="14365"/>
    <cellStyle name="20% - akcent 3 148 5" xfId="20956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3" xfId="7760"/>
    <cellStyle name="20% - akcent 3 149 4" xfId="14366"/>
    <cellStyle name="20% - akcent 3 149 5" xfId="20957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3" xfId="7762"/>
    <cellStyle name="20% - akcent 3 15 2 4" xfId="14368"/>
    <cellStyle name="20% - akcent 3 15 2 5" xfId="20959"/>
    <cellStyle name="20% - akcent 3 15 3" xfId="4416"/>
    <cellStyle name="20% - akcent 3 15 3 2" xfId="11051"/>
    <cellStyle name="20% - akcent 3 15 3 3" xfId="17655"/>
    <cellStyle name="20% - akcent 3 15 3 4" xfId="24246"/>
    <cellStyle name="20% - akcent 3 15 4" xfId="7761"/>
    <cellStyle name="20% - akcent 3 15 5" xfId="14367"/>
    <cellStyle name="20% - akcent 3 15 6" xfId="20958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3" xfId="7763"/>
    <cellStyle name="20% - akcent 3 150 4" xfId="14369"/>
    <cellStyle name="20% - akcent 3 150 5" xfId="20960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3" xfId="7764"/>
    <cellStyle name="20% - akcent 3 151 4" xfId="14370"/>
    <cellStyle name="20% - akcent 3 151 5" xfId="20961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3" xfId="7765"/>
    <cellStyle name="20% - akcent 3 152 4" xfId="14371"/>
    <cellStyle name="20% - akcent 3 152 5" xfId="20962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3" xfId="7766"/>
    <cellStyle name="20% - akcent 3 153 4" xfId="14372"/>
    <cellStyle name="20% - akcent 3 153 5" xfId="20963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3" xfId="7767"/>
    <cellStyle name="20% - akcent 3 154 4" xfId="14373"/>
    <cellStyle name="20% - akcent 3 154 5" xfId="20964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3" xfId="7768"/>
    <cellStyle name="20% - akcent 3 155 4" xfId="14374"/>
    <cellStyle name="20% - akcent 3 155 5" xfId="20965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3" xfId="7769"/>
    <cellStyle name="20% - akcent 3 156 4" xfId="14375"/>
    <cellStyle name="20% - akcent 3 156 5" xfId="20966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3" xfId="7770"/>
    <cellStyle name="20% - akcent 3 157 4" xfId="14376"/>
    <cellStyle name="20% - akcent 3 157 5" xfId="20967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3" xfId="7771"/>
    <cellStyle name="20% - akcent 3 158 4" xfId="14377"/>
    <cellStyle name="20% - akcent 3 158 5" xfId="20968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3" xfId="7772"/>
    <cellStyle name="20% - akcent 3 159 4" xfId="14378"/>
    <cellStyle name="20% - akcent 3 159 5" xfId="20969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3" xfId="7774"/>
    <cellStyle name="20% - akcent 3 16 2 4" xfId="14380"/>
    <cellStyle name="20% - akcent 3 16 2 5" xfId="20971"/>
    <cellStyle name="20% - akcent 3 16 3" xfId="4428"/>
    <cellStyle name="20% - akcent 3 16 3 2" xfId="11063"/>
    <cellStyle name="20% - akcent 3 16 3 3" xfId="17667"/>
    <cellStyle name="20% - akcent 3 16 3 4" xfId="24258"/>
    <cellStyle name="20% - akcent 3 16 4" xfId="7773"/>
    <cellStyle name="20% - akcent 3 16 5" xfId="14379"/>
    <cellStyle name="20% - akcent 3 16 6" xfId="20970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3" xfId="7775"/>
    <cellStyle name="20% - akcent 3 160 4" xfId="14381"/>
    <cellStyle name="20% - akcent 3 160 5" xfId="20972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3" xfId="7776"/>
    <cellStyle name="20% - akcent 3 161 4" xfId="14382"/>
    <cellStyle name="20% - akcent 3 161 5" xfId="20973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3" xfId="7777"/>
    <cellStyle name="20% - akcent 3 162 4" xfId="14383"/>
    <cellStyle name="20% - akcent 3 162 5" xfId="20974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3" xfId="7778"/>
    <cellStyle name="20% - akcent 3 163 4" xfId="14384"/>
    <cellStyle name="20% - akcent 3 163 5" xfId="20975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3" xfId="7779"/>
    <cellStyle name="20% - akcent 3 164 4" xfId="14385"/>
    <cellStyle name="20% - akcent 3 164 5" xfId="20976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3" xfId="7780"/>
    <cellStyle name="20% - akcent 3 165 4" xfId="14386"/>
    <cellStyle name="20% - akcent 3 165 5" xfId="20977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3" xfId="7781"/>
    <cellStyle name="20% - akcent 3 166 4" xfId="14387"/>
    <cellStyle name="20% - akcent 3 166 5" xfId="20978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3" xfId="7782"/>
    <cellStyle name="20% - akcent 3 167 4" xfId="14388"/>
    <cellStyle name="20% - akcent 3 167 5" xfId="20979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3" xfId="7783"/>
    <cellStyle name="20% - akcent 3 168 4" xfId="14389"/>
    <cellStyle name="20% - akcent 3 168 5" xfId="20980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3" xfId="7784"/>
    <cellStyle name="20% - akcent 3 169 4" xfId="14390"/>
    <cellStyle name="20% - akcent 3 169 5" xfId="20981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3" xfId="7786"/>
    <cellStyle name="20% - akcent 3 17 2 4" xfId="14392"/>
    <cellStyle name="20% - akcent 3 17 2 5" xfId="20983"/>
    <cellStyle name="20% - akcent 3 17 3" xfId="4440"/>
    <cellStyle name="20% - akcent 3 17 3 2" xfId="11075"/>
    <cellStyle name="20% - akcent 3 17 3 3" xfId="17679"/>
    <cellStyle name="20% - akcent 3 17 3 4" xfId="24270"/>
    <cellStyle name="20% - akcent 3 17 4" xfId="7785"/>
    <cellStyle name="20% - akcent 3 17 5" xfId="14391"/>
    <cellStyle name="20% - akcent 3 17 6" xfId="20982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3" xfId="7787"/>
    <cellStyle name="20% - akcent 3 170 4" xfId="14393"/>
    <cellStyle name="20% - akcent 3 170 5" xfId="20984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3" xfId="7788"/>
    <cellStyle name="20% - akcent 3 171 4" xfId="14394"/>
    <cellStyle name="20% - akcent 3 171 5" xfId="20985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3" xfId="7789"/>
    <cellStyle name="20% - akcent 3 172 4" xfId="14395"/>
    <cellStyle name="20% - akcent 3 172 5" xfId="20986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3" xfId="7790"/>
    <cellStyle name="20% - akcent 3 173 4" xfId="14396"/>
    <cellStyle name="20% - akcent 3 173 5" xfId="20987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3" xfId="7791"/>
    <cellStyle name="20% - akcent 3 174 4" xfId="14397"/>
    <cellStyle name="20% - akcent 3 174 5" xfId="20988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3" xfId="7792"/>
    <cellStyle name="20% - akcent 3 175 4" xfId="14398"/>
    <cellStyle name="20% - akcent 3 175 5" xfId="20989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3" xfId="7793"/>
    <cellStyle name="20% - akcent 3 176 4" xfId="14399"/>
    <cellStyle name="20% - akcent 3 176 5" xfId="20990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3" xfId="7794"/>
    <cellStyle name="20% - akcent 3 177 4" xfId="14400"/>
    <cellStyle name="20% - akcent 3 177 5" xfId="20991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3" xfId="7795"/>
    <cellStyle name="20% - akcent 3 178 4" xfId="14401"/>
    <cellStyle name="20% - akcent 3 178 5" xfId="20992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3" xfId="7796"/>
    <cellStyle name="20% - akcent 3 179 4" xfId="14402"/>
    <cellStyle name="20% - akcent 3 179 5" xfId="20993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3" xfId="7798"/>
    <cellStyle name="20% - akcent 3 18 2 4" xfId="14404"/>
    <cellStyle name="20% - akcent 3 18 2 5" xfId="20995"/>
    <cellStyle name="20% - akcent 3 18 3" xfId="4452"/>
    <cellStyle name="20% - akcent 3 18 3 2" xfId="11087"/>
    <cellStyle name="20% - akcent 3 18 3 3" xfId="17691"/>
    <cellStyle name="20% - akcent 3 18 3 4" xfId="24282"/>
    <cellStyle name="20% - akcent 3 18 4" xfId="7797"/>
    <cellStyle name="20% - akcent 3 18 5" xfId="14403"/>
    <cellStyle name="20% - akcent 3 18 6" xfId="20994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3" xfId="7799"/>
    <cellStyle name="20% - akcent 3 180 4" xfId="14405"/>
    <cellStyle name="20% - akcent 3 180 5" xfId="20996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3" xfId="7800"/>
    <cellStyle name="20% - akcent 3 181 4" xfId="14406"/>
    <cellStyle name="20% - akcent 3 181 5" xfId="20997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3" xfId="7801"/>
    <cellStyle name="20% - akcent 3 182 4" xfId="14407"/>
    <cellStyle name="20% - akcent 3 182 5" xfId="20998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3" xfId="7802"/>
    <cellStyle name="20% - akcent 3 183 4" xfId="14408"/>
    <cellStyle name="20% - akcent 3 183 5" xfId="20999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3" xfId="7803"/>
    <cellStyle name="20% - akcent 3 184 4" xfId="14409"/>
    <cellStyle name="20% - akcent 3 184 5" xfId="21000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3" xfId="7804"/>
    <cellStyle name="20% - akcent 3 185 4" xfId="14410"/>
    <cellStyle name="20% - akcent 3 185 5" xfId="21001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3" xfId="7805"/>
    <cellStyle name="20% - akcent 3 186 4" xfId="14411"/>
    <cellStyle name="20% - akcent 3 186 5" xfId="21002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3" xfId="7806"/>
    <cellStyle name="20% - akcent 3 187 4" xfId="14412"/>
    <cellStyle name="20% - akcent 3 187 5" xfId="21003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3" xfId="7807"/>
    <cellStyle name="20% - akcent 3 188 4" xfId="14413"/>
    <cellStyle name="20% - akcent 3 188 5" xfId="21004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3" xfId="7808"/>
    <cellStyle name="20% - akcent 3 189 4" xfId="14414"/>
    <cellStyle name="20% - akcent 3 189 5" xfId="21005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3" xfId="7810"/>
    <cellStyle name="20% - akcent 3 19 2 4" xfId="14416"/>
    <cellStyle name="20% - akcent 3 19 2 5" xfId="21007"/>
    <cellStyle name="20% - akcent 3 19 3" xfId="4464"/>
    <cellStyle name="20% - akcent 3 19 3 2" xfId="11099"/>
    <cellStyle name="20% - akcent 3 19 3 3" xfId="17703"/>
    <cellStyle name="20% - akcent 3 19 3 4" xfId="24294"/>
    <cellStyle name="20% - akcent 3 19 4" xfId="7809"/>
    <cellStyle name="20% - akcent 3 19 5" xfId="14415"/>
    <cellStyle name="20% - akcent 3 19 6" xfId="21006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3" xfId="7811"/>
    <cellStyle name="20% - akcent 3 190 4" xfId="14417"/>
    <cellStyle name="20% - akcent 3 190 5" xfId="21008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3" xfId="7812"/>
    <cellStyle name="20% - akcent 3 191 4" xfId="14418"/>
    <cellStyle name="20% - akcent 3 191 5" xfId="21009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3" xfId="7813"/>
    <cellStyle name="20% - akcent 3 192 4" xfId="14419"/>
    <cellStyle name="20% - akcent 3 192 5" xfId="21010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3" xfId="7814"/>
    <cellStyle name="20% - akcent 3 193 4" xfId="14420"/>
    <cellStyle name="20% - akcent 3 193 5" xfId="21011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3" xfId="7815"/>
    <cellStyle name="20% - akcent 3 194 4" xfId="14421"/>
    <cellStyle name="20% - akcent 3 194 5" xfId="21012"/>
    <cellStyle name="20% - akcent 3 195" xfId="3841"/>
    <cellStyle name="20% - akcent 3 195 2" xfId="10476"/>
    <cellStyle name="20% - akcent 3 195 3" xfId="17080"/>
    <cellStyle name="20% - akcent 3 195 4" xfId="23671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3" xfId="7817"/>
    <cellStyle name="20% - akcent 3 2 2 4" xfId="14423"/>
    <cellStyle name="20% - akcent 3 2 2 5" xfId="21014"/>
    <cellStyle name="20% - akcent 3 2 3" xfId="4471"/>
    <cellStyle name="20% - akcent 3 2 3 2" xfId="11106"/>
    <cellStyle name="20% - akcent 3 2 3 3" xfId="17710"/>
    <cellStyle name="20% - akcent 3 2 3 4" xfId="24301"/>
    <cellStyle name="20% - akcent 3 2 4" xfId="7816"/>
    <cellStyle name="20% - akcent 3 2 5" xfId="14422"/>
    <cellStyle name="20% - akcent 3 2 6" xfId="21013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3" xfId="7819"/>
    <cellStyle name="20% - akcent 3 20 2 4" xfId="14425"/>
    <cellStyle name="20% - akcent 3 20 2 5" xfId="21016"/>
    <cellStyle name="20% - akcent 3 20 3" xfId="4473"/>
    <cellStyle name="20% - akcent 3 20 3 2" xfId="11108"/>
    <cellStyle name="20% - akcent 3 20 3 3" xfId="17712"/>
    <cellStyle name="20% - akcent 3 20 3 4" xfId="24303"/>
    <cellStyle name="20% - akcent 3 20 4" xfId="7818"/>
    <cellStyle name="20% - akcent 3 20 5" xfId="14424"/>
    <cellStyle name="20% - akcent 3 20 6" xfId="21015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3" xfId="7821"/>
    <cellStyle name="20% - akcent 3 21 2 4" xfId="14427"/>
    <cellStyle name="20% - akcent 3 21 2 5" xfId="21018"/>
    <cellStyle name="20% - akcent 3 21 3" xfId="4475"/>
    <cellStyle name="20% - akcent 3 21 3 2" xfId="11110"/>
    <cellStyle name="20% - akcent 3 21 3 3" xfId="17714"/>
    <cellStyle name="20% - akcent 3 21 3 4" xfId="24305"/>
    <cellStyle name="20% - akcent 3 21 4" xfId="7820"/>
    <cellStyle name="20% - akcent 3 21 5" xfId="14426"/>
    <cellStyle name="20% - akcent 3 21 6" xfId="21017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3" xfId="7823"/>
    <cellStyle name="20% - akcent 3 22 2 4" xfId="14429"/>
    <cellStyle name="20% - akcent 3 22 2 5" xfId="21020"/>
    <cellStyle name="20% - akcent 3 22 3" xfId="4477"/>
    <cellStyle name="20% - akcent 3 22 3 2" xfId="11112"/>
    <cellStyle name="20% - akcent 3 22 3 3" xfId="17716"/>
    <cellStyle name="20% - akcent 3 22 3 4" xfId="24307"/>
    <cellStyle name="20% - akcent 3 22 4" xfId="7822"/>
    <cellStyle name="20% - akcent 3 22 5" xfId="14428"/>
    <cellStyle name="20% - akcent 3 22 6" xfId="21019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3" xfId="7825"/>
    <cellStyle name="20% - akcent 3 23 2 4" xfId="14431"/>
    <cellStyle name="20% - akcent 3 23 2 5" xfId="21022"/>
    <cellStyle name="20% - akcent 3 23 3" xfId="4479"/>
    <cellStyle name="20% - akcent 3 23 3 2" xfId="11114"/>
    <cellStyle name="20% - akcent 3 23 3 3" xfId="17718"/>
    <cellStyle name="20% - akcent 3 23 3 4" xfId="24309"/>
    <cellStyle name="20% - akcent 3 23 4" xfId="7824"/>
    <cellStyle name="20% - akcent 3 23 5" xfId="14430"/>
    <cellStyle name="20% - akcent 3 23 6" xfId="21021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3" xfId="7827"/>
    <cellStyle name="20% - akcent 3 24 2 4" xfId="14433"/>
    <cellStyle name="20% - akcent 3 24 2 5" xfId="21024"/>
    <cellStyle name="20% - akcent 3 24 3" xfId="4481"/>
    <cellStyle name="20% - akcent 3 24 3 2" xfId="11116"/>
    <cellStyle name="20% - akcent 3 24 3 3" xfId="17720"/>
    <cellStyle name="20% - akcent 3 24 3 4" xfId="24311"/>
    <cellStyle name="20% - akcent 3 24 4" xfId="7826"/>
    <cellStyle name="20% - akcent 3 24 5" xfId="14432"/>
    <cellStyle name="20% - akcent 3 24 6" xfId="21023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3" xfId="7829"/>
    <cellStyle name="20% - akcent 3 25 2 4" xfId="14435"/>
    <cellStyle name="20% - akcent 3 25 2 5" xfId="21026"/>
    <cellStyle name="20% - akcent 3 25 3" xfId="4483"/>
    <cellStyle name="20% - akcent 3 25 3 2" xfId="11118"/>
    <cellStyle name="20% - akcent 3 25 3 3" xfId="17722"/>
    <cellStyle name="20% - akcent 3 25 3 4" xfId="24313"/>
    <cellStyle name="20% - akcent 3 25 4" xfId="7828"/>
    <cellStyle name="20% - akcent 3 25 5" xfId="14434"/>
    <cellStyle name="20% - akcent 3 25 6" xfId="21025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3" xfId="7831"/>
    <cellStyle name="20% - akcent 3 26 2 4" xfId="14437"/>
    <cellStyle name="20% - akcent 3 26 2 5" xfId="21028"/>
    <cellStyle name="20% - akcent 3 26 3" xfId="4485"/>
    <cellStyle name="20% - akcent 3 26 3 2" xfId="11120"/>
    <cellStyle name="20% - akcent 3 26 3 3" xfId="17724"/>
    <cellStyle name="20% - akcent 3 26 3 4" xfId="24315"/>
    <cellStyle name="20% - akcent 3 26 4" xfId="7830"/>
    <cellStyle name="20% - akcent 3 26 5" xfId="14436"/>
    <cellStyle name="20% - akcent 3 26 6" xfId="21027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3" xfId="7833"/>
    <cellStyle name="20% - akcent 3 27 2 4" xfId="14439"/>
    <cellStyle name="20% - akcent 3 27 2 5" xfId="21030"/>
    <cellStyle name="20% - akcent 3 27 3" xfId="4487"/>
    <cellStyle name="20% - akcent 3 27 3 2" xfId="11122"/>
    <cellStyle name="20% - akcent 3 27 3 3" xfId="17726"/>
    <cellStyle name="20% - akcent 3 27 3 4" xfId="24317"/>
    <cellStyle name="20% - akcent 3 27 4" xfId="7832"/>
    <cellStyle name="20% - akcent 3 27 5" xfId="14438"/>
    <cellStyle name="20% - akcent 3 27 6" xfId="21029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3" xfId="7835"/>
    <cellStyle name="20% - akcent 3 28 2 4" xfId="14441"/>
    <cellStyle name="20% - akcent 3 28 2 5" xfId="21032"/>
    <cellStyle name="20% - akcent 3 28 3" xfId="4489"/>
    <cellStyle name="20% - akcent 3 28 3 2" xfId="11124"/>
    <cellStyle name="20% - akcent 3 28 3 3" xfId="17728"/>
    <cellStyle name="20% - akcent 3 28 3 4" xfId="24319"/>
    <cellStyle name="20% - akcent 3 28 4" xfId="7834"/>
    <cellStyle name="20% - akcent 3 28 5" xfId="14440"/>
    <cellStyle name="20% - akcent 3 28 6" xfId="21031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3" xfId="7837"/>
    <cellStyle name="20% - akcent 3 29 2 4" xfId="14443"/>
    <cellStyle name="20% - akcent 3 29 2 5" xfId="21034"/>
    <cellStyle name="20% - akcent 3 29 3" xfId="4491"/>
    <cellStyle name="20% - akcent 3 29 3 2" xfId="11126"/>
    <cellStyle name="20% - akcent 3 29 3 3" xfId="17730"/>
    <cellStyle name="20% - akcent 3 29 3 4" xfId="24321"/>
    <cellStyle name="20% - akcent 3 29 4" xfId="7836"/>
    <cellStyle name="20% - akcent 3 29 5" xfId="14442"/>
    <cellStyle name="20% - akcent 3 29 6" xfId="21033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3" xfId="7839"/>
    <cellStyle name="20% - akcent 3 3 2 4" xfId="14445"/>
    <cellStyle name="20% - akcent 3 3 2 5" xfId="21036"/>
    <cellStyle name="20% - akcent 3 3 3" xfId="4493"/>
    <cellStyle name="20% - akcent 3 3 3 2" xfId="11128"/>
    <cellStyle name="20% - akcent 3 3 3 3" xfId="17732"/>
    <cellStyle name="20% - akcent 3 3 3 4" xfId="24323"/>
    <cellStyle name="20% - akcent 3 3 4" xfId="7838"/>
    <cellStyle name="20% - akcent 3 3 5" xfId="14444"/>
    <cellStyle name="20% - akcent 3 3 6" xfId="21035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3" xfId="7841"/>
    <cellStyle name="20% - akcent 3 30 2 4" xfId="14447"/>
    <cellStyle name="20% - akcent 3 30 2 5" xfId="21038"/>
    <cellStyle name="20% - akcent 3 30 3" xfId="4495"/>
    <cellStyle name="20% - akcent 3 30 3 2" xfId="11130"/>
    <cellStyle name="20% - akcent 3 30 3 3" xfId="17734"/>
    <cellStyle name="20% - akcent 3 30 3 4" xfId="24325"/>
    <cellStyle name="20% - akcent 3 30 4" xfId="7840"/>
    <cellStyle name="20% - akcent 3 30 5" xfId="14446"/>
    <cellStyle name="20% - akcent 3 30 6" xfId="21037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3" xfId="7843"/>
    <cellStyle name="20% - akcent 3 31 2 4" xfId="14449"/>
    <cellStyle name="20% - akcent 3 31 2 5" xfId="21040"/>
    <cellStyle name="20% - akcent 3 31 3" xfId="4497"/>
    <cellStyle name="20% - akcent 3 31 3 2" xfId="11132"/>
    <cellStyle name="20% - akcent 3 31 3 3" xfId="17736"/>
    <cellStyle name="20% - akcent 3 31 3 4" xfId="24327"/>
    <cellStyle name="20% - akcent 3 31 4" xfId="7842"/>
    <cellStyle name="20% - akcent 3 31 5" xfId="14448"/>
    <cellStyle name="20% - akcent 3 31 6" xfId="21039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3" xfId="7845"/>
    <cellStyle name="20% - akcent 3 32 2 4" xfId="14451"/>
    <cellStyle name="20% - akcent 3 32 2 5" xfId="21042"/>
    <cellStyle name="20% - akcent 3 32 3" xfId="4499"/>
    <cellStyle name="20% - akcent 3 32 3 2" xfId="11134"/>
    <cellStyle name="20% - akcent 3 32 3 3" xfId="17738"/>
    <cellStyle name="20% - akcent 3 32 3 4" xfId="24329"/>
    <cellStyle name="20% - akcent 3 32 4" xfId="7844"/>
    <cellStyle name="20% - akcent 3 32 5" xfId="14450"/>
    <cellStyle name="20% - akcent 3 32 6" xfId="21041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3" xfId="7847"/>
    <cellStyle name="20% - akcent 3 33 2 4" xfId="14453"/>
    <cellStyle name="20% - akcent 3 33 2 5" xfId="21044"/>
    <cellStyle name="20% - akcent 3 33 3" xfId="4501"/>
    <cellStyle name="20% - akcent 3 33 3 2" xfId="11136"/>
    <cellStyle name="20% - akcent 3 33 3 3" xfId="17740"/>
    <cellStyle name="20% - akcent 3 33 3 4" xfId="24331"/>
    <cellStyle name="20% - akcent 3 33 4" xfId="7846"/>
    <cellStyle name="20% - akcent 3 33 5" xfId="14452"/>
    <cellStyle name="20% - akcent 3 33 6" xfId="21043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3" xfId="7849"/>
    <cellStyle name="20% - akcent 3 34 2 4" xfId="14455"/>
    <cellStyle name="20% - akcent 3 34 2 5" xfId="21046"/>
    <cellStyle name="20% - akcent 3 34 3" xfId="4503"/>
    <cellStyle name="20% - akcent 3 34 3 2" xfId="11138"/>
    <cellStyle name="20% - akcent 3 34 3 3" xfId="17742"/>
    <cellStyle name="20% - akcent 3 34 3 4" xfId="24333"/>
    <cellStyle name="20% - akcent 3 34 4" xfId="7848"/>
    <cellStyle name="20% - akcent 3 34 5" xfId="14454"/>
    <cellStyle name="20% - akcent 3 34 6" xfId="21045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3" xfId="7851"/>
    <cellStyle name="20% - akcent 3 35 2 4" xfId="14457"/>
    <cellStyle name="20% - akcent 3 35 2 5" xfId="21048"/>
    <cellStyle name="20% - akcent 3 35 3" xfId="4505"/>
    <cellStyle name="20% - akcent 3 35 3 2" xfId="11140"/>
    <cellStyle name="20% - akcent 3 35 3 3" xfId="17744"/>
    <cellStyle name="20% - akcent 3 35 3 4" xfId="24335"/>
    <cellStyle name="20% - akcent 3 35 4" xfId="7850"/>
    <cellStyle name="20% - akcent 3 35 5" xfId="14456"/>
    <cellStyle name="20% - akcent 3 35 6" xfId="21047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3" xfId="7853"/>
    <cellStyle name="20% - akcent 3 36 2 4" xfId="14459"/>
    <cellStyle name="20% - akcent 3 36 2 5" xfId="21050"/>
    <cellStyle name="20% - akcent 3 36 3" xfId="4507"/>
    <cellStyle name="20% - akcent 3 36 3 2" xfId="11142"/>
    <cellStyle name="20% - akcent 3 36 3 3" xfId="17746"/>
    <cellStyle name="20% - akcent 3 36 3 4" xfId="24337"/>
    <cellStyle name="20% - akcent 3 36 4" xfId="7852"/>
    <cellStyle name="20% - akcent 3 36 5" xfId="14458"/>
    <cellStyle name="20% - akcent 3 36 6" xfId="21049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3" xfId="7855"/>
    <cellStyle name="20% - akcent 3 37 2 4" xfId="14461"/>
    <cellStyle name="20% - akcent 3 37 2 5" xfId="21052"/>
    <cellStyle name="20% - akcent 3 37 3" xfId="4509"/>
    <cellStyle name="20% - akcent 3 37 3 2" xfId="11144"/>
    <cellStyle name="20% - akcent 3 37 3 3" xfId="17748"/>
    <cellStyle name="20% - akcent 3 37 3 4" xfId="24339"/>
    <cellStyle name="20% - akcent 3 37 4" xfId="7854"/>
    <cellStyle name="20% - akcent 3 37 5" xfId="14460"/>
    <cellStyle name="20% - akcent 3 37 6" xfId="21051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3" xfId="7857"/>
    <cellStyle name="20% - akcent 3 38 2 4" xfId="14463"/>
    <cellStyle name="20% - akcent 3 38 2 5" xfId="21054"/>
    <cellStyle name="20% - akcent 3 38 3" xfId="4511"/>
    <cellStyle name="20% - akcent 3 38 3 2" xfId="11146"/>
    <cellStyle name="20% - akcent 3 38 3 3" xfId="17750"/>
    <cellStyle name="20% - akcent 3 38 3 4" xfId="24341"/>
    <cellStyle name="20% - akcent 3 38 4" xfId="7856"/>
    <cellStyle name="20% - akcent 3 38 5" xfId="14462"/>
    <cellStyle name="20% - akcent 3 38 6" xfId="21053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3" xfId="7859"/>
    <cellStyle name="20% - akcent 3 39 2 4" xfId="14465"/>
    <cellStyle name="20% - akcent 3 39 2 5" xfId="21056"/>
    <cellStyle name="20% - akcent 3 39 3" xfId="4513"/>
    <cellStyle name="20% - akcent 3 39 3 2" xfId="11148"/>
    <cellStyle name="20% - akcent 3 39 3 3" xfId="17752"/>
    <cellStyle name="20% - akcent 3 39 3 4" xfId="24343"/>
    <cellStyle name="20% - akcent 3 39 4" xfId="7858"/>
    <cellStyle name="20% - akcent 3 39 5" xfId="14464"/>
    <cellStyle name="20% - akcent 3 39 6" xfId="21055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3" xfId="7861"/>
    <cellStyle name="20% - akcent 3 4 2 4" xfId="14467"/>
    <cellStyle name="20% - akcent 3 4 2 5" xfId="21058"/>
    <cellStyle name="20% - akcent 3 4 3" xfId="4515"/>
    <cellStyle name="20% - akcent 3 4 3 2" xfId="11150"/>
    <cellStyle name="20% - akcent 3 4 3 3" xfId="17754"/>
    <cellStyle name="20% - akcent 3 4 3 4" xfId="24345"/>
    <cellStyle name="20% - akcent 3 4 4" xfId="7860"/>
    <cellStyle name="20% - akcent 3 4 5" xfId="14466"/>
    <cellStyle name="20% - akcent 3 4 6" xfId="21057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3" xfId="7863"/>
    <cellStyle name="20% - akcent 3 40 2 4" xfId="14469"/>
    <cellStyle name="20% - akcent 3 40 2 5" xfId="21060"/>
    <cellStyle name="20% - akcent 3 40 3" xfId="4517"/>
    <cellStyle name="20% - akcent 3 40 3 2" xfId="11152"/>
    <cellStyle name="20% - akcent 3 40 3 3" xfId="17756"/>
    <cellStyle name="20% - akcent 3 40 3 4" xfId="24347"/>
    <cellStyle name="20% - akcent 3 40 4" xfId="7862"/>
    <cellStyle name="20% - akcent 3 40 5" xfId="14468"/>
    <cellStyle name="20% - akcent 3 40 6" xfId="21059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3" xfId="7865"/>
    <cellStyle name="20% - akcent 3 41 2 4" xfId="14471"/>
    <cellStyle name="20% - akcent 3 41 2 5" xfId="21062"/>
    <cellStyle name="20% - akcent 3 41 3" xfId="4519"/>
    <cellStyle name="20% - akcent 3 41 3 2" xfId="11154"/>
    <cellStyle name="20% - akcent 3 41 3 3" xfId="17758"/>
    <cellStyle name="20% - akcent 3 41 3 4" xfId="24349"/>
    <cellStyle name="20% - akcent 3 41 4" xfId="7864"/>
    <cellStyle name="20% - akcent 3 41 5" xfId="14470"/>
    <cellStyle name="20% - akcent 3 41 6" xfId="21061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3" xfId="7867"/>
    <cellStyle name="20% - akcent 3 42 2 4" xfId="14473"/>
    <cellStyle name="20% - akcent 3 42 2 5" xfId="21064"/>
    <cellStyle name="20% - akcent 3 42 3" xfId="4521"/>
    <cellStyle name="20% - akcent 3 42 3 2" xfId="11156"/>
    <cellStyle name="20% - akcent 3 42 3 3" xfId="17760"/>
    <cellStyle name="20% - akcent 3 42 3 4" xfId="24351"/>
    <cellStyle name="20% - akcent 3 42 4" xfId="7866"/>
    <cellStyle name="20% - akcent 3 42 5" xfId="14472"/>
    <cellStyle name="20% - akcent 3 42 6" xfId="21063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3" xfId="7869"/>
    <cellStyle name="20% - akcent 3 43 2 4" xfId="14475"/>
    <cellStyle name="20% - akcent 3 43 2 5" xfId="21066"/>
    <cellStyle name="20% - akcent 3 43 3" xfId="4523"/>
    <cellStyle name="20% - akcent 3 43 3 2" xfId="11158"/>
    <cellStyle name="20% - akcent 3 43 3 3" xfId="17762"/>
    <cellStyle name="20% - akcent 3 43 3 4" xfId="24353"/>
    <cellStyle name="20% - akcent 3 43 4" xfId="7868"/>
    <cellStyle name="20% - akcent 3 43 5" xfId="14474"/>
    <cellStyle name="20% - akcent 3 43 6" xfId="21065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3" xfId="7871"/>
    <cellStyle name="20% - akcent 3 44 2 4" xfId="14477"/>
    <cellStyle name="20% - akcent 3 44 2 5" xfId="21068"/>
    <cellStyle name="20% - akcent 3 44 3" xfId="4525"/>
    <cellStyle name="20% - akcent 3 44 3 2" xfId="11160"/>
    <cellStyle name="20% - akcent 3 44 3 3" xfId="17764"/>
    <cellStyle name="20% - akcent 3 44 3 4" xfId="24355"/>
    <cellStyle name="20% - akcent 3 44 4" xfId="7870"/>
    <cellStyle name="20% - akcent 3 44 5" xfId="14476"/>
    <cellStyle name="20% - akcent 3 44 6" xfId="21067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3" xfId="7873"/>
    <cellStyle name="20% - akcent 3 45 2 4" xfId="14479"/>
    <cellStyle name="20% - akcent 3 45 2 5" xfId="21070"/>
    <cellStyle name="20% - akcent 3 45 3" xfId="4527"/>
    <cellStyle name="20% - akcent 3 45 3 2" xfId="11162"/>
    <cellStyle name="20% - akcent 3 45 3 3" xfId="17766"/>
    <cellStyle name="20% - akcent 3 45 3 4" xfId="24357"/>
    <cellStyle name="20% - akcent 3 45 4" xfId="7872"/>
    <cellStyle name="20% - akcent 3 45 5" xfId="14478"/>
    <cellStyle name="20% - akcent 3 45 6" xfId="21069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3" xfId="7875"/>
    <cellStyle name="20% - akcent 3 46 2 4" xfId="14481"/>
    <cellStyle name="20% - akcent 3 46 2 5" xfId="21072"/>
    <cellStyle name="20% - akcent 3 46 3" xfId="4529"/>
    <cellStyle name="20% - akcent 3 46 3 2" xfId="11164"/>
    <cellStyle name="20% - akcent 3 46 3 3" xfId="17768"/>
    <cellStyle name="20% - akcent 3 46 3 4" xfId="24359"/>
    <cellStyle name="20% - akcent 3 46 4" xfId="7874"/>
    <cellStyle name="20% - akcent 3 46 5" xfId="14480"/>
    <cellStyle name="20% - akcent 3 46 6" xfId="21071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3" xfId="7877"/>
    <cellStyle name="20% - akcent 3 47 2 4" xfId="14483"/>
    <cellStyle name="20% - akcent 3 47 2 5" xfId="21074"/>
    <cellStyle name="20% - akcent 3 47 3" xfId="4531"/>
    <cellStyle name="20% - akcent 3 47 3 2" xfId="11166"/>
    <cellStyle name="20% - akcent 3 47 3 3" xfId="17770"/>
    <cellStyle name="20% - akcent 3 47 3 4" xfId="24361"/>
    <cellStyle name="20% - akcent 3 47 4" xfId="7876"/>
    <cellStyle name="20% - akcent 3 47 5" xfId="14482"/>
    <cellStyle name="20% - akcent 3 47 6" xfId="21073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3" xfId="7879"/>
    <cellStyle name="20% - akcent 3 48 2 4" xfId="14485"/>
    <cellStyle name="20% - akcent 3 48 2 5" xfId="21076"/>
    <cellStyle name="20% - akcent 3 48 3" xfId="4533"/>
    <cellStyle name="20% - akcent 3 48 3 2" xfId="11168"/>
    <cellStyle name="20% - akcent 3 48 3 3" xfId="17772"/>
    <cellStyle name="20% - akcent 3 48 3 4" xfId="24363"/>
    <cellStyle name="20% - akcent 3 48 4" xfId="7878"/>
    <cellStyle name="20% - akcent 3 48 5" xfId="14484"/>
    <cellStyle name="20% - akcent 3 48 6" xfId="21075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3" xfId="7881"/>
    <cellStyle name="20% - akcent 3 49 2 4" xfId="14487"/>
    <cellStyle name="20% - akcent 3 49 2 5" xfId="21078"/>
    <cellStyle name="20% - akcent 3 49 3" xfId="4535"/>
    <cellStyle name="20% - akcent 3 49 3 2" xfId="11170"/>
    <cellStyle name="20% - akcent 3 49 3 3" xfId="17774"/>
    <cellStyle name="20% - akcent 3 49 3 4" xfId="24365"/>
    <cellStyle name="20% - akcent 3 49 4" xfId="7880"/>
    <cellStyle name="20% - akcent 3 49 5" xfId="14486"/>
    <cellStyle name="20% - akcent 3 49 6" xfId="21077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3" xfId="7883"/>
    <cellStyle name="20% - akcent 3 5 2 4" xfId="14489"/>
    <cellStyle name="20% - akcent 3 5 2 5" xfId="21080"/>
    <cellStyle name="20% - akcent 3 5 3" xfId="4537"/>
    <cellStyle name="20% - akcent 3 5 3 2" xfId="11172"/>
    <cellStyle name="20% - akcent 3 5 3 3" xfId="17776"/>
    <cellStyle name="20% - akcent 3 5 3 4" xfId="24367"/>
    <cellStyle name="20% - akcent 3 5 4" xfId="7882"/>
    <cellStyle name="20% - akcent 3 5 5" xfId="14488"/>
    <cellStyle name="20% - akcent 3 5 6" xfId="21079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3" xfId="7885"/>
    <cellStyle name="20% - akcent 3 50 2 4" xfId="14491"/>
    <cellStyle name="20% - akcent 3 50 2 5" xfId="21082"/>
    <cellStyle name="20% - akcent 3 50 3" xfId="4539"/>
    <cellStyle name="20% - akcent 3 50 3 2" xfId="11174"/>
    <cellStyle name="20% - akcent 3 50 3 3" xfId="17778"/>
    <cellStyle name="20% - akcent 3 50 3 4" xfId="24369"/>
    <cellStyle name="20% - akcent 3 50 4" xfId="7884"/>
    <cellStyle name="20% - akcent 3 50 5" xfId="14490"/>
    <cellStyle name="20% - akcent 3 50 6" xfId="21081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3" xfId="7887"/>
    <cellStyle name="20% - akcent 3 51 2 4" xfId="14493"/>
    <cellStyle name="20% - akcent 3 51 2 5" xfId="21084"/>
    <cellStyle name="20% - akcent 3 51 3" xfId="4541"/>
    <cellStyle name="20% - akcent 3 51 3 2" xfId="11176"/>
    <cellStyle name="20% - akcent 3 51 3 3" xfId="17780"/>
    <cellStyle name="20% - akcent 3 51 3 4" xfId="24371"/>
    <cellStyle name="20% - akcent 3 51 4" xfId="7886"/>
    <cellStyle name="20% - akcent 3 51 5" xfId="14492"/>
    <cellStyle name="20% - akcent 3 51 6" xfId="21083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3" xfId="7889"/>
    <cellStyle name="20% - akcent 3 52 2 4" xfId="14495"/>
    <cellStyle name="20% - akcent 3 52 2 5" xfId="21086"/>
    <cellStyle name="20% - akcent 3 52 3" xfId="4543"/>
    <cellStyle name="20% - akcent 3 52 3 2" xfId="11178"/>
    <cellStyle name="20% - akcent 3 52 3 3" xfId="17782"/>
    <cellStyle name="20% - akcent 3 52 3 4" xfId="24373"/>
    <cellStyle name="20% - akcent 3 52 4" xfId="7888"/>
    <cellStyle name="20% - akcent 3 52 5" xfId="14494"/>
    <cellStyle name="20% - akcent 3 52 6" xfId="21085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3" xfId="7891"/>
    <cellStyle name="20% - akcent 3 53 2 4" xfId="14497"/>
    <cellStyle name="20% - akcent 3 53 2 5" xfId="21088"/>
    <cellStyle name="20% - akcent 3 53 3" xfId="4545"/>
    <cellStyle name="20% - akcent 3 53 3 2" xfId="11180"/>
    <cellStyle name="20% - akcent 3 53 3 3" xfId="17784"/>
    <cellStyle name="20% - akcent 3 53 3 4" xfId="24375"/>
    <cellStyle name="20% - akcent 3 53 4" xfId="7890"/>
    <cellStyle name="20% - akcent 3 53 5" xfId="14496"/>
    <cellStyle name="20% - akcent 3 53 6" xfId="21087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3" xfId="7893"/>
    <cellStyle name="20% - akcent 3 54 2 4" xfId="14499"/>
    <cellStyle name="20% - akcent 3 54 2 5" xfId="21090"/>
    <cellStyle name="20% - akcent 3 54 3" xfId="4547"/>
    <cellStyle name="20% - akcent 3 54 3 2" xfId="11182"/>
    <cellStyle name="20% - akcent 3 54 3 3" xfId="17786"/>
    <cellStyle name="20% - akcent 3 54 3 4" xfId="24377"/>
    <cellStyle name="20% - akcent 3 54 4" xfId="7892"/>
    <cellStyle name="20% - akcent 3 54 5" xfId="14498"/>
    <cellStyle name="20% - akcent 3 54 6" xfId="21089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3" xfId="7895"/>
    <cellStyle name="20% - akcent 3 55 2 4" xfId="14501"/>
    <cellStyle name="20% - akcent 3 55 2 5" xfId="21092"/>
    <cellStyle name="20% - akcent 3 55 3" xfId="4549"/>
    <cellStyle name="20% - akcent 3 55 3 2" xfId="11184"/>
    <cellStyle name="20% - akcent 3 55 3 3" xfId="17788"/>
    <cellStyle name="20% - akcent 3 55 3 4" xfId="24379"/>
    <cellStyle name="20% - akcent 3 55 4" xfId="7894"/>
    <cellStyle name="20% - akcent 3 55 5" xfId="14500"/>
    <cellStyle name="20% - akcent 3 55 6" xfId="21091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3" xfId="7897"/>
    <cellStyle name="20% - akcent 3 56 2 4" xfId="14503"/>
    <cellStyle name="20% - akcent 3 56 2 5" xfId="21094"/>
    <cellStyle name="20% - akcent 3 56 3" xfId="4551"/>
    <cellStyle name="20% - akcent 3 56 3 2" xfId="11186"/>
    <cellStyle name="20% - akcent 3 56 3 3" xfId="17790"/>
    <cellStyle name="20% - akcent 3 56 3 4" xfId="24381"/>
    <cellStyle name="20% - akcent 3 56 4" xfId="7896"/>
    <cellStyle name="20% - akcent 3 56 5" xfId="14502"/>
    <cellStyle name="20% - akcent 3 56 6" xfId="21093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3" xfId="7899"/>
    <cellStyle name="20% - akcent 3 57 2 4" xfId="14505"/>
    <cellStyle name="20% - akcent 3 57 2 5" xfId="21096"/>
    <cellStyle name="20% - akcent 3 57 3" xfId="4553"/>
    <cellStyle name="20% - akcent 3 57 3 2" xfId="11188"/>
    <cellStyle name="20% - akcent 3 57 3 3" xfId="17792"/>
    <cellStyle name="20% - akcent 3 57 3 4" xfId="24383"/>
    <cellStyle name="20% - akcent 3 57 4" xfId="7898"/>
    <cellStyle name="20% - akcent 3 57 5" xfId="14504"/>
    <cellStyle name="20% - akcent 3 57 6" xfId="21095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3" xfId="7901"/>
    <cellStyle name="20% - akcent 3 58 2 4" xfId="14507"/>
    <cellStyle name="20% - akcent 3 58 2 5" xfId="21098"/>
    <cellStyle name="20% - akcent 3 58 3" xfId="4555"/>
    <cellStyle name="20% - akcent 3 58 3 2" xfId="11190"/>
    <cellStyle name="20% - akcent 3 58 3 3" xfId="17794"/>
    <cellStyle name="20% - akcent 3 58 3 4" xfId="24385"/>
    <cellStyle name="20% - akcent 3 58 4" xfId="7900"/>
    <cellStyle name="20% - akcent 3 58 5" xfId="14506"/>
    <cellStyle name="20% - akcent 3 58 6" xfId="21097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3" xfId="7903"/>
    <cellStyle name="20% - akcent 3 59 2 4" xfId="14509"/>
    <cellStyle name="20% - akcent 3 59 2 5" xfId="21100"/>
    <cellStyle name="20% - akcent 3 59 3" xfId="4557"/>
    <cellStyle name="20% - akcent 3 59 3 2" xfId="11192"/>
    <cellStyle name="20% - akcent 3 59 3 3" xfId="17796"/>
    <cellStyle name="20% - akcent 3 59 3 4" xfId="24387"/>
    <cellStyle name="20% - akcent 3 59 4" xfId="7902"/>
    <cellStyle name="20% - akcent 3 59 5" xfId="14508"/>
    <cellStyle name="20% - akcent 3 59 6" xfId="21099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3" xfId="7905"/>
    <cellStyle name="20% - akcent 3 6 2 4" xfId="14511"/>
    <cellStyle name="20% - akcent 3 6 2 5" xfId="21102"/>
    <cellStyle name="20% - akcent 3 6 3" xfId="4559"/>
    <cellStyle name="20% - akcent 3 6 3 2" xfId="11194"/>
    <cellStyle name="20% - akcent 3 6 3 3" xfId="17798"/>
    <cellStyle name="20% - akcent 3 6 3 4" xfId="24389"/>
    <cellStyle name="20% - akcent 3 6 4" xfId="7904"/>
    <cellStyle name="20% - akcent 3 6 5" xfId="14510"/>
    <cellStyle name="20% - akcent 3 6 6" xfId="21101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3" xfId="7906"/>
    <cellStyle name="20% - akcent 3 60 4" xfId="14512"/>
    <cellStyle name="20% - akcent 3 60 5" xfId="21103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3" xfId="7907"/>
    <cellStyle name="20% - akcent 3 61 4" xfId="14513"/>
    <cellStyle name="20% - akcent 3 61 5" xfId="21104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3" xfId="7908"/>
    <cellStyle name="20% - akcent 3 62 4" xfId="14514"/>
    <cellStyle name="20% - akcent 3 62 5" xfId="21105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3" xfId="7909"/>
    <cellStyle name="20% - akcent 3 63 4" xfId="14515"/>
    <cellStyle name="20% - akcent 3 63 5" xfId="21106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3" xfId="7910"/>
    <cellStyle name="20% - akcent 3 64 4" xfId="14516"/>
    <cellStyle name="20% - akcent 3 64 5" xfId="21107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3" xfId="7911"/>
    <cellStyle name="20% - akcent 3 65 4" xfId="14517"/>
    <cellStyle name="20% - akcent 3 65 5" xfId="21108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3" xfId="7912"/>
    <cellStyle name="20% - akcent 3 66 4" xfId="14518"/>
    <cellStyle name="20% - akcent 3 66 5" xfId="21109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3" xfId="7913"/>
    <cellStyle name="20% - akcent 3 67 4" xfId="14519"/>
    <cellStyle name="20% - akcent 3 67 5" xfId="21110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3" xfId="7914"/>
    <cellStyle name="20% - akcent 3 68 4" xfId="14520"/>
    <cellStyle name="20% - akcent 3 68 5" xfId="21111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3" xfId="7915"/>
    <cellStyle name="20% - akcent 3 69 4" xfId="14521"/>
    <cellStyle name="20% - akcent 3 69 5" xfId="21112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3" xfId="7917"/>
    <cellStyle name="20% - akcent 3 7 2 4" xfId="14523"/>
    <cellStyle name="20% - akcent 3 7 2 5" xfId="21114"/>
    <cellStyle name="20% - akcent 3 7 3" xfId="4571"/>
    <cellStyle name="20% - akcent 3 7 3 2" xfId="11206"/>
    <cellStyle name="20% - akcent 3 7 3 3" xfId="17810"/>
    <cellStyle name="20% - akcent 3 7 3 4" xfId="24401"/>
    <cellStyle name="20% - akcent 3 7 4" xfId="7916"/>
    <cellStyle name="20% - akcent 3 7 5" xfId="14522"/>
    <cellStyle name="20% - akcent 3 7 6" xfId="21113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3" xfId="7918"/>
    <cellStyle name="20% - akcent 3 70 4" xfId="14524"/>
    <cellStyle name="20% - akcent 3 70 5" xfId="21115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3" xfId="7919"/>
    <cellStyle name="20% - akcent 3 71 4" xfId="14525"/>
    <cellStyle name="20% - akcent 3 71 5" xfId="21116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3" xfId="7920"/>
    <cellStyle name="20% - akcent 3 72 4" xfId="14526"/>
    <cellStyle name="20% - akcent 3 72 5" xfId="21117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3" xfId="7921"/>
    <cellStyle name="20% - akcent 3 73 4" xfId="14527"/>
    <cellStyle name="20% - akcent 3 73 5" xfId="21118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3" xfId="7922"/>
    <cellStyle name="20% - akcent 3 74 4" xfId="14528"/>
    <cellStyle name="20% - akcent 3 74 5" xfId="21119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3" xfId="7923"/>
    <cellStyle name="20% - akcent 3 75 4" xfId="14529"/>
    <cellStyle name="20% - akcent 3 75 5" xfId="21120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3" xfId="7924"/>
    <cellStyle name="20% - akcent 3 76 4" xfId="14530"/>
    <cellStyle name="20% - akcent 3 76 5" xfId="21121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3" xfId="7925"/>
    <cellStyle name="20% - akcent 3 77 4" xfId="14531"/>
    <cellStyle name="20% - akcent 3 77 5" xfId="21122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3" xfId="7926"/>
    <cellStyle name="20% - akcent 3 78 4" xfId="14532"/>
    <cellStyle name="20% - akcent 3 78 5" xfId="21123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3" xfId="7927"/>
    <cellStyle name="20% - akcent 3 79 4" xfId="14533"/>
    <cellStyle name="20% - akcent 3 79 5" xfId="21124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3" xfId="7929"/>
    <cellStyle name="20% - akcent 3 8 2 4" xfId="14535"/>
    <cellStyle name="20% - akcent 3 8 2 5" xfId="21126"/>
    <cellStyle name="20% - akcent 3 8 3" xfId="4583"/>
    <cellStyle name="20% - akcent 3 8 3 2" xfId="11218"/>
    <cellStyle name="20% - akcent 3 8 3 3" xfId="17822"/>
    <cellStyle name="20% - akcent 3 8 3 4" xfId="24413"/>
    <cellStyle name="20% - akcent 3 8 4" xfId="7928"/>
    <cellStyle name="20% - akcent 3 8 5" xfId="14534"/>
    <cellStyle name="20% - akcent 3 8 6" xfId="21125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3" xfId="7930"/>
    <cellStyle name="20% - akcent 3 80 4" xfId="14536"/>
    <cellStyle name="20% - akcent 3 80 5" xfId="21127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3" xfId="7931"/>
    <cellStyle name="20% - akcent 3 81 4" xfId="14537"/>
    <cellStyle name="20% - akcent 3 81 5" xfId="21128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3" xfId="7932"/>
    <cellStyle name="20% - akcent 3 82 4" xfId="14538"/>
    <cellStyle name="20% - akcent 3 82 5" xfId="21129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3" xfId="7933"/>
    <cellStyle name="20% - akcent 3 83 4" xfId="14539"/>
    <cellStyle name="20% - akcent 3 83 5" xfId="21130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3" xfId="7934"/>
    <cellStyle name="20% - akcent 3 84 4" xfId="14540"/>
    <cellStyle name="20% - akcent 3 84 5" xfId="21131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3" xfId="7935"/>
    <cellStyle name="20% - akcent 3 85 4" xfId="14541"/>
    <cellStyle name="20% - akcent 3 85 5" xfId="21132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3" xfId="7936"/>
    <cellStyle name="20% - akcent 3 86 4" xfId="14542"/>
    <cellStyle name="20% - akcent 3 86 5" xfId="21133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3" xfId="7937"/>
    <cellStyle name="20% - akcent 3 87 4" xfId="14543"/>
    <cellStyle name="20% - akcent 3 87 5" xfId="21134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3" xfId="7938"/>
    <cellStyle name="20% - akcent 3 88 4" xfId="14544"/>
    <cellStyle name="20% - akcent 3 88 5" xfId="21135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3" xfId="7939"/>
    <cellStyle name="20% - akcent 3 89 4" xfId="14545"/>
    <cellStyle name="20% - akcent 3 89 5" xfId="21136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3" xfId="7941"/>
    <cellStyle name="20% - akcent 3 9 2 4" xfId="14547"/>
    <cellStyle name="20% - akcent 3 9 2 5" xfId="21138"/>
    <cellStyle name="20% - akcent 3 9 3" xfId="4595"/>
    <cellStyle name="20% - akcent 3 9 3 2" xfId="11230"/>
    <cellStyle name="20% - akcent 3 9 3 3" xfId="17834"/>
    <cellStyle name="20% - akcent 3 9 3 4" xfId="24425"/>
    <cellStyle name="20% - akcent 3 9 4" xfId="7940"/>
    <cellStyle name="20% - akcent 3 9 5" xfId="14546"/>
    <cellStyle name="20% - akcent 3 9 6" xfId="21137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3" xfId="7942"/>
    <cellStyle name="20% - akcent 3 90 4" xfId="14548"/>
    <cellStyle name="20% - akcent 3 90 5" xfId="21139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3" xfId="7943"/>
    <cellStyle name="20% - akcent 3 91 4" xfId="14549"/>
    <cellStyle name="20% - akcent 3 91 5" xfId="21140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3" xfId="7944"/>
    <cellStyle name="20% - akcent 3 92 4" xfId="14550"/>
    <cellStyle name="20% - akcent 3 92 5" xfId="21141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3" xfId="7945"/>
    <cellStyle name="20% - akcent 3 93 4" xfId="14551"/>
    <cellStyle name="20% - akcent 3 93 5" xfId="21142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3" xfId="7946"/>
    <cellStyle name="20% - akcent 3 94 4" xfId="14552"/>
    <cellStyle name="20% - akcent 3 94 5" xfId="21143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3" xfId="7947"/>
    <cellStyle name="20% - akcent 3 95 4" xfId="14553"/>
    <cellStyle name="20% - akcent 3 95 5" xfId="21144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3" xfId="7948"/>
    <cellStyle name="20% - akcent 3 96 4" xfId="14554"/>
    <cellStyle name="20% - akcent 3 96 5" xfId="21145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3" xfId="7949"/>
    <cellStyle name="20% - akcent 3 97 4" xfId="14555"/>
    <cellStyle name="20% - akcent 3 97 5" xfId="21146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3" xfId="7950"/>
    <cellStyle name="20% - akcent 3 98 4" xfId="14556"/>
    <cellStyle name="20% - akcent 3 98 5" xfId="21147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3" xfId="7951"/>
    <cellStyle name="20% - akcent 3 99 4" xfId="14557"/>
    <cellStyle name="20% - akcent 3 99 5" xfId="21148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3" xfId="7953"/>
    <cellStyle name="20% - akcent 4 10 2 4" xfId="14559"/>
    <cellStyle name="20% - akcent 4 10 2 5" xfId="21150"/>
    <cellStyle name="20% - akcent 4 10 3" xfId="4607"/>
    <cellStyle name="20% - akcent 4 10 3 2" xfId="11242"/>
    <cellStyle name="20% - akcent 4 10 3 3" xfId="17846"/>
    <cellStyle name="20% - akcent 4 10 3 4" xfId="24437"/>
    <cellStyle name="20% - akcent 4 10 4" xfId="7952"/>
    <cellStyle name="20% - akcent 4 10 5" xfId="14558"/>
    <cellStyle name="20% - akcent 4 10 6" xfId="21149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3" xfId="7954"/>
    <cellStyle name="20% - akcent 4 100 4" xfId="14560"/>
    <cellStyle name="20% - akcent 4 100 5" xfId="21151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3" xfId="7955"/>
    <cellStyle name="20% - akcent 4 101 4" xfId="14561"/>
    <cellStyle name="20% - akcent 4 101 5" xfId="21152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3" xfId="7956"/>
    <cellStyle name="20% - akcent 4 102 4" xfId="14562"/>
    <cellStyle name="20% - akcent 4 102 5" xfId="21153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3" xfId="7957"/>
    <cellStyle name="20% - akcent 4 103 4" xfId="14563"/>
    <cellStyle name="20% - akcent 4 103 5" xfId="21154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3" xfId="7958"/>
    <cellStyle name="20% - akcent 4 104 4" xfId="14564"/>
    <cellStyle name="20% - akcent 4 104 5" xfId="21155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3" xfId="7959"/>
    <cellStyle name="20% - akcent 4 105 4" xfId="14565"/>
    <cellStyle name="20% - akcent 4 105 5" xfId="21156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3" xfId="7960"/>
    <cellStyle name="20% - akcent 4 106 4" xfId="14566"/>
    <cellStyle name="20% - akcent 4 106 5" xfId="21157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3" xfId="7961"/>
    <cellStyle name="20% - akcent 4 107 4" xfId="14567"/>
    <cellStyle name="20% - akcent 4 107 5" xfId="21158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3" xfId="7962"/>
    <cellStyle name="20% - akcent 4 108 4" xfId="14568"/>
    <cellStyle name="20% - akcent 4 108 5" xfId="21159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3" xfId="7963"/>
    <cellStyle name="20% - akcent 4 109 4" xfId="14569"/>
    <cellStyle name="20% - akcent 4 109 5" xfId="21160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3" xfId="7965"/>
    <cellStyle name="20% - akcent 4 11 2 4" xfId="14571"/>
    <cellStyle name="20% - akcent 4 11 2 5" xfId="21162"/>
    <cellStyle name="20% - akcent 4 11 3" xfId="4619"/>
    <cellStyle name="20% - akcent 4 11 3 2" xfId="11254"/>
    <cellStyle name="20% - akcent 4 11 3 3" xfId="17858"/>
    <cellStyle name="20% - akcent 4 11 3 4" xfId="24449"/>
    <cellStyle name="20% - akcent 4 11 4" xfId="7964"/>
    <cellStyle name="20% - akcent 4 11 5" xfId="14570"/>
    <cellStyle name="20% - akcent 4 11 6" xfId="21161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3" xfId="7966"/>
    <cellStyle name="20% - akcent 4 110 4" xfId="14572"/>
    <cellStyle name="20% - akcent 4 110 5" xfId="21163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3" xfId="7967"/>
    <cellStyle name="20% - akcent 4 111 4" xfId="14573"/>
    <cellStyle name="20% - akcent 4 111 5" xfId="21164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3" xfId="7968"/>
    <cellStyle name="20% - akcent 4 112 4" xfId="14574"/>
    <cellStyle name="20% - akcent 4 112 5" xfId="21165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3" xfId="7969"/>
    <cellStyle name="20% - akcent 4 113 4" xfId="14575"/>
    <cellStyle name="20% - akcent 4 113 5" xfId="21166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3" xfId="7970"/>
    <cellStyle name="20% - akcent 4 114 4" xfId="14576"/>
    <cellStyle name="20% - akcent 4 114 5" xfId="21167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3" xfId="7971"/>
    <cellStyle name="20% - akcent 4 115 4" xfId="14577"/>
    <cellStyle name="20% - akcent 4 115 5" xfId="21168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3" xfId="7972"/>
    <cellStyle name="20% - akcent 4 116 4" xfId="14578"/>
    <cellStyle name="20% - akcent 4 116 5" xfId="21169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3" xfId="7973"/>
    <cellStyle name="20% - akcent 4 117 4" xfId="14579"/>
    <cellStyle name="20% - akcent 4 117 5" xfId="21170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3" xfId="7974"/>
    <cellStyle name="20% - akcent 4 118 4" xfId="14580"/>
    <cellStyle name="20% - akcent 4 118 5" xfId="21171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3" xfId="7975"/>
    <cellStyle name="20% - akcent 4 119 4" xfId="14581"/>
    <cellStyle name="20% - akcent 4 119 5" xfId="21172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3" xfId="7977"/>
    <cellStyle name="20% - akcent 4 12 2 4" xfId="14583"/>
    <cellStyle name="20% - akcent 4 12 2 5" xfId="21174"/>
    <cellStyle name="20% - akcent 4 12 3" xfId="4631"/>
    <cellStyle name="20% - akcent 4 12 3 2" xfId="11266"/>
    <cellStyle name="20% - akcent 4 12 3 3" xfId="17870"/>
    <cellStyle name="20% - akcent 4 12 3 4" xfId="24461"/>
    <cellStyle name="20% - akcent 4 12 4" xfId="7976"/>
    <cellStyle name="20% - akcent 4 12 5" xfId="14582"/>
    <cellStyle name="20% - akcent 4 12 6" xfId="21173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3" xfId="7978"/>
    <cellStyle name="20% - akcent 4 120 4" xfId="14584"/>
    <cellStyle name="20% - akcent 4 120 5" xfId="21175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3" xfId="7979"/>
    <cellStyle name="20% - akcent 4 121 4" xfId="14585"/>
    <cellStyle name="20% - akcent 4 121 5" xfId="21176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3" xfId="7980"/>
    <cellStyle name="20% - akcent 4 122 4" xfId="14586"/>
    <cellStyle name="20% - akcent 4 122 5" xfId="21177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3" xfId="7981"/>
    <cellStyle name="20% - akcent 4 123 4" xfId="14587"/>
    <cellStyle name="20% - akcent 4 123 5" xfId="21178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3" xfId="7982"/>
    <cellStyle name="20% - akcent 4 124 4" xfId="14588"/>
    <cellStyle name="20% - akcent 4 124 5" xfId="21179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3" xfId="7983"/>
    <cellStyle name="20% - akcent 4 125 4" xfId="14589"/>
    <cellStyle name="20% - akcent 4 125 5" xfId="21180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3" xfId="7984"/>
    <cellStyle name="20% - akcent 4 126 4" xfId="14590"/>
    <cellStyle name="20% - akcent 4 126 5" xfId="21181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3" xfId="7985"/>
    <cellStyle name="20% - akcent 4 127 4" xfId="14591"/>
    <cellStyle name="20% - akcent 4 127 5" xfId="21182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3" xfId="7986"/>
    <cellStyle name="20% - akcent 4 128 4" xfId="14592"/>
    <cellStyle name="20% - akcent 4 128 5" xfId="21183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3" xfId="7987"/>
    <cellStyle name="20% - akcent 4 129 4" xfId="14593"/>
    <cellStyle name="20% - akcent 4 129 5" xfId="21184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3" xfId="7989"/>
    <cellStyle name="20% - akcent 4 13 2 4" xfId="14595"/>
    <cellStyle name="20% - akcent 4 13 2 5" xfId="21186"/>
    <cellStyle name="20% - akcent 4 13 3" xfId="4643"/>
    <cellStyle name="20% - akcent 4 13 3 2" xfId="11278"/>
    <cellStyle name="20% - akcent 4 13 3 3" xfId="17882"/>
    <cellStyle name="20% - akcent 4 13 3 4" xfId="24473"/>
    <cellStyle name="20% - akcent 4 13 4" xfId="7988"/>
    <cellStyle name="20% - akcent 4 13 5" xfId="14594"/>
    <cellStyle name="20% - akcent 4 13 6" xfId="21185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3" xfId="7990"/>
    <cellStyle name="20% - akcent 4 130 4" xfId="14596"/>
    <cellStyle name="20% - akcent 4 130 5" xfId="21187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3" xfId="7991"/>
    <cellStyle name="20% - akcent 4 131 4" xfId="14597"/>
    <cellStyle name="20% - akcent 4 131 5" xfId="21188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3" xfId="7992"/>
    <cellStyle name="20% - akcent 4 132 4" xfId="14598"/>
    <cellStyle name="20% - akcent 4 132 5" xfId="21189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3" xfId="7993"/>
    <cellStyle name="20% - akcent 4 133 4" xfId="14599"/>
    <cellStyle name="20% - akcent 4 133 5" xfId="21190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3" xfId="7994"/>
    <cellStyle name="20% - akcent 4 134 4" xfId="14600"/>
    <cellStyle name="20% - akcent 4 134 5" xfId="21191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3" xfId="7995"/>
    <cellStyle name="20% - akcent 4 135 4" xfId="14601"/>
    <cellStyle name="20% - akcent 4 135 5" xfId="21192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3" xfId="7996"/>
    <cellStyle name="20% - akcent 4 136 4" xfId="14602"/>
    <cellStyle name="20% - akcent 4 136 5" xfId="21193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3" xfId="7997"/>
    <cellStyle name="20% - akcent 4 137 4" xfId="14603"/>
    <cellStyle name="20% - akcent 4 137 5" xfId="21194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3" xfId="7998"/>
    <cellStyle name="20% - akcent 4 138 4" xfId="14604"/>
    <cellStyle name="20% - akcent 4 138 5" xfId="21195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3" xfId="7999"/>
    <cellStyle name="20% - akcent 4 139 4" xfId="14605"/>
    <cellStyle name="20% - akcent 4 139 5" xfId="21196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3" xfId="8001"/>
    <cellStyle name="20% - akcent 4 14 2 4" xfId="14607"/>
    <cellStyle name="20% - akcent 4 14 2 5" xfId="21198"/>
    <cellStyle name="20% - akcent 4 14 3" xfId="4655"/>
    <cellStyle name="20% - akcent 4 14 3 2" xfId="11290"/>
    <cellStyle name="20% - akcent 4 14 3 3" xfId="17894"/>
    <cellStyle name="20% - akcent 4 14 3 4" xfId="24485"/>
    <cellStyle name="20% - akcent 4 14 4" xfId="8000"/>
    <cellStyle name="20% - akcent 4 14 5" xfId="14606"/>
    <cellStyle name="20% - akcent 4 14 6" xfId="21197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3" xfId="8002"/>
    <cellStyle name="20% - akcent 4 140 4" xfId="14608"/>
    <cellStyle name="20% - akcent 4 140 5" xfId="21199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3" xfId="8003"/>
    <cellStyle name="20% - akcent 4 141 4" xfId="14609"/>
    <cellStyle name="20% - akcent 4 141 5" xfId="21200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3" xfId="8004"/>
    <cellStyle name="20% - akcent 4 142 4" xfId="14610"/>
    <cellStyle name="20% - akcent 4 142 5" xfId="21201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3" xfId="8005"/>
    <cellStyle name="20% - akcent 4 143 4" xfId="14611"/>
    <cellStyle name="20% - akcent 4 143 5" xfId="21202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3" xfId="8006"/>
    <cellStyle name="20% - akcent 4 144 4" xfId="14612"/>
    <cellStyle name="20% - akcent 4 144 5" xfId="21203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3" xfId="8007"/>
    <cellStyle name="20% - akcent 4 145 4" xfId="14613"/>
    <cellStyle name="20% - akcent 4 145 5" xfId="21204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3" xfId="8008"/>
    <cellStyle name="20% - akcent 4 146 4" xfId="14614"/>
    <cellStyle name="20% - akcent 4 146 5" xfId="21205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3" xfId="8009"/>
    <cellStyle name="20% - akcent 4 147 4" xfId="14615"/>
    <cellStyle name="20% - akcent 4 147 5" xfId="21206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3" xfId="8010"/>
    <cellStyle name="20% - akcent 4 148 4" xfId="14616"/>
    <cellStyle name="20% - akcent 4 148 5" xfId="21207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3" xfId="8011"/>
    <cellStyle name="20% - akcent 4 149 4" xfId="14617"/>
    <cellStyle name="20% - akcent 4 149 5" xfId="21208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3" xfId="8013"/>
    <cellStyle name="20% - akcent 4 15 2 4" xfId="14619"/>
    <cellStyle name="20% - akcent 4 15 2 5" xfId="21210"/>
    <cellStyle name="20% - akcent 4 15 3" xfId="4667"/>
    <cellStyle name="20% - akcent 4 15 3 2" xfId="11302"/>
    <cellStyle name="20% - akcent 4 15 3 3" xfId="17906"/>
    <cellStyle name="20% - akcent 4 15 3 4" xfId="24497"/>
    <cellStyle name="20% - akcent 4 15 4" xfId="8012"/>
    <cellStyle name="20% - akcent 4 15 5" xfId="14618"/>
    <cellStyle name="20% - akcent 4 15 6" xfId="21209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3" xfId="8014"/>
    <cellStyle name="20% - akcent 4 150 4" xfId="14620"/>
    <cellStyle name="20% - akcent 4 150 5" xfId="21211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3" xfId="8015"/>
    <cellStyle name="20% - akcent 4 151 4" xfId="14621"/>
    <cellStyle name="20% - akcent 4 151 5" xfId="21212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3" xfId="8016"/>
    <cellStyle name="20% - akcent 4 152 4" xfId="14622"/>
    <cellStyle name="20% - akcent 4 152 5" xfId="21213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3" xfId="8017"/>
    <cellStyle name="20% - akcent 4 153 4" xfId="14623"/>
    <cellStyle name="20% - akcent 4 153 5" xfId="21214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3" xfId="8018"/>
    <cellStyle name="20% - akcent 4 154 4" xfId="14624"/>
    <cellStyle name="20% - akcent 4 154 5" xfId="21215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3" xfId="8019"/>
    <cellStyle name="20% - akcent 4 155 4" xfId="14625"/>
    <cellStyle name="20% - akcent 4 155 5" xfId="21216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3" xfId="8020"/>
    <cellStyle name="20% - akcent 4 156 4" xfId="14626"/>
    <cellStyle name="20% - akcent 4 156 5" xfId="21217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3" xfId="8021"/>
    <cellStyle name="20% - akcent 4 157 4" xfId="14627"/>
    <cellStyle name="20% - akcent 4 157 5" xfId="21218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3" xfId="8022"/>
    <cellStyle name="20% - akcent 4 158 4" xfId="14628"/>
    <cellStyle name="20% - akcent 4 158 5" xfId="21219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3" xfId="8023"/>
    <cellStyle name="20% - akcent 4 159 4" xfId="14629"/>
    <cellStyle name="20% - akcent 4 159 5" xfId="21220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3" xfId="8025"/>
    <cellStyle name="20% - akcent 4 16 2 4" xfId="14631"/>
    <cellStyle name="20% - akcent 4 16 2 5" xfId="21222"/>
    <cellStyle name="20% - akcent 4 16 3" xfId="4679"/>
    <cellStyle name="20% - akcent 4 16 3 2" xfId="11314"/>
    <cellStyle name="20% - akcent 4 16 3 3" xfId="17918"/>
    <cellStyle name="20% - akcent 4 16 3 4" xfId="24509"/>
    <cellStyle name="20% - akcent 4 16 4" xfId="8024"/>
    <cellStyle name="20% - akcent 4 16 5" xfId="14630"/>
    <cellStyle name="20% - akcent 4 16 6" xfId="21221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3" xfId="8026"/>
    <cellStyle name="20% - akcent 4 160 4" xfId="14632"/>
    <cellStyle name="20% - akcent 4 160 5" xfId="21223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3" xfId="8027"/>
    <cellStyle name="20% - akcent 4 161 4" xfId="14633"/>
    <cellStyle name="20% - akcent 4 161 5" xfId="21224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3" xfId="8028"/>
    <cellStyle name="20% - akcent 4 162 4" xfId="14634"/>
    <cellStyle name="20% - akcent 4 162 5" xfId="21225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3" xfId="8029"/>
    <cellStyle name="20% - akcent 4 163 4" xfId="14635"/>
    <cellStyle name="20% - akcent 4 163 5" xfId="21226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3" xfId="8030"/>
    <cellStyle name="20% - akcent 4 164 4" xfId="14636"/>
    <cellStyle name="20% - akcent 4 164 5" xfId="21227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3" xfId="8031"/>
    <cellStyle name="20% - akcent 4 165 4" xfId="14637"/>
    <cellStyle name="20% - akcent 4 165 5" xfId="21228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3" xfId="8032"/>
    <cellStyle name="20% - akcent 4 166 4" xfId="14638"/>
    <cellStyle name="20% - akcent 4 166 5" xfId="21229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3" xfId="8033"/>
    <cellStyle name="20% - akcent 4 167 4" xfId="14639"/>
    <cellStyle name="20% - akcent 4 167 5" xfId="21230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3" xfId="8034"/>
    <cellStyle name="20% - akcent 4 168 4" xfId="14640"/>
    <cellStyle name="20% - akcent 4 168 5" xfId="21231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3" xfId="8035"/>
    <cellStyle name="20% - akcent 4 169 4" xfId="14641"/>
    <cellStyle name="20% - akcent 4 169 5" xfId="21232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3" xfId="8037"/>
    <cellStyle name="20% - akcent 4 17 2 4" xfId="14643"/>
    <cellStyle name="20% - akcent 4 17 2 5" xfId="21234"/>
    <cellStyle name="20% - akcent 4 17 3" xfId="4691"/>
    <cellStyle name="20% - akcent 4 17 3 2" xfId="11326"/>
    <cellStyle name="20% - akcent 4 17 3 3" xfId="17930"/>
    <cellStyle name="20% - akcent 4 17 3 4" xfId="24521"/>
    <cellStyle name="20% - akcent 4 17 4" xfId="8036"/>
    <cellStyle name="20% - akcent 4 17 5" xfId="14642"/>
    <cellStyle name="20% - akcent 4 17 6" xfId="21233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3" xfId="8038"/>
    <cellStyle name="20% - akcent 4 170 4" xfId="14644"/>
    <cellStyle name="20% - akcent 4 170 5" xfId="21235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3" xfId="8039"/>
    <cellStyle name="20% - akcent 4 171 4" xfId="14645"/>
    <cellStyle name="20% - akcent 4 171 5" xfId="21236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3" xfId="8040"/>
    <cellStyle name="20% - akcent 4 172 4" xfId="14646"/>
    <cellStyle name="20% - akcent 4 172 5" xfId="21237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3" xfId="8041"/>
    <cellStyle name="20% - akcent 4 173 4" xfId="14647"/>
    <cellStyle name="20% - akcent 4 173 5" xfId="21238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3" xfId="8042"/>
    <cellStyle name="20% - akcent 4 174 4" xfId="14648"/>
    <cellStyle name="20% - akcent 4 174 5" xfId="21239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3" xfId="8043"/>
    <cellStyle name="20% - akcent 4 175 4" xfId="14649"/>
    <cellStyle name="20% - akcent 4 175 5" xfId="21240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3" xfId="8044"/>
    <cellStyle name="20% - akcent 4 176 4" xfId="14650"/>
    <cellStyle name="20% - akcent 4 176 5" xfId="21241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3" xfId="8045"/>
    <cellStyle name="20% - akcent 4 177 4" xfId="14651"/>
    <cellStyle name="20% - akcent 4 177 5" xfId="21242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3" xfId="8046"/>
    <cellStyle name="20% - akcent 4 178 4" xfId="14652"/>
    <cellStyle name="20% - akcent 4 178 5" xfId="21243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3" xfId="8047"/>
    <cellStyle name="20% - akcent 4 179 4" xfId="14653"/>
    <cellStyle name="20% - akcent 4 179 5" xfId="21244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3" xfId="8049"/>
    <cellStyle name="20% - akcent 4 18 2 4" xfId="14655"/>
    <cellStyle name="20% - akcent 4 18 2 5" xfId="21246"/>
    <cellStyle name="20% - akcent 4 18 3" xfId="4703"/>
    <cellStyle name="20% - akcent 4 18 3 2" xfId="11338"/>
    <cellStyle name="20% - akcent 4 18 3 3" xfId="17942"/>
    <cellStyle name="20% - akcent 4 18 3 4" xfId="24533"/>
    <cellStyle name="20% - akcent 4 18 4" xfId="8048"/>
    <cellStyle name="20% - akcent 4 18 5" xfId="14654"/>
    <cellStyle name="20% - akcent 4 18 6" xfId="21245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3" xfId="8050"/>
    <cellStyle name="20% - akcent 4 180 4" xfId="14656"/>
    <cellStyle name="20% - akcent 4 180 5" xfId="21247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3" xfId="8051"/>
    <cellStyle name="20% - akcent 4 181 4" xfId="14657"/>
    <cellStyle name="20% - akcent 4 181 5" xfId="21248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3" xfId="8052"/>
    <cellStyle name="20% - akcent 4 182 4" xfId="14658"/>
    <cellStyle name="20% - akcent 4 182 5" xfId="21249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3" xfId="8053"/>
    <cellStyle name="20% - akcent 4 183 4" xfId="14659"/>
    <cellStyle name="20% - akcent 4 183 5" xfId="21250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3" xfId="8054"/>
    <cellStyle name="20% - akcent 4 184 4" xfId="14660"/>
    <cellStyle name="20% - akcent 4 184 5" xfId="21251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3" xfId="8055"/>
    <cellStyle name="20% - akcent 4 185 4" xfId="14661"/>
    <cellStyle name="20% - akcent 4 185 5" xfId="21252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3" xfId="8056"/>
    <cellStyle name="20% - akcent 4 186 4" xfId="14662"/>
    <cellStyle name="20% - akcent 4 186 5" xfId="21253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3" xfId="8057"/>
    <cellStyle name="20% - akcent 4 187 4" xfId="14663"/>
    <cellStyle name="20% - akcent 4 187 5" xfId="21254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3" xfId="8058"/>
    <cellStyle name="20% - akcent 4 188 4" xfId="14664"/>
    <cellStyle name="20% - akcent 4 188 5" xfId="21255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3" xfId="8059"/>
    <cellStyle name="20% - akcent 4 189 4" xfId="14665"/>
    <cellStyle name="20% - akcent 4 189 5" xfId="21256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3" xfId="8061"/>
    <cellStyle name="20% - akcent 4 19 2 4" xfId="14667"/>
    <cellStyle name="20% - akcent 4 19 2 5" xfId="21258"/>
    <cellStyle name="20% - akcent 4 19 3" xfId="4715"/>
    <cellStyle name="20% - akcent 4 19 3 2" xfId="11350"/>
    <cellStyle name="20% - akcent 4 19 3 3" xfId="17954"/>
    <cellStyle name="20% - akcent 4 19 3 4" xfId="24545"/>
    <cellStyle name="20% - akcent 4 19 4" xfId="8060"/>
    <cellStyle name="20% - akcent 4 19 5" xfId="14666"/>
    <cellStyle name="20% - akcent 4 19 6" xfId="21257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3" xfId="8062"/>
    <cellStyle name="20% - akcent 4 190 4" xfId="14668"/>
    <cellStyle name="20% - akcent 4 190 5" xfId="21259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3" xfId="8063"/>
    <cellStyle name="20% - akcent 4 191 4" xfId="14669"/>
    <cellStyle name="20% - akcent 4 191 5" xfId="21260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3" xfId="8064"/>
    <cellStyle name="20% - akcent 4 192 4" xfId="14670"/>
    <cellStyle name="20% - akcent 4 192 5" xfId="21261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3" xfId="8065"/>
    <cellStyle name="20% - akcent 4 193 4" xfId="14671"/>
    <cellStyle name="20% - akcent 4 193 5" xfId="21262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3" xfId="8066"/>
    <cellStyle name="20% - akcent 4 194 4" xfId="14672"/>
    <cellStyle name="20% - akcent 4 194 5" xfId="21263"/>
    <cellStyle name="20% - akcent 4 195" xfId="3843"/>
    <cellStyle name="20% - akcent 4 195 2" xfId="10478"/>
    <cellStyle name="20% - akcent 4 195 3" xfId="17082"/>
    <cellStyle name="20% - akcent 4 195 4" xfId="23673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3" xfId="8068"/>
    <cellStyle name="20% - akcent 4 2 2 4" xfId="14674"/>
    <cellStyle name="20% - akcent 4 2 2 5" xfId="21265"/>
    <cellStyle name="20% - akcent 4 2 3" xfId="4722"/>
    <cellStyle name="20% - akcent 4 2 3 2" xfId="11357"/>
    <cellStyle name="20% - akcent 4 2 3 3" xfId="17961"/>
    <cellStyle name="20% - akcent 4 2 3 4" xfId="24552"/>
    <cellStyle name="20% - akcent 4 2 4" xfId="8067"/>
    <cellStyle name="20% - akcent 4 2 5" xfId="14673"/>
    <cellStyle name="20% - akcent 4 2 6" xfId="21264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3" xfId="8070"/>
    <cellStyle name="20% - akcent 4 20 2 4" xfId="14676"/>
    <cellStyle name="20% - akcent 4 20 2 5" xfId="21267"/>
    <cellStyle name="20% - akcent 4 20 3" xfId="4724"/>
    <cellStyle name="20% - akcent 4 20 3 2" xfId="11359"/>
    <cellStyle name="20% - akcent 4 20 3 3" xfId="17963"/>
    <cellStyle name="20% - akcent 4 20 3 4" xfId="24554"/>
    <cellStyle name="20% - akcent 4 20 4" xfId="8069"/>
    <cellStyle name="20% - akcent 4 20 5" xfId="14675"/>
    <cellStyle name="20% - akcent 4 20 6" xfId="21266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3" xfId="8072"/>
    <cellStyle name="20% - akcent 4 21 2 4" xfId="14678"/>
    <cellStyle name="20% - akcent 4 21 2 5" xfId="21269"/>
    <cellStyle name="20% - akcent 4 21 3" xfId="4726"/>
    <cellStyle name="20% - akcent 4 21 3 2" xfId="11361"/>
    <cellStyle name="20% - akcent 4 21 3 3" xfId="17965"/>
    <cellStyle name="20% - akcent 4 21 3 4" xfId="24556"/>
    <cellStyle name="20% - akcent 4 21 4" xfId="8071"/>
    <cellStyle name="20% - akcent 4 21 5" xfId="14677"/>
    <cellStyle name="20% - akcent 4 21 6" xfId="21268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3" xfId="8074"/>
    <cellStyle name="20% - akcent 4 22 2 4" xfId="14680"/>
    <cellStyle name="20% - akcent 4 22 2 5" xfId="21271"/>
    <cellStyle name="20% - akcent 4 22 3" xfId="4728"/>
    <cellStyle name="20% - akcent 4 22 3 2" xfId="11363"/>
    <cellStyle name="20% - akcent 4 22 3 3" xfId="17967"/>
    <cellStyle name="20% - akcent 4 22 3 4" xfId="24558"/>
    <cellStyle name="20% - akcent 4 22 4" xfId="8073"/>
    <cellStyle name="20% - akcent 4 22 5" xfId="14679"/>
    <cellStyle name="20% - akcent 4 22 6" xfId="21270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3" xfId="8076"/>
    <cellStyle name="20% - akcent 4 23 2 4" xfId="14682"/>
    <cellStyle name="20% - akcent 4 23 2 5" xfId="21273"/>
    <cellStyle name="20% - akcent 4 23 3" xfId="4730"/>
    <cellStyle name="20% - akcent 4 23 3 2" xfId="11365"/>
    <cellStyle name="20% - akcent 4 23 3 3" xfId="17969"/>
    <cellStyle name="20% - akcent 4 23 3 4" xfId="24560"/>
    <cellStyle name="20% - akcent 4 23 4" xfId="8075"/>
    <cellStyle name="20% - akcent 4 23 5" xfId="14681"/>
    <cellStyle name="20% - akcent 4 23 6" xfId="21272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3" xfId="8078"/>
    <cellStyle name="20% - akcent 4 24 2 4" xfId="14684"/>
    <cellStyle name="20% - akcent 4 24 2 5" xfId="21275"/>
    <cellStyle name="20% - akcent 4 24 3" xfId="4732"/>
    <cellStyle name="20% - akcent 4 24 3 2" xfId="11367"/>
    <cellStyle name="20% - akcent 4 24 3 3" xfId="17971"/>
    <cellStyle name="20% - akcent 4 24 3 4" xfId="24562"/>
    <cellStyle name="20% - akcent 4 24 4" xfId="8077"/>
    <cellStyle name="20% - akcent 4 24 5" xfId="14683"/>
    <cellStyle name="20% - akcent 4 24 6" xfId="21274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3" xfId="8080"/>
    <cellStyle name="20% - akcent 4 25 2 4" xfId="14686"/>
    <cellStyle name="20% - akcent 4 25 2 5" xfId="21277"/>
    <cellStyle name="20% - akcent 4 25 3" xfId="4734"/>
    <cellStyle name="20% - akcent 4 25 3 2" xfId="11369"/>
    <cellStyle name="20% - akcent 4 25 3 3" xfId="17973"/>
    <cellStyle name="20% - akcent 4 25 3 4" xfId="24564"/>
    <cellStyle name="20% - akcent 4 25 4" xfId="8079"/>
    <cellStyle name="20% - akcent 4 25 5" xfId="14685"/>
    <cellStyle name="20% - akcent 4 25 6" xfId="21276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3" xfId="8082"/>
    <cellStyle name="20% - akcent 4 26 2 4" xfId="14688"/>
    <cellStyle name="20% - akcent 4 26 2 5" xfId="21279"/>
    <cellStyle name="20% - akcent 4 26 3" xfId="4736"/>
    <cellStyle name="20% - akcent 4 26 3 2" xfId="11371"/>
    <cellStyle name="20% - akcent 4 26 3 3" xfId="17975"/>
    <cellStyle name="20% - akcent 4 26 3 4" xfId="24566"/>
    <cellStyle name="20% - akcent 4 26 4" xfId="8081"/>
    <cellStyle name="20% - akcent 4 26 5" xfId="14687"/>
    <cellStyle name="20% - akcent 4 26 6" xfId="21278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3" xfId="8084"/>
    <cellStyle name="20% - akcent 4 27 2 4" xfId="14690"/>
    <cellStyle name="20% - akcent 4 27 2 5" xfId="21281"/>
    <cellStyle name="20% - akcent 4 27 3" xfId="4738"/>
    <cellStyle name="20% - akcent 4 27 3 2" xfId="11373"/>
    <cellStyle name="20% - akcent 4 27 3 3" xfId="17977"/>
    <cellStyle name="20% - akcent 4 27 3 4" xfId="24568"/>
    <cellStyle name="20% - akcent 4 27 4" xfId="8083"/>
    <cellStyle name="20% - akcent 4 27 5" xfId="14689"/>
    <cellStyle name="20% - akcent 4 27 6" xfId="21280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3" xfId="8086"/>
    <cellStyle name="20% - akcent 4 28 2 4" xfId="14692"/>
    <cellStyle name="20% - akcent 4 28 2 5" xfId="21283"/>
    <cellStyle name="20% - akcent 4 28 3" xfId="4740"/>
    <cellStyle name="20% - akcent 4 28 3 2" xfId="11375"/>
    <cellStyle name="20% - akcent 4 28 3 3" xfId="17979"/>
    <cellStyle name="20% - akcent 4 28 3 4" xfId="24570"/>
    <cellStyle name="20% - akcent 4 28 4" xfId="8085"/>
    <cellStyle name="20% - akcent 4 28 5" xfId="14691"/>
    <cellStyle name="20% - akcent 4 28 6" xfId="21282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3" xfId="8088"/>
    <cellStyle name="20% - akcent 4 29 2 4" xfId="14694"/>
    <cellStyle name="20% - akcent 4 29 2 5" xfId="21285"/>
    <cellStyle name="20% - akcent 4 29 3" xfId="4742"/>
    <cellStyle name="20% - akcent 4 29 3 2" xfId="11377"/>
    <cellStyle name="20% - akcent 4 29 3 3" xfId="17981"/>
    <cellStyle name="20% - akcent 4 29 3 4" xfId="24572"/>
    <cellStyle name="20% - akcent 4 29 4" xfId="8087"/>
    <cellStyle name="20% - akcent 4 29 5" xfId="14693"/>
    <cellStyle name="20% - akcent 4 29 6" xfId="21284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3" xfId="8090"/>
    <cellStyle name="20% - akcent 4 3 2 4" xfId="14696"/>
    <cellStyle name="20% - akcent 4 3 2 5" xfId="21287"/>
    <cellStyle name="20% - akcent 4 3 3" xfId="4744"/>
    <cellStyle name="20% - akcent 4 3 3 2" xfId="11379"/>
    <cellStyle name="20% - akcent 4 3 3 3" xfId="17983"/>
    <cellStyle name="20% - akcent 4 3 3 4" xfId="24574"/>
    <cellStyle name="20% - akcent 4 3 4" xfId="8089"/>
    <cellStyle name="20% - akcent 4 3 5" xfId="14695"/>
    <cellStyle name="20% - akcent 4 3 6" xfId="21286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3" xfId="8092"/>
    <cellStyle name="20% - akcent 4 30 2 4" xfId="14698"/>
    <cellStyle name="20% - akcent 4 30 2 5" xfId="21289"/>
    <cellStyle name="20% - akcent 4 30 3" xfId="4746"/>
    <cellStyle name="20% - akcent 4 30 3 2" xfId="11381"/>
    <cellStyle name="20% - akcent 4 30 3 3" xfId="17985"/>
    <cellStyle name="20% - akcent 4 30 3 4" xfId="24576"/>
    <cellStyle name="20% - akcent 4 30 4" xfId="8091"/>
    <cellStyle name="20% - akcent 4 30 5" xfId="14697"/>
    <cellStyle name="20% - akcent 4 30 6" xfId="21288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3" xfId="8094"/>
    <cellStyle name="20% - akcent 4 31 2 4" xfId="14700"/>
    <cellStyle name="20% - akcent 4 31 2 5" xfId="21291"/>
    <cellStyle name="20% - akcent 4 31 3" xfId="4748"/>
    <cellStyle name="20% - akcent 4 31 3 2" xfId="11383"/>
    <cellStyle name="20% - akcent 4 31 3 3" xfId="17987"/>
    <cellStyle name="20% - akcent 4 31 3 4" xfId="24578"/>
    <cellStyle name="20% - akcent 4 31 4" xfId="8093"/>
    <cellStyle name="20% - akcent 4 31 5" xfId="14699"/>
    <cellStyle name="20% - akcent 4 31 6" xfId="21290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3" xfId="8096"/>
    <cellStyle name="20% - akcent 4 32 2 4" xfId="14702"/>
    <cellStyle name="20% - akcent 4 32 2 5" xfId="21293"/>
    <cellStyle name="20% - akcent 4 32 3" xfId="4750"/>
    <cellStyle name="20% - akcent 4 32 3 2" xfId="11385"/>
    <cellStyle name="20% - akcent 4 32 3 3" xfId="17989"/>
    <cellStyle name="20% - akcent 4 32 3 4" xfId="24580"/>
    <cellStyle name="20% - akcent 4 32 4" xfId="8095"/>
    <cellStyle name="20% - akcent 4 32 5" xfId="14701"/>
    <cellStyle name="20% - akcent 4 32 6" xfId="21292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3" xfId="8098"/>
    <cellStyle name="20% - akcent 4 33 2 4" xfId="14704"/>
    <cellStyle name="20% - akcent 4 33 2 5" xfId="21295"/>
    <cellStyle name="20% - akcent 4 33 3" xfId="4752"/>
    <cellStyle name="20% - akcent 4 33 3 2" xfId="11387"/>
    <cellStyle name="20% - akcent 4 33 3 3" xfId="17991"/>
    <cellStyle name="20% - akcent 4 33 3 4" xfId="24582"/>
    <cellStyle name="20% - akcent 4 33 4" xfId="8097"/>
    <cellStyle name="20% - akcent 4 33 5" xfId="14703"/>
    <cellStyle name="20% - akcent 4 33 6" xfId="21294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3" xfId="8100"/>
    <cellStyle name="20% - akcent 4 34 2 4" xfId="14706"/>
    <cellStyle name="20% - akcent 4 34 2 5" xfId="21297"/>
    <cellStyle name="20% - akcent 4 34 3" xfId="4754"/>
    <cellStyle name="20% - akcent 4 34 3 2" xfId="11389"/>
    <cellStyle name="20% - akcent 4 34 3 3" xfId="17993"/>
    <cellStyle name="20% - akcent 4 34 3 4" xfId="24584"/>
    <cellStyle name="20% - akcent 4 34 4" xfId="8099"/>
    <cellStyle name="20% - akcent 4 34 5" xfId="14705"/>
    <cellStyle name="20% - akcent 4 34 6" xfId="21296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3" xfId="8102"/>
    <cellStyle name="20% - akcent 4 35 2 4" xfId="14708"/>
    <cellStyle name="20% - akcent 4 35 2 5" xfId="21299"/>
    <cellStyle name="20% - akcent 4 35 3" xfId="4756"/>
    <cellStyle name="20% - akcent 4 35 3 2" xfId="11391"/>
    <cellStyle name="20% - akcent 4 35 3 3" xfId="17995"/>
    <cellStyle name="20% - akcent 4 35 3 4" xfId="24586"/>
    <cellStyle name="20% - akcent 4 35 4" xfId="8101"/>
    <cellStyle name="20% - akcent 4 35 5" xfId="14707"/>
    <cellStyle name="20% - akcent 4 35 6" xfId="21298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3" xfId="8104"/>
    <cellStyle name="20% - akcent 4 36 2 4" xfId="14710"/>
    <cellStyle name="20% - akcent 4 36 2 5" xfId="21301"/>
    <cellStyle name="20% - akcent 4 36 3" xfId="4758"/>
    <cellStyle name="20% - akcent 4 36 3 2" xfId="11393"/>
    <cellStyle name="20% - akcent 4 36 3 3" xfId="17997"/>
    <cellStyle name="20% - akcent 4 36 3 4" xfId="24588"/>
    <cellStyle name="20% - akcent 4 36 4" xfId="8103"/>
    <cellStyle name="20% - akcent 4 36 5" xfId="14709"/>
    <cellStyle name="20% - akcent 4 36 6" xfId="21300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3" xfId="8106"/>
    <cellStyle name="20% - akcent 4 37 2 4" xfId="14712"/>
    <cellStyle name="20% - akcent 4 37 2 5" xfId="21303"/>
    <cellStyle name="20% - akcent 4 37 3" xfId="4760"/>
    <cellStyle name="20% - akcent 4 37 3 2" xfId="11395"/>
    <cellStyle name="20% - akcent 4 37 3 3" xfId="17999"/>
    <cellStyle name="20% - akcent 4 37 3 4" xfId="24590"/>
    <cellStyle name="20% - akcent 4 37 4" xfId="8105"/>
    <cellStyle name="20% - akcent 4 37 5" xfId="14711"/>
    <cellStyle name="20% - akcent 4 37 6" xfId="21302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3" xfId="8108"/>
    <cellStyle name="20% - akcent 4 38 2 4" xfId="14714"/>
    <cellStyle name="20% - akcent 4 38 2 5" xfId="21305"/>
    <cellStyle name="20% - akcent 4 38 3" xfId="4762"/>
    <cellStyle name="20% - akcent 4 38 3 2" xfId="11397"/>
    <cellStyle name="20% - akcent 4 38 3 3" xfId="18001"/>
    <cellStyle name="20% - akcent 4 38 3 4" xfId="24592"/>
    <cellStyle name="20% - akcent 4 38 4" xfId="8107"/>
    <cellStyle name="20% - akcent 4 38 5" xfId="14713"/>
    <cellStyle name="20% - akcent 4 38 6" xfId="21304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3" xfId="8110"/>
    <cellStyle name="20% - akcent 4 39 2 4" xfId="14716"/>
    <cellStyle name="20% - akcent 4 39 2 5" xfId="21307"/>
    <cellStyle name="20% - akcent 4 39 3" xfId="4764"/>
    <cellStyle name="20% - akcent 4 39 3 2" xfId="11399"/>
    <cellStyle name="20% - akcent 4 39 3 3" xfId="18003"/>
    <cellStyle name="20% - akcent 4 39 3 4" xfId="24594"/>
    <cellStyle name="20% - akcent 4 39 4" xfId="8109"/>
    <cellStyle name="20% - akcent 4 39 5" xfId="14715"/>
    <cellStyle name="20% - akcent 4 39 6" xfId="21306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3" xfId="8112"/>
    <cellStyle name="20% - akcent 4 4 2 4" xfId="14718"/>
    <cellStyle name="20% - akcent 4 4 2 5" xfId="21309"/>
    <cellStyle name="20% - akcent 4 4 3" xfId="4766"/>
    <cellStyle name="20% - akcent 4 4 3 2" xfId="11401"/>
    <cellStyle name="20% - akcent 4 4 3 3" xfId="18005"/>
    <cellStyle name="20% - akcent 4 4 3 4" xfId="24596"/>
    <cellStyle name="20% - akcent 4 4 4" xfId="8111"/>
    <cellStyle name="20% - akcent 4 4 5" xfId="14717"/>
    <cellStyle name="20% - akcent 4 4 6" xfId="21308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3" xfId="8114"/>
    <cellStyle name="20% - akcent 4 40 2 4" xfId="14720"/>
    <cellStyle name="20% - akcent 4 40 2 5" xfId="21311"/>
    <cellStyle name="20% - akcent 4 40 3" xfId="4768"/>
    <cellStyle name="20% - akcent 4 40 3 2" xfId="11403"/>
    <cellStyle name="20% - akcent 4 40 3 3" xfId="18007"/>
    <cellStyle name="20% - akcent 4 40 3 4" xfId="24598"/>
    <cellStyle name="20% - akcent 4 40 4" xfId="8113"/>
    <cellStyle name="20% - akcent 4 40 5" xfId="14719"/>
    <cellStyle name="20% - akcent 4 40 6" xfId="21310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3" xfId="8116"/>
    <cellStyle name="20% - akcent 4 41 2 4" xfId="14722"/>
    <cellStyle name="20% - akcent 4 41 2 5" xfId="21313"/>
    <cellStyle name="20% - akcent 4 41 3" xfId="4770"/>
    <cellStyle name="20% - akcent 4 41 3 2" xfId="11405"/>
    <cellStyle name="20% - akcent 4 41 3 3" xfId="18009"/>
    <cellStyle name="20% - akcent 4 41 3 4" xfId="24600"/>
    <cellStyle name="20% - akcent 4 41 4" xfId="8115"/>
    <cellStyle name="20% - akcent 4 41 5" xfId="14721"/>
    <cellStyle name="20% - akcent 4 41 6" xfId="21312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3" xfId="8118"/>
    <cellStyle name="20% - akcent 4 42 2 4" xfId="14724"/>
    <cellStyle name="20% - akcent 4 42 2 5" xfId="21315"/>
    <cellStyle name="20% - akcent 4 42 3" xfId="4772"/>
    <cellStyle name="20% - akcent 4 42 3 2" xfId="11407"/>
    <cellStyle name="20% - akcent 4 42 3 3" xfId="18011"/>
    <cellStyle name="20% - akcent 4 42 3 4" xfId="24602"/>
    <cellStyle name="20% - akcent 4 42 4" xfId="8117"/>
    <cellStyle name="20% - akcent 4 42 5" xfId="14723"/>
    <cellStyle name="20% - akcent 4 42 6" xfId="21314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3" xfId="8120"/>
    <cellStyle name="20% - akcent 4 43 2 4" xfId="14726"/>
    <cellStyle name="20% - akcent 4 43 2 5" xfId="21317"/>
    <cellStyle name="20% - akcent 4 43 3" xfId="4774"/>
    <cellStyle name="20% - akcent 4 43 3 2" xfId="11409"/>
    <cellStyle name="20% - akcent 4 43 3 3" xfId="18013"/>
    <cellStyle name="20% - akcent 4 43 3 4" xfId="24604"/>
    <cellStyle name="20% - akcent 4 43 4" xfId="8119"/>
    <cellStyle name="20% - akcent 4 43 5" xfId="14725"/>
    <cellStyle name="20% - akcent 4 43 6" xfId="21316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3" xfId="8122"/>
    <cellStyle name="20% - akcent 4 44 2 4" xfId="14728"/>
    <cellStyle name="20% - akcent 4 44 2 5" xfId="21319"/>
    <cellStyle name="20% - akcent 4 44 3" xfId="4776"/>
    <cellStyle name="20% - akcent 4 44 3 2" xfId="11411"/>
    <cellStyle name="20% - akcent 4 44 3 3" xfId="18015"/>
    <cellStyle name="20% - akcent 4 44 3 4" xfId="24606"/>
    <cellStyle name="20% - akcent 4 44 4" xfId="8121"/>
    <cellStyle name="20% - akcent 4 44 5" xfId="14727"/>
    <cellStyle name="20% - akcent 4 44 6" xfId="21318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3" xfId="8124"/>
    <cellStyle name="20% - akcent 4 45 2 4" xfId="14730"/>
    <cellStyle name="20% - akcent 4 45 2 5" xfId="21321"/>
    <cellStyle name="20% - akcent 4 45 3" xfId="4778"/>
    <cellStyle name="20% - akcent 4 45 3 2" xfId="11413"/>
    <cellStyle name="20% - akcent 4 45 3 3" xfId="18017"/>
    <cellStyle name="20% - akcent 4 45 3 4" xfId="24608"/>
    <cellStyle name="20% - akcent 4 45 4" xfId="8123"/>
    <cellStyle name="20% - akcent 4 45 5" xfId="14729"/>
    <cellStyle name="20% - akcent 4 45 6" xfId="21320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3" xfId="8126"/>
    <cellStyle name="20% - akcent 4 46 2 4" xfId="14732"/>
    <cellStyle name="20% - akcent 4 46 2 5" xfId="21323"/>
    <cellStyle name="20% - akcent 4 46 3" xfId="4780"/>
    <cellStyle name="20% - akcent 4 46 3 2" xfId="11415"/>
    <cellStyle name="20% - akcent 4 46 3 3" xfId="18019"/>
    <cellStyle name="20% - akcent 4 46 3 4" xfId="24610"/>
    <cellStyle name="20% - akcent 4 46 4" xfId="8125"/>
    <cellStyle name="20% - akcent 4 46 5" xfId="14731"/>
    <cellStyle name="20% - akcent 4 46 6" xfId="21322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3" xfId="8128"/>
    <cellStyle name="20% - akcent 4 47 2 4" xfId="14734"/>
    <cellStyle name="20% - akcent 4 47 2 5" xfId="21325"/>
    <cellStyle name="20% - akcent 4 47 3" xfId="4782"/>
    <cellStyle name="20% - akcent 4 47 3 2" xfId="11417"/>
    <cellStyle name="20% - akcent 4 47 3 3" xfId="18021"/>
    <cellStyle name="20% - akcent 4 47 3 4" xfId="24612"/>
    <cellStyle name="20% - akcent 4 47 4" xfId="8127"/>
    <cellStyle name="20% - akcent 4 47 5" xfId="14733"/>
    <cellStyle name="20% - akcent 4 47 6" xfId="21324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3" xfId="8130"/>
    <cellStyle name="20% - akcent 4 48 2 4" xfId="14736"/>
    <cellStyle name="20% - akcent 4 48 2 5" xfId="21327"/>
    <cellStyle name="20% - akcent 4 48 3" xfId="4784"/>
    <cellStyle name="20% - akcent 4 48 3 2" xfId="11419"/>
    <cellStyle name="20% - akcent 4 48 3 3" xfId="18023"/>
    <cellStyle name="20% - akcent 4 48 3 4" xfId="24614"/>
    <cellStyle name="20% - akcent 4 48 4" xfId="8129"/>
    <cellStyle name="20% - akcent 4 48 5" xfId="14735"/>
    <cellStyle name="20% - akcent 4 48 6" xfId="21326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3" xfId="8132"/>
    <cellStyle name="20% - akcent 4 49 2 4" xfId="14738"/>
    <cellStyle name="20% - akcent 4 49 2 5" xfId="21329"/>
    <cellStyle name="20% - akcent 4 49 3" xfId="4786"/>
    <cellStyle name="20% - akcent 4 49 3 2" xfId="11421"/>
    <cellStyle name="20% - akcent 4 49 3 3" xfId="18025"/>
    <cellStyle name="20% - akcent 4 49 3 4" xfId="24616"/>
    <cellStyle name="20% - akcent 4 49 4" xfId="8131"/>
    <cellStyle name="20% - akcent 4 49 5" xfId="14737"/>
    <cellStyle name="20% - akcent 4 49 6" xfId="21328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3" xfId="8134"/>
    <cellStyle name="20% - akcent 4 5 2 4" xfId="14740"/>
    <cellStyle name="20% - akcent 4 5 2 5" xfId="21331"/>
    <cellStyle name="20% - akcent 4 5 3" xfId="4788"/>
    <cellStyle name="20% - akcent 4 5 3 2" xfId="11423"/>
    <cellStyle name="20% - akcent 4 5 3 3" xfId="18027"/>
    <cellStyle name="20% - akcent 4 5 3 4" xfId="24618"/>
    <cellStyle name="20% - akcent 4 5 4" xfId="8133"/>
    <cellStyle name="20% - akcent 4 5 5" xfId="14739"/>
    <cellStyle name="20% - akcent 4 5 6" xfId="21330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3" xfId="8136"/>
    <cellStyle name="20% - akcent 4 50 2 4" xfId="14742"/>
    <cellStyle name="20% - akcent 4 50 2 5" xfId="21333"/>
    <cellStyle name="20% - akcent 4 50 3" xfId="4790"/>
    <cellStyle name="20% - akcent 4 50 3 2" xfId="11425"/>
    <cellStyle name="20% - akcent 4 50 3 3" xfId="18029"/>
    <cellStyle name="20% - akcent 4 50 3 4" xfId="24620"/>
    <cellStyle name="20% - akcent 4 50 4" xfId="8135"/>
    <cellStyle name="20% - akcent 4 50 5" xfId="14741"/>
    <cellStyle name="20% - akcent 4 50 6" xfId="21332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3" xfId="8138"/>
    <cellStyle name="20% - akcent 4 51 2 4" xfId="14744"/>
    <cellStyle name="20% - akcent 4 51 2 5" xfId="21335"/>
    <cellStyle name="20% - akcent 4 51 3" xfId="4792"/>
    <cellStyle name="20% - akcent 4 51 3 2" xfId="11427"/>
    <cellStyle name="20% - akcent 4 51 3 3" xfId="18031"/>
    <cellStyle name="20% - akcent 4 51 3 4" xfId="24622"/>
    <cellStyle name="20% - akcent 4 51 4" xfId="8137"/>
    <cellStyle name="20% - akcent 4 51 5" xfId="14743"/>
    <cellStyle name="20% - akcent 4 51 6" xfId="21334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3" xfId="8140"/>
    <cellStyle name="20% - akcent 4 52 2 4" xfId="14746"/>
    <cellStyle name="20% - akcent 4 52 2 5" xfId="21337"/>
    <cellStyle name="20% - akcent 4 52 3" xfId="4794"/>
    <cellStyle name="20% - akcent 4 52 3 2" xfId="11429"/>
    <cellStyle name="20% - akcent 4 52 3 3" xfId="18033"/>
    <cellStyle name="20% - akcent 4 52 3 4" xfId="24624"/>
    <cellStyle name="20% - akcent 4 52 4" xfId="8139"/>
    <cellStyle name="20% - akcent 4 52 5" xfId="14745"/>
    <cellStyle name="20% - akcent 4 52 6" xfId="21336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3" xfId="8142"/>
    <cellStyle name="20% - akcent 4 53 2 4" xfId="14748"/>
    <cellStyle name="20% - akcent 4 53 2 5" xfId="21339"/>
    <cellStyle name="20% - akcent 4 53 3" xfId="4796"/>
    <cellStyle name="20% - akcent 4 53 3 2" xfId="11431"/>
    <cellStyle name="20% - akcent 4 53 3 3" xfId="18035"/>
    <cellStyle name="20% - akcent 4 53 3 4" xfId="24626"/>
    <cellStyle name="20% - akcent 4 53 4" xfId="8141"/>
    <cellStyle name="20% - akcent 4 53 5" xfId="14747"/>
    <cellStyle name="20% - akcent 4 53 6" xfId="21338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3" xfId="8144"/>
    <cellStyle name="20% - akcent 4 54 2 4" xfId="14750"/>
    <cellStyle name="20% - akcent 4 54 2 5" xfId="21341"/>
    <cellStyle name="20% - akcent 4 54 3" xfId="4798"/>
    <cellStyle name="20% - akcent 4 54 3 2" xfId="11433"/>
    <cellStyle name="20% - akcent 4 54 3 3" xfId="18037"/>
    <cellStyle name="20% - akcent 4 54 3 4" xfId="24628"/>
    <cellStyle name="20% - akcent 4 54 4" xfId="8143"/>
    <cellStyle name="20% - akcent 4 54 5" xfId="14749"/>
    <cellStyle name="20% - akcent 4 54 6" xfId="21340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3" xfId="8146"/>
    <cellStyle name="20% - akcent 4 55 2 4" xfId="14752"/>
    <cellStyle name="20% - akcent 4 55 2 5" xfId="21343"/>
    <cellStyle name="20% - akcent 4 55 3" xfId="4800"/>
    <cellStyle name="20% - akcent 4 55 3 2" xfId="11435"/>
    <cellStyle name="20% - akcent 4 55 3 3" xfId="18039"/>
    <cellStyle name="20% - akcent 4 55 3 4" xfId="24630"/>
    <cellStyle name="20% - akcent 4 55 4" xfId="8145"/>
    <cellStyle name="20% - akcent 4 55 5" xfId="14751"/>
    <cellStyle name="20% - akcent 4 55 6" xfId="21342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3" xfId="8148"/>
    <cellStyle name="20% - akcent 4 56 2 4" xfId="14754"/>
    <cellStyle name="20% - akcent 4 56 2 5" xfId="21345"/>
    <cellStyle name="20% - akcent 4 56 3" xfId="4802"/>
    <cellStyle name="20% - akcent 4 56 3 2" xfId="11437"/>
    <cellStyle name="20% - akcent 4 56 3 3" xfId="18041"/>
    <cellStyle name="20% - akcent 4 56 3 4" xfId="24632"/>
    <cellStyle name="20% - akcent 4 56 4" xfId="8147"/>
    <cellStyle name="20% - akcent 4 56 5" xfId="14753"/>
    <cellStyle name="20% - akcent 4 56 6" xfId="21344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3" xfId="8150"/>
    <cellStyle name="20% - akcent 4 57 2 4" xfId="14756"/>
    <cellStyle name="20% - akcent 4 57 2 5" xfId="21347"/>
    <cellStyle name="20% - akcent 4 57 3" xfId="4804"/>
    <cellStyle name="20% - akcent 4 57 3 2" xfId="11439"/>
    <cellStyle name="20% - akcent 4 57 3 3" xfId="18043"/>
    <cellStyle name="20% - akcent 4 57 3 4" xfId="24634"/>
    <cellStyle name="20% - akcent 4 57 4" xfId="8149"/>
    <cellStyle name="20% - akcent 4 57 5" xfId="14755"/>
    <cellStyle name="20% - akcent 4 57 6" xfId="21346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3" xfId="8152"/>
    <cellStyle name="20% - akcent 4 58 2 4" xfId="14758"/>
    <cellStyle name="20% - akcent 4 58 2 5" xfId="21349"/>
    <cellStyle name="20% - akcent 4 58 3" xfId="4806"/>
    <cellStyle name="20% - akcent 4 58 3 2" xfId="11441"/>
    <cellStyle name="20% - akcent 4 58 3 3" xfId="18045"/>
    <cellStyle name="20% - akcent 4 58 3 4" xfId="24636"/>
    <cellStyle name="20% - akcent 4 58 4" xfId="8151"/>
    <cellStyle name="20% - akcent 4 58 5" xfId="14757"/>
    <cellStyle name="20% - akcent 4 58 6" xfId="21348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3" xfId="8154"/>
    <cellStyle name="20% - akcent 4 59 2 4" xfId="14760"/>
    <cellStyle name="20% - akcent 4 59 2 5" xfId="21351"/>
    <cellStyle name="20% - akcent 4 59 3" xfId="4808"/>
    <cellStyle name="20% - akcent 4 59 3 2" xfId="11443"/>
    <cellStyle name="20% - akcent 4 59 3 3" xfId="18047"/>
    <cellStyle name="20% - akcent 4 59 3 4" xfId="24638"/>
    <cellStyle name="20% - akcent 4 59 4" xfId="8153"/>
    <cellStyle name="20% - akcent 4 59 5" xfId="14759"/>
    <cellStyle name="20% - akcent 4 59 6" xfId="21350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3" xfId="8156"/>
    <cellStyle name="20% - akcent 4 6 2 4" xfId="14762"/>
    <cellStyle name="20% - akcent 4 6 2 5" xfId="21353"/>
    <cellStyle name="20% - akcent 4 6 3" xfId="4810"/>
    <cellStyle name="20% - akcent 4 6 3 2" xfId="11445"/>
    <cellStyle name="20% - akcent 4 6 3 3" xfId="18049"/>
    <cellStyle name="20% - akcent 4 6 3 4" xfId="24640"/>
    <cellStyle name="20% - akcent 4 6 4" xfId="8155"/>
    <cellStyle name="20% - akcent 4 6 5" xfId="14761"/>
    <cellStyle name="20% - akcent 4 6 6" xfId="21352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3" xfId="8157"/>
    <cellStyle name="20% - akcent 4 60 4" xfId="14763"/>
    <cellStyle name="20% - akcent 4 60 5" xfId="21354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3" xfId="8158"/>
    <cellStyle name="20% - akcent 4 61 4" xfId="14764"/>
    <cellStyle name="20% - akcent 4 61 5" xfId="21355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3" xfId="8159"/>
    <cellStyle name="20% - akcent 4 62 4" xfId="14765"/>
    <cellStyle name="20% - akcent 4 62 5" xfId="21356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3" xfId="8160"/>
    <cellStyle name="20% - akcent 4 63 4" xfId="14766"/>
    <cellStyle name="20% - akcent 4 63 5" xfId="21357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3" xfId="8161"/>
    <cellStyle name="20% - akcent 4 64 4" xfId="14767"/>
    <cellStyle name="20% - akcent 4 64 5" xfId="21358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3" xfId="8162"/>
    <cellStyle name="20% - akcent 4 65 4" xfId="14768"/>
    <cellStyle name="20% - akcent 4 65 5" xfId="21359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3" xfId="8163"/>
    <cellStyle name="20% - akcent 4 66 4" xfId="14769"/>
    <cellStyle name="20% - akcent 4 66 5" xfId="21360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3" xfId="8164"/>
    <cellStyle name="20% - akcent 4 67 4" xfId="14770"/>
    <cellStyle name="20% - akcent 4 67 5" xfId="21361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3" xfId="8165"/>
    <cellStyle name="20% - akcent 4 68 4" xfId="14771"/>
    <cellStyle name="20% - akcent 4 68 5" xfId="21362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3" xfId="8166"/>
    <cellStyle name="20% - akcent 4 69 4" xfId="14772"/>
    <cellStyle name="20% - akcent 4 69 5" xfId="21363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3" xfId="8168"/>
    <cellStyle name="20% - akcent 4 7 2 4" xfId="14774"/>
    <cellStyle name="20% - akcent 4 7 2 5" xfId="21365"/>
    <cellStyle name="20% - akcent 4 7 3" xfId="4822"/>
    <cellStyle name="20% - akcent 4 7 3 2" xfId="11457"/>
    <cellStyle name="20% - akcent 4 7 3 3" xfId="18061"/>
    <cellStyle name="20% - akcent 4 7 3 4" xfId="24652"/>
    <cellStyle name="20% - akcent 4 7 4" xfId="8167"/>
    <cellStyle name="20% - akcent 4 7 5" xfId="14773"/>
    <cellStyle name="20% - akcent 4 7 6" xfId="21364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3" xfId="8169"/>
    <cellStyle name="20% - akcent 4 70 4" xfId="14775"/>
    <cellStyle name="20% - akcent 4 70 5" xfId="21366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3" xfId="8170"/>
    <cellStyle name="20% - akcent 4 71 4" xfId="14776"/>
    <cellStyle name="20% - akcent 4 71 5" xfId="21367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3" xfId="8171"/>
    <cellStyle name="20% - akcent 4 72 4" xfId="14777"/>
    <cellStyle name="20% - akcent 4 72 5" xfId="21368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3" xfId="8172"/>
    <cellStyle name="20% - akcent 4 73 4" xfId="14778"/>
    <cellStyle name="20% - akcent 4 73 5" xfId="21369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3" xfId="8173"/>
    <cellStyle name="20% - akcent 4 74 4" xfId="14779"/>
    <cellStyle name="20% - akcent 4 74 5" xfId="21370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3" xfId="8174"/>
    <cellStyle name="20% - akcent 4 75 4" xfId="14780"/>
    <cellStyle name="20% - akcent 4 75 5" xfId="21371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3" xfId="8175"/>
    <cellStyle name="20% - akcent 4 76 4" xfId="14781"/>
    <cellStyle name="20% - akcent 4 76 5" xfId="21372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3" xfId="8176"/>
    <cellStyle name="20% - akcent 4 77 4" xfId="14782"/>
    <cellStyle name="20% - akcent 4 77 5" xfId="21373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3" xfId="8177"/>
    <cellStyle name="20% - akcent 4 78 4" xfId="14783"/>
    <cellStyle name="20% - akcent 4 78 5" xfId="21374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3" xfId="8178"/>
    <cellStyle name="20% - akcent 4 79 4" xfId="14784"/>
    <cellStyle name="20% - akcent 4 79 5" xfId="21375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3" xfId="8180"/>
    <cellStyle name="20% - akcent 4 8 2 4" xfId="14786"/>
    <cellStyle name="20% - akcent 4 8 2 5" xfId="21377"/>
    <cellStyle name="20% - akcent 4 8 3" xfId="4834"/>
    <cellStyle name="20% - akcent 4 8 3 2" xfId="11469"/>
    <cellStyle name="20% - akcent 4 8 3 3" xfId="18073"/>
    <cellStyle name="20% - akcent 4 8 3 4" xfId="24664"/>
    <cellStyle name="20% - akcent 4 8 4" xfId="8179"/>
    <cellStyle name="20% - akcent 4 8 5" xfId="14785"/>
    <cellStyle name="20% - akcent 4 8 6" xfId="21376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3" xfId="8181"/>
    <cellStyle name="20% - akcent 4 80 4" xfId="14787"/>
    <cellStyle name="20% - akcent 4 80 5" xfId="21378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3" xfId="8182"/>
    <cellStyle name="20% - akcent 4 81 4" xfId="14788"/>
    <cellStyle name="20% - akcent 4 81 5" xfId="21379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3" xfId="8183"/>
    <cellStyle name="20% - akcent 4 82 4" xfId="14789"/>
    <cellStyle name="20% - akcent 4 82 5" xfId="21380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3" xfId="8184"/>
    <cellStyle name="20% - akcent 4 83 4" xfId="14790"/>
    <cellStyle name="20% - akcent 4 83 5" xfId="21381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3" xfId="8185"/>
    <cellStyle name="20% - akcent 4 84 4" xfId="14791"/>
    <cellStyle name="20% - akcent 4 84 5" xfId="21382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3" xfId="8186"/>
    <cellStyle name="20% - akcent 4 85 4" xfId="14792"/>
    <cellStyle name="20% - akcent 4 85 5" xfId="21383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3" xfId="8187"/>
    <cellStyle name="20% - akcent 4 86 4" xfId="14793"/>
    <cellStyle name="20% - akcent 4 86 5" xfId="21384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3" xfId="8188"/>
    <cellStyle name="20% - akcent 4 87 4" xfId="14794"/>
    <cellStyle name="20% - akcent 4 87 5" xfId="21385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3" xfId="8189"/>
    <cellStyle name="20% - akcent 4 88 4" xfId="14795"/>
    <cellStyle name="20% - akcent 4 88 5" xfId="21386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3" xfId="8190"/>
    <cellStyle name="20% - akcent 4 89 4" xfId="14796"/>
    <cellStyle name="20% - akcent 4 89 5" xfId="21387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3" xfId="8192"/>
    <cellStyle name="20% - akcent 4 9 2 4" xfId="14798"/>
    <cellStyle name="20% - akcent 4 9 2 5" xfId="21389"/>
    <cellStyle name="20% - akcent 4 9 3" xfId="4846"/>
    <cellStyle name="20% - akcent 4 9 3 2" xfId="11481"/>
    <cellStyle name="20% - akcent 4 9 3 3" xfId="18085"/>
    <cellStyle name="20% - akcent 4 9 3 4" xfId="24676"/>
    <cellStyle name="20% - akcent 4 9 4" xfId="8191"/>
    <cellStyle name="20% - akcent 4 9 5" xfId="14797"/>
    <cellStyle name="20% - akcent 4 9 6" xfId="21388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3" xfId="8193"/>
    <cellStyle name="20% - akcent 4 90 4" xfId="14799"/>
    <cellStyle name="20% - akcent 4 90 5" xfId="21390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3" xfId="8194"/>
    <cellStyle name="20% - akcent 4 91 4" xfId="14800"/>
    <cellStyle name="20% - akcent 4 91 5" xfId="21391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3" xfId="8195"/>
    <cellStyle name="20% - akcent 4 92 4" xfId="14801"/>
    <cellStyle name="20% - akcent 4 92 5" xfId="21392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3" xfId="8196"/>
    <cellStyle name="20% - akcent 4 93 4" xfId="14802"/>
    <cellStyle name="20% - akcent 4 93 5" xfId="21393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3" xfId="8197"/>
    <cellStyle name="20% - akcent 4 94 4" xfId="14803"/>
    <cellStyle name="20% - akcent 4 94 5" xfId="21394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3" xfId="8198"/>
    <cellStyle name="20% - akcent 4 95 4" xfId="14804"/>
    <cellStyle name="20% - akcent 4 95 5" xfId="21395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3" xfId="8199"/>
    <cellStyle name="20% - akcent 4 96 4" xfId="14805"/>
    <cellStyle name="20% - akcent 4 96 5" xfId="21396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3" xfId="8200"/>
    <cellStyle name="20% - akcent 4 97 4" xfId="14806"/>
    <cellStyle name="20% - akcent 4 97 5" xfId="21397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3" xfId="8201"/>
    <cellStyle name="20% - akcent 4 98 4" xfId="14807"/>
    <cellStyle name="20% - akcent 4 98 5" xfId="21398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3" xfId="8202"/>
    <cellStyle name="20% - akcent 4 99 4" xfId="14808"/>
    <cellStyle name="20% - akcent 4 99 5" xfId="21399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3" xfId="8204"/>
    <cellStyle name="20% - akcent 5 10 2 4" xfId="14810"/>
    <cellStyle name="20% - akcent 5 10 2 5" xfId="21401"/>
    <cellStyle name="20% - akcent 5 10 3" xfId="4858"/>
    <cellStyle name="20% - akcent 5 10 3 2" xfId="11493"/>
    <cellStyle name="20% - akcent 5 10 3 3" xfId="18097"/>
    <cellStyle name="20% - akcent 5 10 3 4" xfId="24688"/>
    <cellStyle name="20% - akcent 5 10 4" xfId="8203"/>
    <cellStyle name="20% - akcent 5 10 5" xfId="14809"/>
    <cellStyle name="20% - akcent 5 10 6" xfId="21400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3" xfId="8205"/>
    <cellStyle name="20% - akcent 5 100 4" xfId="14811"/>
    <cellStyle name="20% - akcent 5 100 5" xfId="21402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3" xfId="8206"/>
    <cellStyle name="20% - akcent 5 101 4" xfId="14812"/>
    <cellStyle name="20% - akcent 5 101 5" xfId="21403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3" xfId="8207"/>
    <cellStyle name="20% - akcent 5 102 4" xfId="14813"/>
    <cellStyle name="20% - akcent 5 102 5" xfId="21404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3" xfId="8208"/>
    <cellStyle name="20% - akcent 5 103 4" xfId="14814"/>
    <cellStyle name="20% - akcent 5 103 5" xfId="21405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3" xfId="8209"/>
    <cellStyle name="20% - akcent 5 104 4" xfId="14815"/>
    <cellStyle name="20% - akcent 5 104 5" xfId="21406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3" xfId="8210"/>
    <cellStyle name="20% - akcent 5 105 4" xfId="14816"/>
    <cellStyle name="20% - akcent 5 105 5" xfId="21407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3" xfId="8211"/>
    <cellStyle name="20% - akcent 5 106 4" xfId="14817"/>
    <cellStyle name="20% - akcent 5 106 5" xfId="21408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3" xfId="8212"/>
    <cellStyle name="20% - akcent 5 107 4" xfId="14818"/>
    <cellStyle name="20% - akcent 5 107 5" xfId="21409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3" xfId="8213"/>
    <cellStyle name="20% - akcent 5 108 4" xfId="14819"/>
    <cellStyle name="20% - akcent 5 108 5" xfId="21410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3" xfId="8214"/>
    <cellStyle name="20% - akcent 5 109 4" xfId="14820"/>
    <cellStyle name="20% - akcent 5 109 5" xfId="21411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3" xfId="8216"/>
    <cellStyle name="20% - akcent 5 11 2 4" xfId="14822"/>
    <cellStyle name="20% - akcent 5 11 2 5" xfId="21413"/>
    <cellStyle name="20% - akcent 5 11 3" xfId="4870"/>
    <cellStyle name="20% - akcent 5 11 3 2" xfId="11505"/>
    <cellStyle name="20% - akcent 5 11 3 3" xfId="18109"/>
    <cellStyle name="20% - akcent 5 11 3 4" xfId="24700"/>
    <cellStyle name="20% - akcent 5 11 4" xfId="8215"/>
    <cellStyle name="20% - akcent 5 11 5" xfId="14821"/>
    <cellStyle name="20% - akcent 5 11 6" xfId="21412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3" xfId="8217"/>
    <cellStyle name="20% - akcent 5 110 4" xfId="14823"/>
    <cellStyle name="20% - akcent 5 110 5" xfId="21414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3" xfId="8218"/>
    <cellStyle name="20% - akcent 5 111 4" xfId="14824"/>
    <cellStyle name="20% - akcent 5 111 5" xfId="21415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3" xfId="8219"/>
    <cellStyle name="20% - akcent 5 112 4" xfId="14825"/>
    <cellStyle name="20% - akcent 5 112 5" xfId="21416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3" xfId="8220"/>
    <cellStyle name="20% - akcent 5 113 4" xfId="14826"/>
    <cellStyle name="20% - akcent 5 113 5" xfId="21417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3" xfId="8221"/>
    <cellStyle name="20% - akcent 5 114 4" xfId="14827"/>
    <cellStyle name="20% - akcent 5 114 5" xfId="21418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3" xfId="8222"/>
    <cellStyle name="20% - akcent 5 115 4" xfId="14828"/>
    <cellStyle name="20% - akcent 5 115 5" xfId="21419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3" xfId="8223"/>
    <cellStyle name="20% - akcent 5 116 4" xfId="14829"/>
    <cellStyle name="20% - akcent 5 116 5" xfId="21420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3" xfId="8224"/>
    <cellStyle name="20% - akcent 5 117 4" xfId="14830"/>
    <cellStyle name="20% - akcent 5 117 5" xfId="21421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3" xfId="8225"/>
    <cellStyle name="20% - akcent 5 118 4" xfId="14831"/>
    <cellStyle name="20% - akcent 5 118 5" xfId="21422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3" xfId="8226"/>
    <cellStyle name="20% - akcent 5 119 4" xfId="14832"/>
    <cellStyle name="20% - akcent 5 119 5" xfId="21423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3" xfId="8228"/>
    <cellStyle name="20% - akcent 5 12 2 4" xfId="14834"/>
    <cellStyle name="20% - akcent 5 12 2 5" xfId="21425"/>
    <cellStyle name="20% - akcent 5 12 3" xfId="4882"/>
    <cellStyle name="20% - akcent 5 12 3 2" xfId="11517"/>
    <cellStyle name="20% - akcent 5 12 3 3" xfId="18121"/>
    <cellStyle name="20% - akcent 5 12 3 4" xfId="24712"/>
    <cellStyle name="20% - akcent 5 12 4" xfId="8227"/>
    <cellStyle name="20% - akcent 5 12 5" xfId="14833"/>
    <cellStyle name="20% - akcent 5 12 6" xfId="21424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3" xfId="8229"/>
    <cellStyle name="20% - akcent 5 120 4" xfId="14835"/>
    <cellStyle name="20% - akcent 5 120 5" xfId="21426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3" xfId="8230"/>
    <cellStyle name="20% - akcent 5 121 4" xfId="14836"/>
    <cellStyle name="20% - akcent 5 121 5" xfId="21427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3" xfId="8231"/>
    <cellStyle name="20% - akcent 5 122 4" xfId="14837"/>
    <cellStyle name="20% - akcent 5 122 5" xfId="21428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3" xfId="8232"/>
    <cellStyle name="20% - akcent 5 123 4" xfId="14838"/>
    <cellStyle name="20% - akcent 5 123 5" xfId="21429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3" xfId="8233"/>
    <cellStyle name="20% - akcent 5 124 4" xfId="14839"/>
    <cellStyle name="20% - akcent 5 124 5" xfId="21430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3" xfId="8234"/>
    <cellStyle name="20% - akcent 5 125 4" xfId="14840"/>
    <cellStyle name="20% - akcent 5 125 5" xfId="21431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3" xfId="8235"/>
    <cellStyle name="20% - akcent 5 126 4" xfId="14841"/>
    <cellStyle name="20% - akcent 5 126 5" xfId="21432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3" xfId="8236"/>
    <cellStyle name="20% - akcent 5 127 4" xfId="14842"/>
    <cellStyle name="20% - akcent 5 127 5" xfId="21433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3" xfId="8237"/>
    <cellStyle name="20% - akcent 5 128 4" xfId="14843"/>
    <cellStyle name="20% - akcent 5 128 5" xfId="21434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3" xfId="8238"/>
    <cellStyle name="20% - akcent 5 129 4" xfId="14844"/>
    <cellStyle name="20% - akcent 5 129 5" xfId="21435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3" xfId="8240"/>
    <cellStyle name="20% - akcent 5 13 2 4" xfId="14846"/>
    <cellStyle name="20% - akcent 5 13 2 5" xfId="21437"/>
    <cellStyle name="20% - akcent 5 13 3" xfId="4894"/>
    <cellStyle name="20% - akcent 5 13 3 2" xfId="11529"/>
    <cellStyle name="20% - akcent 5 13 3 3" xfId="18133"/>
    <cellStyle name="20% - akcent 5 13 3 4" xfId="24724"/>
    <cellStyle name="20% - akcent 5 13 4" xfId="8239"/>
    <cellStyle name="20% - akcent 5 13 5" xfId="14845"/>
    <cellStyle name="20% - akcent 5 13 6" xfId="21436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3" xfId="8241"/>
    <cellStyle name="20% - akcent 5 130 4" xfId="14847"/>
    <cellStyle name="20% - akcent 5 130 5" xfId="21438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3" xfId="8242"/>
    <cellStyle name="20% - akcent 5 131 4" xfId="14848"/>
    <cellStyle name="20% - akcent 5 131 5" xfId="21439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3" xfId="8243"/>
    <cellStyle name="20% - akcent 5 132 4" xfId="14849"/>
    <cellStyle name="20% - akcent 5 132 5" xfId="21440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3" xfId="8244"/>
    <cellStyle name="20% - akcent 5 133 4" xfId="14850"/>
    <cellStyle name="20% - akcent 5 133 5" xfId="21441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3" xfId="8245"/>
    <cellStyle name="20% - akcent 5 134 4" xfId="14851"/>
    <cellStyle name="20% - akcent 5 134 5" xfId="21442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3" xfId="8246"/>
    <cellStyle name="20% - akcent 5 135 4" xfId="14852"/>
    <cellStyle name="20% - akcent 5 135 5" xfId="21443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3" xfId="8247"/>
    <cellStyle name="20% - akcent 5 136 4" xfId="14853"/>
    <cellStyle name="20% - akcent 5 136 5" xfId="21444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3" xfId="8248"/>
    <cellStyle name="20% - akcent 5 137 4" xfId="14854"/>
    <cellStyle name="20% - akcent 5 137 5" xfId="21445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3" xfId="8249"/>
    <cellStyle name="20% - akcent 5 138 4" xfId="14855"/>
    <cellStyle name="20% - akcent 5 138 5" xfId="21446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3" xfId="8250"/>
    <cellStyle name="20% - akcent 5 139 4" xfId="14856"/>
    <cellStyle name="20% - akcent 5 139 5" xfId="21447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3" xfId="8252"/>
    <cellStyle name="20% - akcent 5 14 2 4" xfId="14858"/>
    <cellStyle name="20% - akcent 5 14 2 5" xfId="21449"/>
    <cellStyle name="20% - akcent 5 14 3" xfId="4906"/>
    <cellStyle name="20% - akcent 5 14 3 2" xfId="11541"/>
    <cellStyle name="20% - akcent 5 14 3 3" xfId="18145"/>
    <cellStyle name="20% - akcent 5 14 3 4" xfId="24736"/>
    <cellStyle name="20% - akcent 5 14 4" xfId="8251"/>
    <cellStyle name="20% - akcent 5 14 5" xfId="14857"/>
    <cellStyle name="20% - akcent 5 14 6" xfId="21448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3" xfId="8253"/>
    <cellStyle name="20% - akcent 5 140 4" xfId="14859"/>
    <cellStyle name="20% - akcent 5 140 5" xfId="21450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3" xfId="8254"/>
    <cellStyle name="20% - akcent 5 141 4" xfId="14860"/>
    <cellStyle name="20% - akcent 5 141 5" xfId="21451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3" xfId="8255"/>
    <cellStyle name="20% - akcent 5 142 4" xfId="14861"/>
    <cellStyle name="20% - akcent 5 142 5" xfId="21452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3" xfId="8256"/>
    <cellStyle name="20% - akcent 5 143 4" xfId="14862"/>
    <cellStyle name="20% - akcent 5 143 5" xfId="21453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3" xfId="8257"/>
    <cellStyle name="20% - akcent 5 144 4" xfId="14863"/>
    <cellStyle name="20% - akcent 5 144 5" xfId="21454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3" xfId="8258"/>
    <cellStyle name="20% - akcent 5 145 4" xfId="14864"/>
    <cellStyle name="20% - akcent 5 145 5" xfId="21455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3" xfId="8259"/>
    <cellStyle name="20% - akcent 5 146 4" xfId="14865"/>
    <cellStyle name="20% - akcent 5 146 5" xfId="21456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3" xfId="8260"/>
    <cellStyle name="20% - akcent 5 147 4" xfId="14866"/>
    <cellStyle name="20% - akcent 5 147 5" xfId="21457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3" xfId="8261"/>
    <cellStyle name="20% - akcent 5 148 4" xfId="14867"/>
    <cellStyle name="20% - akcent 5 148 5" xfId="21458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3" xfId="8262"/>
    <cellStyle name="20% - akcent 5 149 4" xfId="14868"/>
    <cellStyle name="20% - akcent 5 149 5" xfId="21459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3" xfId="8264"/>
    <cellStyle name="20% - akcent 5 15 2 4" xfId="14870"/>
    <cellStyle name="20% - akcent 5 15 2 5" xfId="21461"/>
    <cellStyle name="20% - akcent 5 15 3" xfId="4918"/>
    <cellStyle name="20% - akcent 5 15 3 2" xfId="11553"/>
    <cellStyle name="20% - akcent 5 15 3 3" xfId="18157"/>
    <cellStyle name="20% - akcent 5 15 3 4" xfId="24748"/>
    <cellStyle name="20% - akcent 5 15 4" xfId="8263"/>
    <cellStyle name="20% - akcent 5 15 5" xfId="14869"/>
    <cellStyle name="20% - akcent 5 15 6" xfId="21460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3" xfId="8265"/>
    <cellStyle name="20% - akcent 5 150 4" xfId="14871"/>
    <cellStyle name="20% - akcent 5 150 5" xfId="21462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3" xfId="8266"/>
    <cellStyle name="20% - akcent 5 151 4" xfId="14872"/>
    <cellStyle name="20% - akcent 5 151 5" xfId="21463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3" xfId="8267"/>
    <cellStyle name="20% - akcent 5 152 4" xfId="14873"/>
    <cellStyle name="20% - akcent 5 152 5" xfId="21464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3" xfId="8268"/>
    <cellStyle name="20% - akcent 5 153 4" xfId="14874"/>
    <cellStyle name="20% - akcent 5 153 5" xfId="21465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3" xfId="8269"/>
    <cellStyle name="20% - akcent 5 154 4" xfId="14875"/>
    <cellStyle name="20% - akcent 5 154 5" xfId="21466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3" xfId="8270"/>
    <cellStyle name="20% - akcent 5 155 4" xfId="14876"/>
    <cellStyle name="20% - akcent 5 155 5" xfId="21467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3" xfId="8271"/>
    <cellStyle name="20% - akcent 5 156 4" xfId="14877"/>
    <cellStyle name="20% - akcent 5 156 5" xfId="21468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3" xfId="8272"/>
    <cellStyle name="20% - akcent 5 157 4" xfId="14878"/>
    <cellStyle name="20% - akcent 5 157 5" xfId="21469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3" xfId="8273"/>
    <cellStyle name="20% - akcent 5 158 4" xfId="14879"/>
    <cellStyle name="20% - akcent 5 158 5" xfId="21470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3" xfId="8274"/>
    <cellStyle name="20% - akcent 5 159 4" xfId="14880"/>
    <cellStyle name="20% - akcent 5 159 5" xfId="21471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3" xfId="8276"/>
    <cellStyle name="20% - akcent 5 16 2 4" xfId="14882"/>
    <cellStyle name="20% - akcent 5 16 2 5" xfId="21473"/>
    <cellStyle name="20% - akcent 5 16 3" xfId="4930"/>
    <cellStyle name="20% - akcent 5 16 3 2" xfId="11565"/>
    <cellStyle name="20% - akcent 5 16 3 3" xfId="18169"/>
    <cellStyle name="20% - akcent 5 16 3 4" xfId="24760"/>
    <cellStyle name="20% - akcent 5 16 4" xfId="8275"/>
    <cellStyle name="20% - akcent 5 16 5" xfId="14881"/>
    <cellStyle name="20% - akcent 5 16 6" xfId="21472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3" xfId="8277"/>
    <cellStyle name="20% - akcent 5 160 4" xfId="14883"/>
    <cellStyle name="20% - akcent 5 160 5" xfId="21474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3" xfId="8278"/>
    <cellStyle name="20% - akcent 5 161 4" xfId="14884"/>
    <cellStyle name="20% - akcent 5 161 5" xfId="21475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3" xfId="8279"/>
    <cellStyle name="20% - akcent 5 162 4" xfId="14885"/>
    <cellStyle name="20% - akcent 5 162 5" xfId="21476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3" xfId="8280"/>
    <cellStyle name="20% - akcent 5 163 4" xfId="14886"/>
    <cellStyle name="20% - akcent 5 163 5" xfId="21477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3" xfId="8281"/>
    <cellStyle name="20% - akcent 5 164 4" xfId="14887"/>
    <cellStyle name="20% - akcent 5 164 5" xfId="21478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3" xfId="8282"/>
    <cellStyle name="20% - akcent 5 165 4" xfId="14888"/>
    <cellStyle name="20% - akcent 5 165 5" xfId="21479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3" xfId="8283"/>
    <cellStyle name="20% - akcent 5 166 4" xfId="14889"/>
    <cellStyle name="20% - akcent 5 166 5" xfId="21480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3" xfId="8284"/>
    <cellStyle name="20% - akcent 5 167 4" xfId="14890"/>
    <cellStyle name="20% - akcent 5 167 5" xfId="21481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3" xfId="8285"/>
    <cellStyle name="20% - akcent 5 168 4" xfId="14891"/>
    <cellStyle name="20% - akcent 5 168 5" xfId="21482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3" xfId="8286"/>
    <cellStyle name="20% - akcent 5 169 4" xfId="14892"/>
    <cellStyle name="20% - akcent 5 169 5" xfId="21483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3" xfId="8288"/>
    <cellStyle name="20% - akcent 5 17 2 4" xfId="14894"/>
    <cellStyle name="20% - akcent 5 17 2 5" xfId="21485"/>
    <cellStyle name="20% - akcent 5 17 3" xfId="4942"/>
    <cellStyle name="20% - akcent 5 17 3 2" xfId="11577"/>
    <cellStyle name="20% - akcent 5 17 3 3" xfId="18181"/>
    <cellStyle name="20% - akcent 5 17 3 4" xfId="24772"/>
    <cellStyle name="20% - akcent 5 17 4" xfId="8287"/>
    <cellStyle name="20% - akcent 5 17 5" xfId="14893"/>
    <cellStyle name="20% - akcent 5 17 6" xfId="21484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3" xfId="8289"/>
    <cellStyle name="20% - akcent 5 170 4" xfId="14895"/>
    <cellStyle name="20% - akcent 5 170 5" xfId="21486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3" xfId="8290"/>
    <cellStyle name="20% - akcent 5 171 4" xfId="14896"/>
    <cellStyle name="20% - akcent 5 171 5" xfId="21487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3" xfId="8291"/>
    <cellStyle name="20% - akcent 5 172 4" xfId="14897"/>
    <cellStyle name="20% - akcent 5 172 5" xfId="21488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3" xfId="8292"/>
    <cellStyle name="20% - akcent 5 173 4" xfId="14898"/>
    <cellStyle name="20% - akcent 5 173 5" xfId="21489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3" xfId="8293"/>
    <cellStyle name="20% - akcent 5 174 4" xfId="14899"/>
    <cellStyle name="20% - akcent 5 174 5" xfId="21490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3" xfId="8294"/>
    <cellStyle name="20% - akcent 5 175 4" xfId="14900"/>
    <cellStyle name="20% - akcent 5 175 5" xfId="21491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3" xfId="8295"/>
    <cellStyle name="20% - akcent 5 176 4" xfId="14901"/>
    <cellStyle name="20% - akcent 5 176 5" xfId="21492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3" xfId="8296"/>
    <cellStyle name="20% - akcent 5 177 4" xfId="14902"/>
    <cellStyle name="20% - akcent 5 177 5" xfId="21493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3" xfId="8297"/>
    <cellStyle name="20% - akcent 5 178 4" xfId="14903"/>
    <cellStyle name="20% - akcent 5 178 5" xfId="21494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3" xfId="8298"/>
    <cellStyle name="20% - akcent 5 179 4" xfId="14904"/>
    <cellStyle name="20% - akcent 5 179 5" xfId="21495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3" xfId="8300"/>
    <cellStyle name="20% - akcent 5 18 2 4" xfId="14906"/>
    <cellStyle name="20% - akcent 5 18 2 5" xfId="21497"/>
    <cellStyle name="20% - akcent 5 18 3" xfId="4954"/>
    <cellStyle name="20% - akcent 5 18 3 2" xfId="11589"/>
    <cellStyle name="20% - akcent 5 18 3 3" xfId="18193"/>
    <cellStyle name="20% - akcent 5 18 3 4" xfId="24784"/>
    <cellStyle name="20% - akcent 5 18 4" xfId="8299"/>
    <cellStyle name="20% - akcent 5 18 5" xfId="14905"/>
    <cellStyle name="20% - akcent 5 18 6" xfId="21496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3" xfId="8301"/>
    <cellStyle name="20% - akcent 5 180 4" xfId="14907"/>
    <cellStyle name="20% - akcent 5 180 5" xfId="21498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3" xfId="8302"/>
    <cellStyle name="20% - akcent 5 181 4" xfId="14908"/>
    <cellStyle name="20% - akcent 5 181 5" xfId="21499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3" xfId="8303"/>
    <cellStyle name="20% - akcent 5 182 4" xfId="14909"/>
    <cellStyle name="20% - akcent 5 182 5" xfId="21500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3" xfId="8304"/>
    <cellStyle name="20% - akcent 5 183 4" xfId="14910"/>
    <cellStyle name="20% - akcent 5 183 5" xfId="21501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3" xfId="8305"/>
    <cellStyle name="20% - akcent 5 184 4" xfId="14911"/>
    <cellStyle name="20% - akcent 5 184 5" xfId="21502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3" xfId="8306"/>
    <cellStyle name="20% - akcent 5 185 4" xfId="14912"/>
    <cellStyle name="20% - akcent 5 185 5" xfId="21503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3" xfId="8307"/>
    <cellStyle name="20% - akcent 5 186 4" xfId="14913"/>
    <cellStyle name="20% - akcent 5 186 5" xfId="21504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3" xfId="8308"/>
    <cellStyle name="20% - akcent 5 187 4" xfId="14914"/>
    <cellStyle name="20% - akcent 5 187 5" xfId="21505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3" xfId="8309"/>
    <cellStyle name="20% - akcent 5 188 4" xfId="14915"/>
    <cellStyle name="20% - akcent 5 188 5" xfId="21506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3" xfId="8310"/>
    <cellStyle name="20% - akcent 5 189 4" xfId="14916"/>
    <cellStyle name="20% - akcent 5 189 5" xfId="21507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3" xfId="8312"/>
    <cellStyle name="20% - akcent 5 19 2 4" xfId="14918"/>
    <cellStyle name="20% - akcent 5 19 2 5" xfId="21509"/>
    <cellStyle name="20% - akcent 5 19 3" xfId="4966"/>
    <cellStyle name="20% - akcent 5 19 3 2" xfId="11601"/>
    <cellStyle name="20% - akcent 5 19 3 3" xfId="18205"/>
    <cellStyle name="20% - akcent 5 19 3 4" xfId="24796"/>
    <cellStyle name="20% - akcent 5 19 4" xfId="8311"/>
    <cellStyle name="20% - akcent 5 19 5" xfId="14917"/>
    <cellStyle name="20% - akcent 5 19 6" xfId="21508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3" xfId="8313"/>
    <cellStyle name="20% - akcent 5 190 4" xfId="14919"/>
    <cellStyle name="20% - akcent 5 190 5" xfId="21510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3" xfId="8314"/>
    <cellStyle name="20% - akcent 5 191 4" xfId="14920"/>
    <cellStyle name="20% - akcent 5 191 5" xfId="21511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3" xfId="8315"/>
    <cellStyle name="20% - akcent 5 192 4" xfId="14921"/>
    <cellStyle name="20% - akcent 5 192 5" xfId="21512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3" xfId="8316"/>
    <cellStyle name="20% - akcent 5 193 4" xfId="14922"/>
    <cellStyle name="20% - akcent 5 193 5" xfId="21513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3" xfId="8317"/>
    <cellStyle name="20% - akcent 5 194 4" xfId="14923"/>
    <cellStyle name="20% - akcent 5 194 5" xfId="21514"/>
    <cellStyle name="20% - akcent 5 195" xfId="3845"/>
    <cellStyle name="20% - akcent 5 195 2" xfId="10480"/>
    <cellStyle name="20% - akcent 5 195 3" xfId="17084"/>
    <cellStyle name="20% - akcent 5 195 4" xfId="23675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3" xfId="8319"/>
    <cellStyle name="20% - akcent 5 2 2 4" xfId="14925"/>
    <cellStyle name="20% - akcent 5 2 2 5" xfId="21516"/>
    <cellStyle name="20% - akcent 5 2 3" xfId="4973"/>
    <cellStyle name="20% - akcent 5 2 3 2" xfId="11608"/>
    <cellStyle name="20% - akcent 5 2 3 3" xfId="18212"/>
    <cellStyle name="20% - akcent 5 2 3 4" xfId="24803"/>
    <cellStyle name="20% - akcent 5 2 4" xfId="8318"/>
    <cellStyle name="20% - akcent 5 2 5" xfId="14924"/>
    <cellStyle name="20% - akcent 5 2 6" xfId="21515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3" xfId="8321"/>
    <cellStyle name="20% - akcent 5 20 2 4" xfId="14927"/>
    <cellStyle name="20% - akcent 5 20 2 5" xfId="21518"/>
    <cellStyle name="20% - akcent 5 20 3" xfId="4975"/>
    <cellStyle name="20% - akcent 5 20 3 2" xfId="11610"/>
    <cellStyle name="20% - akcent 5 20 3 3" xfId="18214"/>
    <cellStyle name="20% - akcent 5 20 3 4" xfId="24805"/>
    <cellStyle name="20% - akcent 5 20 4" xfId="8320"/>
    <cellStyle name="20% - akcent 5 20 5" xfId="14926"/>
    <cellStyle name="20% - akcent 5 20 6" xfId="2151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3" xfId="8323"/>
    <cellStyle name="20% - akcent 5 21 2 4" xfId="14929"/>
    <cellStyle name="20% - akcent 5 21 2 5" xfId="21520"/>
    <cellStyle name="20% - akcent 5 21 3" xfId="4977"/>
    <cellStyle name="20% - akcent 5 21 3 2" xfId="11612"/>
    <cellStyle name="20% - akcent 5 21 3 3" xfId="18216"/>
    <cellStyle name="20% - akcent 5 21 3 4" xfId="24807"/>
    <cellStyle name="20% - akcent 5 21 4" xfId="8322"/>
    <cellStyle name="20% - akcent 5 21 5" xfId="14928"/>
    <cellStyle name="20% - akcent 5 21 6" xfId="21519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3" xfId="8325"/>
    <cellStyle name="20% - akcent 5 22 2 4" xfId="14931"/>
    <cellStyle name="20% - akcent 5 22 2 5" xfId="21522"/>
    <cellStyle name="20% - akcent 5 22 3" xfId="4979"/>
    <cellStyle name="20% - akcent 5 22 3 2" xfId="11614"/>
    <cellStyle name="20% - akcent 5 22 3 3" xfId="18218"/>
    <cellStyle name="20% - akcent 5 22 3 4" xfId="24809"/>
    <cellStyle name="20% - akcent 5 22 4" xfId="8324"/>
    <cellStyle name="20% - akcent 5 22 5" xfId="14930"/>
    <cellStyle name="20% - akcent 5 22 6" xfId="21521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3" xfId="8327"/>
    <cellStyle name="20% - akcent 5 23 2 4" xfId="14933"/>
    <cellStyle name="20% - akcent 5 23 2 5" xfId="21524"/>
    <cellStyle name="20% - akcent 5 23 3" xfId="4981"/>
    <cellStyle name="20% - akcent 5 23 3 2" xfId="11616"/>
    <cellStyle name="20% - akcent 5 23 3 3" xfId="18220"/>
    <cellStyle name="20% - akcent 5 23 3 4" xfId="24811"/>
    <cellStyle name="20% - akcent 5 23 4" xfId="8326"/>
    <cellStyle name="20% - akcent 5 23 5" xfId="14932"/>
    <cellStyle name="20% - akcent 5 23 6" xfId="21523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3" xfId="8329"/>
    <cellStyle name="20% - akcent 5 24 2 4" xfId="14935"/>
    <cellStyle name="20% - akcent 5 24 2 5" xfId="21526"/>
    <cellStyle name="20% - akcent 5 24 3" xfId="4983"/>
    <cellStyle name="20% - akcent 5 24 3 2" xfId="11618"/>
    <cellStyle name="20% - akcent 5 24 3 3" xfId="18222"/>
    <cellStyle name="20% - akcent 5 24 3 4" xfId="24813"/>
    <cellStyle name="20% - akcent 5 24 4" xfId="8328"/>
    <cellStyle name="20% - akcent 5 24 5" xfId="14934"/>
    <cellStyle name="20% - akcent 5 24 6" xfId="21525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3" xfId="8331"/>
    <cellStyle name="20% - akcent 5 25 2 4" xfId="14937"/>
    <cellStyle name="20% - akcent 5 25 2 5" xfId="21528"/>
    <cellStyle name="20% - akcent 5 25 3" xfId="4985"/>
    <cellStyle name="20% - akcent 5 25 3 2" xfId="11620"/>
    <cellStyle name="20% - akcent 5 25 3 3" xfId="18224"/>
    <cellStyle name="20% - akcent 5 25 3 4" xfId="24815"/>
    <cellStyle name="20% - akcent 5 25 4" xfId="8330"/>
    <cellStyle name="20% - akcent 5 25 5" xfId="14936"/>
    <cellStyle name="20% - akcent 5 25 6" xfId="21527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3" xfId="8333"/>
    <cellStyle name="20% - akcent 5 26 2 4" xfId="14939"/>
    <cellStyle name="20% - akcent 5 26 2 5" xfId="21530"/>
    <cellStyle name="20% - akcent 5 26 3" xfId="4987"/>
    <cellStyle name="20% - akcent 5 26 3 2" xfId="11622"/>
    <cellStyle name="20% - akcent 5 26 3 3" xfId="18226"/>
    <cellStyle name="20% - akcent 5 26 3 4" xfId="24817"/>
    <cellStyle name="20% - akcent 5 26 4" xfId="8332"/>
    <cellStyle name="20% - akcent 5 26 5" xfId="14938"/>
    <cellStyle name="20% - akcent 5 26 6" xfId="21529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3" xfId="8335"/>
    <cellStyle name="20% - akcent 5 27 2 4" xfId="14941"/>
    <cellStyle name="20% - akcent 5 27 2 5" xfId="21532"/>
    <cellStyle name="20% - akcent 5 27 3" xfId="4989"/>
    <cellStyle name="20% - akcent 5 27 3 2" xfId="11624"/>
    <cellStyle name="20% - akcent 5 27 3 3" xfId="18228"/>
    <cellStyle name="20% - akcent 5 27 3 4" xfId="24819"/>
    <cellStyle name="20% - akcent 5 27 4" xfId="8334"/>
    <cellStyle name="20% - akcent 5 27 5" xfId="14940"/>
    <cellStyle name="20% - akcent 5 27 6" xfId="21531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3" xfId="8337"/>
    <cellStyle name="20% - akcent 5 28 2 4" xfId="14943"/>
    <cellStyle name="20% - akcent 5 28 2 5" xfId="21534"/>
    <cellStyle name="20% - akcent 5 28 3" xfId="4991"/>
    <cellStyle name="20% - akcent 5 28 3 2" xfId="11626"/>
    <cellStyle name="20% - akcent 5 28 3 3" xfId="18230"/>
    <cellStyle name="20% - akcent 5 28 3 4" xfId="24821"/>
    <cellStyle name="20% - akcent 5 28 4" xfId="8336"/>
    <cellStyle name="20% - akcent 5 28 5" xfId="14942"/>
    <cellStyle name="20% - akcent 5 28 6" xfId="21533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3" xfId="8339"/>
    <cellStyle name="20% - akcent 5 29 2 4" xfId="14945"/>
    <cellStyle name="20% - akcent 5 29 2 5" xfId="21536"/>
    <cellStyle name="20% - akcent 5 29 3" xfId="4993"/>
    <cellStyle name="20% - akcent 5 29 3 2" xfId="11628"/>
    <cellStyle name="20% - akcent 5 29 3 3" xfId="18232"/>
    <cellStyle name="20% - akcent 5 29 3 4" xfId="24823"/>
    <cellStyle name="20% - akcent 5 29 4" xfId="8338"/>
    <cellStyle name="20% - akcent 5 29 5" xfId="14944"/>
    <cellStyle name="20% - akcent 5 29 6" xfId="21535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3" xfId="8341"/>
    <cellStyle name="20% - akcent 5 3 2 4" xfId="14947"/>
    <cellStyle name="20% - akcent 5 3 2 5" xfId="21538"/>
    <cellStyle name="20% - akcent 5 3 3" xfId="4995"/>
    <cellStyle name="20% - akcent 5 3 3 2" xfId="11630"/>
    <cellStyle name="20% - akcent 5 3 3 3" xfId="18234"/>
    <cellStyle name="20% - akcent 5 3 3 4" xfId="24825"/>
    <cellStyle name="20% - akcent 5 3 4" xfId="8340"/>
    <cellStyle name="20% - akcent 5 3 5" xfId="14946"/>
    <cellStyle name="20% - akcent 5 3 6" xfId="21537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3" xfId="8343"/>
    <cellStyle name="20% - akcent 5 30 2 4" xfId="14949"/>
    <cellStyle name="20% - akcent 5 30 2 5" xfId="21540"/>
    <cellStyle name="20% - akcent 5 30 3" xfId="4997"/>
    <cellStyle name="20% - akcent 5 30 3 2" xfId="11632"/>
    <cellStyle name="20% - akcent 5 30 3 3" xfId="18236"/>
    <cellStyle name="20% - akcent 5 30 3 4" xfId="24827"/>
    <cellStyle name="20% - akcent 5 30 4" xfId="8342"/>
    <cellStyle name="20% - akcent 5 30 5" xfId="14948"/>
    <cellStyle name="20% - akcent 5 30 6" xfId="21539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3" xfId="8345"/>
    <cellStyle name="20% - akcent 5 31 2 4" xfId="14951"/>
    <cellStyle name="20% - akcent 5 31 2 5" xfId="21542"/>
    <cellStyle name="20% - akcent 5 31 3" xfId="4999"/>
    <cellStyle name="20% - akcent 5 31 3 2" xfId="11634"/>
    <cellStyle name="20% - akcent 5 31 3 3" xfId="18238"/>
    <cellStyle name="20% - akcent 5 31 3 4" xfId="24829"/>
    <cellStyle name="20% - akcent 5 31 4" xfId="8344"/>
    <cellStyle name="20% - akcent 5 31 5" xfId="14950"/>
    <cellStyle name="20% - akcent 5 31 6" xfId="21541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3" xfId="8347"/>
    <cellStyle name="20% - akcent 5 32 2 4" xfId="14953"/>
    <cellStyle name="20% - akcent 5 32 2 5" xfId="21544"/>
    <cellStyle name="20% - akcent 5 32 3" xfId="5001"/>
    <cellStyle name="20% - akcent 5 32 3 2" xfId="11636"/>
    <cellStyle name="20% - akcent 5 32 3 3" xfId="18240"/>
    <cellStyle name="20% - akcent 5 32 3 4" xfId="24831"/>
    <cellStyle name="20% - akcent 5 32 4" xfId="8346"/>
    <cellStyle name="20% - akcent 5 32 5" xfId="14952"/>
    <cellStyle name="20% - akcent 5 32 6" xfId="21543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3" xfId="8349"/>
    <cellStyle name="20% - akcent 5 33 2 4" xfId="14955"/>
    <cellStyle name="20% - akcent 5 33 2 5" xfId="21546"/>
    <cellStyle name="20% - akcent 5 33 3" xfId="5003"/>
    <cellStyle name="20% - akcent 5 33 3 2" xfId="11638"/>
    <cellStyle name="20% - akcent 5 33 3 3" xfId="18242"/>
    <cellStyle name="20% - akcent 5 33 3 4" xfId="24833"/>
    <cellStyle name="20% - akcent 5 33 4" xfId="8348"/>
    <cellStyle name="20% - akcent 5 33 5" xfId="14954"/>
    <cellStyle name="20% - akcent 5 33 6" xfId="21545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3" xfId="8351"/>
    <cellStyle name="20% - akcent 5 34 2 4" xfId="14957"/>
    <cellStyle name="20% - akcent 5 34 2 5" xfId="21548"/>
    <cellStyle name="20% - akcent 5 34 3" xfId="5005"/>
    <cellStyle name="20% - akcent 5 34 3 2" xfId="11640"/>
    <cellStyle name="20% - akcent 5 34 3 3" xfId="18244"/>
    <cellStyle name="20% - akcent 5 34 3 4" xfId="24835"/>
    <cellStyle name="20% - akcent 5 34 4" xfId="8350"/>
    <cellStyle name="20% - akcent 5 34 5" xfId="14956"/>
    <cellStyle name="20% - akcent 5 34 6" xfId="21547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3" xfId="8353"/>
    <cellStyle name="20% - akcent 5 35 2 4" xfId="14959"/>
    <cellStyle name="20% - akcent 5 35 2 5" xfId="21550"/>
    <cellStyle name="20% - akcent 5 35 3" xfId="5007"/>
    <cellStyle name="20% - akcent 5 35 3 2" xfId="11642"/>
    <cellStyle name="20% - akcent 5 35 3 3" xfId="18246"/>
    <cellStyle name="20% - akcent 5 35 3 4" xfId="24837"/>
    <cellStyle name="20% - akcent 5 35 4" xfId="8352"/>
    <cellStyle name="20% - akcent 5 35 5" xfId="14958"/>
    <cellStyle name="20% - akcent 5 35 6" xfId="21549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3" xfId="8355"/>
    <cellStyle name="20% - akcent 5 36 2 4" xfId="14961"/>
    <cellStyle name="20% - akcent 5 36 2 5" xfId="21552"/>
    <cellStyle name="20% - akcent 5 36 3" xfId="5009"/>
    <cellStyle name="20% - akcent 5 36 3 2" xfId="11644"/>
    <cellStyle name="20% - akcent 5 36 3 3" xfId="18248"/>
    <cellStyle name="20% - akcent 5 36 3 4" xfId="24839"/>
    <cellStyle name="20% - akcent 5 36 4" xfId="8354"/>
    <cellStyle name="20% - akcent 5 36 5" xfId="14960"/>
    <cellStyle name="20% - akcent 5 36 6" xfId="21551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3" xfId="8357"/>
    <cellStyle name="20% - akcent 5 37 2 4" xfId="14963"/>
    <cellStyle name="20% - akcent 5 37 2 5" xfId="21554"/>
    <cellStyle name="20% - akcent 5 37 3" xfId="5011"/>
    <cellStyle name="20% - akcent 5 37 3 2" xfId="11646"/>
    <cellStyle name="20% - akcent 5 37 3 3" xfId="18250"/>
    <cellStyle name="20% - akcent 5 37 3 4" xfId="24841"/>
    <cellStyle name="20% - akcent 5 37 4" xfId="8356"/>
    <cellStyle name="20% - akcent 5 37 5" xfId="14962"/>
    <cellStyle name="20% - akcent 5 37 6" xfId="21553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3" xfId="8359"/>
    <cellStyle name="20% - akcent 5 38 2 4" xfId="14965"/>
    <cellStyle name="20% - akcent 5 38 2 5" xfId="21556"/>
    <cellStyle name="20% - akcent 5 38 3" xfId="5013"/>
    <cellStyle name="20% - akcent 5 38 3 2" xfId="11648"/>
    <cellStyle name="20% - akcent 5 38 3 3" xfId="18252"/>
    <cellStyle name="20% - akcent 5 38 3 4" xfId="24843"/>
    <cellStyle name="20% - akcent 5 38 4" xfId="8358"/>
    <cellStyle name="20% - akcent 5 38 5" xfId="14964"/>
    <cellStyle name="20% - akcent 5 38 6" xfId="21555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3" xfId="8361"/>
    <cellStyle name="20% - akcent 5 39 2 4" xfId="14967"/>
    <cellStyle name="20% - akcent 5 39 2 5" xfId="21558"/>
    <cellStyle name="20% - akcent 5 39 3" xfId="5015"/>
    <cellStyle name="20% - akcent 5 39 3 2" xfId="11650"/>
    <cellStyle name="20% - akcent 5 39 3 3" xfId="18254"/>
    <cellStyle name="20% - akcent 5 39 3 4" xfId="24845"/>
    <cellStyle name="20% - akcent 5 39 4" xfId="8360"/>
    <cellStyle name="20% - akcent 5 39 5" xfId="14966"/>
    <cellStyle name="20% - akcent 5 39 6" xfId="21557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3" xfId="8363"/>
    <cellStyle name="20% - akcent 5 4 2 4" xfId="14969"/>
    <cellStyle name="20% - akcent 5 4 2 5" xfId="21560"/>
    <cellStyle name="20% - akcent 5 4 3" xfId="5017"/>
    <cellStyle name="20% - akcent 5 4 3 2" xfId="11652"/>
    <cellStyle name="20% - akcent 5 4 3 3" xfId="18256"/>
    <cellStyle name="20% - akcent 5 4 3 4" xfId="24847"/>
    <cellStyle name="20% - akcent 5 4 4" xfId="8362"/>
    <cellStyle name="20% - akcent 5 4 5" xfId="14968"/>
    <cellStyle name="20% - akcent 5 4 6" xfId="21559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3" xfId="8365"/>
    <cellStyle name="20% - akcent 5 40 2 4" xfId="14971"/>
    <cellStyle name="20% - akcent 5 40 2 5" xfId="21562"/>
    <cellStyle name="20% - akcent 5 40 3" xfId="5019"/>
    <cellStyle name="20% - akcent 5 40 3 2" xfId="11654"/>
    <cellStyle name="20% - akcent 5 40 3 3" xfId="18258"/>
    <cellStyle name="20% - akcent 5 40 3 4" xfId="24849"/>
    <cellStyle name="20% - akcent 5 40 4" xfId="8364"/>
    <cellStyle name="20% - akcent 5 40 5" xfId="14970"/>
    <cellStyle name="20% - akcent 5 40 6" xfId="21561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3" xfId="8367"/>
    <cellStyle name="20% - akcent 5 41 2 4" xfId="14973"/>
    <cellStyle name="20% - akcent 5 41 2 5" xfId="21564"/>
    <cellStyle name="20% - akcent 5 41 3" xfId="5021"/>
    <cellStyle name="20% - akcent 5 41 3 2" xfId="11656"/>
    <cellStyle name="20% - akcent 5 41 3 3" xfId="18260"/>
    <cellStyle name="20% - akcent 5 41 3 4" xfId="24851"/>
    <cellStyle name="20% - akcent 5 41 4" xfId="8366"/>
    <cellStyle name="20% - akcent 5 41 5" xfId="14972"/>
    <cellStyle name="20% - akcent 5 41 6" xfId="21563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3" xfId="8369"/>
    <cellStyle name="20% - akcent 5 42 2 4" xfId="14975"/>
    <cellStyle name="20% - akcent 5 42 2 5" xfId="21566"/>
    <cellStyle name="20% - akcent 5 42 3" xfId="5023"/>
    <cellStyle name="20% - akcent 5 42 3 2" xfId="11658"/>
    <cellStyle name="20% - akcent 5 42 3 3" xfId="18262"/>
    <cellStyle name="20% - akcent 5 42 3 4" xfId="24853"/>
    <cellStyle name="20% - akcent 5 42 4" xfId="8368"/>
    <cellStyle name="20% - akcent 5 42 5" xfId="14974"/>
    <cellStyle name="20% - akcent 5 42 6" xfId="21565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3" xfId="8371"/>
    <cellStyle name="20% - akcent 5 43 2 4" xfId="14977"/>
    <cellStyle name="20% - akcent 5 43 2 5" xfId="21568"/>
    <cellStyle name="20% - akcent 5 43 3" xfId="5025"/>
    <cellStyle name="20% - akcent 5 43 3 2" xfId="11660"/>
    <cellStyle name="20% - akcent 5 43 3 3" xfId="18264"/>
    <cellStyle name="20% - akcent 5 43 3 4" xfId="24855"/>
    <cellStyle name="20% - akcent 5 43 4" xfId="8370"/>
    <cellStyle name="20% - akcent 5 43 5" xfId="14976"/>
    <cellStyle name="20% - akcent 5 43 6" xfId="21567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3" xfId="8373"/>
    <cellStyle name="20% - akcent 5 44 2 4" xfId="14979"/>
    <cellStyle name="20% - akcent 5 44 2 5" xfId="21570"/>
    <cellStyle name="20% - akcent 5 44 3" xfId="5027"/>
    <cellStyle name="20% - akcent 5 44 3 2" xfId="11662"/>
    <cellStyle name="20% - akcent 5 44 3 3" xfId="18266"/>
    <cellStyle name="20% - akcent 5 44 3 4" xfId="24857"/>
    <cellStyle name="20% - akcent 5 44 4" xfId="8372"/>
    <cellStyle name="20% - akcent 5 44 5" xfId="14978"/>
    <cellStyle name="20% - akcent 5 44 6" xfId="21569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3" xfId="8375"/>
    <cellStyle name="20% - akcent 5 45 2 4" xfId="14981"/>
    <cellStyle name="20% - akcent 5 45 2 5" xfId="21572"/>
    <cellStyle name="20% - akcent 5 45 3" xfId="5029"/>
    <cellStyle name="20% - akcent 5 45 3 2" xfId="11664"/>
    <cellStyle name="20% - akcent 5 45 3 3" xfId="18268"/>
    <cellStyle name="20% - akcent 5 45 3 4" xfId="24859"/>
    <cellStyle name="20% - akcent 5 45 4" xfId="8374"/>
    <cellStyle name="20% - akcent 5 45 5" xfId="14980"/>
    <cellStyle name="20% - akcent 5 45 6" xfId="21571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3" xfId="8377"/>
    <cellStyle name="20% - akcent 5 46 2 4" xfId="14983"/>
    <cellStyle name="20% - akcent 5 46 2 5" xfId="21574"/>
    <cellStyle name="20% - akcent 5 46 3" xfId="5031"/>
    <cellStyle name="20% - akcent 5 46 3 2" xfId="11666"/>
    <cellStyle name="20% - akcent 5 46 3 3" xfId="18270"/>
    <cellStyle name="20% - akcent 5 46 3 4" xfId="24861"/>
    <cellStyle name="20% - akcent 5 46 4" xfId="8376"/>
    <cellStyle name="20% - akcent 5 46 5" xfId="14982"/>
    <cellStyle name="20% - akcent 5 46 6" xfId="21573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3" xfId="8379"/>
    <cellStyle name="20% - akcent 5 47 2 4" xfId="14985"/>
    <cellStyle name="20% - akcent 5 47 2 5" xfId="21576"/>
    <cellStyle name="20% - akcent 5 47 3" xfId="5033"/>
    <cellStyle name="20% - akcent 5 47 3 2" xfId="11668"/>
    <cellStyle name="20% - akcent 5 47 3 3" xfId="18272"/>
    <cellStyle name="20% - akcent 5 47 3 4" xfId="24863"/>
    <cellStyle name="20% - akcent 5 47 4" xfId="8378"/>
    <cellStyle name="20% - akcent 5 47 5" xfId="14984"/>
    <cellStyle name="20% - akcent 5 47 6" xfId="21575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3" xfId="8381"/>
    <cellStyle name="20% - akcent 5 48 2 4" xfId="14987"/>
    <cellStyle name="20% - akcent 5 48 2 5" xfId="21578"/>
    <cellStyle name="20% - akcent 5 48 3" xfId="5035"/>
    <cellStyle name="20% - akcent 5 48 3 2" xfId="11670"/>
    <cellStyle name="20% - akcent 5 48 3 3" xfId="18274"/>
    <cellStyle name="20% - akcent 5 48 3 4" xfId="24865"/>
    <cellStyle name="20% - akcent 5 48 4" xfId="8380"/>
    <cellStyle name="20% - akcent 5 48 5" xfId="14986"/>
    <cellStyle name="20% - akcent 5 48 6" xfId="21577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3" xfId="8383"/>
    <cellStyle name="20% - akcent 5 49 2 4" xfId="14989"/>
    <cellStyle name="20% - akcent 5 49 2 5" xfId="21580"/>
    <cellStyle name="20% - akcent 5 49 3" xfId="5037"/>
    <cellStyle name="20% - akcent 5 49 3 2" xfId="11672"/>
    <cellStyle name="20% - akcent 5 49 3 3" xfId="18276"/>
    <cellStyle name="20% - akcent 5 49 3 4" xfId="24867"/>
    <cellStyle name="20% - akcent 5 49 4" xfId="8382"/>
    <cellStyle name="20% - akcent 5 49 5" xfId="14988"/>
    <cellStyle name="20% - akcent 5 49 6" xfId="21579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3" xfId="8385"/>
    <cellStyle name="20% - akcent 5 5 2 4" xfId="14991"/>
    <cellStyle name="20% - akcent 5 5 2 5" xfId="21582"/>
    <cellStyle name="20% - akcent 5 5 3" xfId="5039"/>
    <cellStyle name="20% - akcent 5 5 3 2" xfId="11674"/>
    <cellStyle name="20% - akcent 5 5 3 3" xfId="18278"/>
    <cellStyle name="20% - akcent 5 5 3 4" xfId="24869"/>
    <cellStyle name="20% - akcent 5 5 4" xfId="8384"/>
    <cellStyle name="20% - akcent 5 5 5" xfId="14990"/>
    <cellStyle name="20% - akcent 5 5 6" xfId="21581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3" xfId="8387"/>
    <cellStyle name="20% - akcent 5 50 2 4" xfId="14993"/>
    <cellStyle name="20% - akcent 5 50 2 5" xfId="21584"/>
    <cellStyle name="20% - akcent 5 50 3" xfId="5041"/>
    <cellStyle name="20% - akcent 5 50 3 2" xfId="11676"/>
    <cellStyle name="20% - akcent 5 50 3 3" xfId="18280"/>
    <cellStyle name="20% - akcent 5 50 3 4" xfId="24871"/>
    <cellStyle name="20% - akcent 5 50 4" xfId="8386"/>
    <cellStyle name="20% - akcent 5 50 5" xfId="14992"/>
    <cellStyle name="20% - akcent 5 50 6" xfId="21583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3" xfId="8389"/>
    <cellStyle name="20% - akcent 5 51 2 4" xfId="14995"/>
    <cellStyle name="20% - akcent 5 51 2 5" xfId="21586"/>
    <cellStyle name="20% - akcent 5 51 3" xfId="5043"/>
    <cellStyle name="20% - akcent 5 51 3 2" xfId="11678"/>
    <cellStyle name="20% - akcent 5 51 3 3" xfId="18282"/>
    <cellStyle name="20% - akcent 5 51 3 4" xfId="24873"/>
    <cellStyle name="20% - akcent 5 51 4" xfId="8388"/>
    <cellStyle name="20% - akcent 5 51 5" xfId="14994"/>
    <cellStyle name="20% - akcent 5 51 6" xfId="21585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3" xfId="8391"/>
    <cellStyle name="20% - akcent 5 52 2 4" xfId="14997"/>
    <cellStyle name="20% - akcent 5 52 2 5" xfId="21588"/>
    <cellStyle name="20% - akcent 5 52 3" xfId="5045"/>
    <cellStyle name="20% - akcent 5 52 3 2" xfId="11680"/>
    <cellStyle name="20% - akcent 5 52 3 3" xfId="18284"/>
    <cellStyle name="20% - akcent 5 52 3 4" xfId="24875"/>
    <cellStyle name="20% - akcent 5 52 4" xfId="8390"/>
    <cellStyle name="20% - akcent 5 52 5" xfId="14996"/>
    <cellStyle name="20% - akcent 5 52 6" xfId="21587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3" xfId="8393"/>
    <cellStyle name="20% - akcent 5 53 2 4" xfId="14999"/>
    <cellStyle name="20% - akcent 5 53 2 5" xfId="21590"/>
    <cellStyle name="20% - akcent 5 53 3" xfId="5047"/>
    <cellStyle name="20% - akcent 5 53 3 2" xfId="11682"/>
    <cellStyle name="20% - akcent 5 53 3 3" xfId="18286"/>
    <cellStyle name="20% - akcent 5 53 3 4" xfId="24877"/>
    <cellStyle name="20% - akcent 5 53 4" xfId="8392"/>
    <cellStyle name="20% - akcent 5 53 5" xfId="14998"/>
    <cellStyle name="20% - akcent 5 53 6" xfId="21589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3" xfId="8395"/>
    <cellStyle name="20% - akcent 5 54 2 4" xfId="15001"/>
    <cellStyle name="20% - akcent 5 54 2 5" xfId="21592"/>
    <cellStyle name="20% - akcent 5 54 3" xfId="5049"/>
    <cellStyle name="20% - akcent 5 54 3 2" xfId="11684"/>
    <cellStyle name="20% - akcent 5 54 3 3" xfId="18288"/>
    <cellStyle name="20% - akcent 5 54 3 4" xfId="24879"/>
    <cellStyle name="20% - akcent 5 54 4" xfId="8394"/>
    <cellStyle name="20% - akcent 5 54 5" xfId="15000"/>
    <cellStyle name="20% - akcent 5 54 6" xfId="21591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3" xfId="8397"/>
    <cellStyle name="20% - akcent 5 55 2 4" xfId="15003"/>
    <cellStyle name="20% - akcent 5 55 2 5" xfId="21594"/>
    <cellStyle name="20% - akcent 5 55 3" xfId="5051"/>
    <cellStyle name="20% - akcent 5 55 3 2" xfId="11686"/>
    <cellStyle name="20% - akcent 5 55 3 3" xfId="18290"/>
    <cellStyle name="20% - akcent 5 55 3 4" xfId="24881"/>
    <cellStyle name="20% - akcent 5 55 4" xfId="8396"/>
    <cellStyle name="20% - akcent 5 55 5" xfId="15002"/>
    <cellStyle name="20% - akcent 5 55 6" xfId="21593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3" xfId="8399"/>
    <cellStyle name="20% - akcent 5 56 2 4" xfId="15005"/>
    <cellStyle name="20% - akcent 5 56 2 5" xfId="21596"/>
    <cellStyle name="20% - akcent 5 56 3" xfId="5053"/>
    <cellStyle name="20% - akcent 5 56 3 2" xfId="11688"/>
    <cellStyle name="20% - akcent 5 56 3 3" xfId="18292"/>
    <cellStyle name="20% - akcent 5 56 3 4" xfId="24883"/>
    <cellStyle name="20% - akcent 5 56 4" xfId="8398"/>
    <cellStyle name="20% - akcent 5 56 5" xfId="15004"/>
    <cellStyle name="20% - akcent 5 56 6" xfId="21595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3" xfId="8401"/>
    <cellStyle name="20% - akcent 5 57 2 4" xfId="15007"/>
    <cellStyle name="20% - akcent 5 57 2 5" xfId="21598"/>
    <cellStyle name="20% - akcent 5 57 3" xfId="5055"/>
    <cellStyle name="20% - akcent 5 57 3 2" xfId="11690"/>
    <cellStyle name="20% - akcent 5 57 3 3" xfId="18294"/>
    <cellStyle name="20% - akcent 5 57 3 4" xfId="24885"/>
    <cellStyle name="20% - akcent 5 57 4" xfId="8400"/>
    <cellStyle name="20% - akcent 5 57 5" xfId="15006"/>
    <cellStyle name="20% - akcent 5 57 6" xfId="21597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3" xfId="8403"/>
    <cellStyle name="20% - akcent 5 58 2 4" xfId="15009"/>
    <cellStyle name="20% - akcent 5 58 2 5" xfId="21600"/>
    <cellStyle name="20% - akcent 5 58 3" xfId="5057"/>
    <cellStyle name="20% - akcent 5 58 3 2" xfId="11692"/>
    <cellStyle name="20% - akcent 5 58 3 3" xfId="18296"/>
    <cellStyle name="20% - akcent 5 58 3 4" xfId="24887"/>
    <cellStyle name="20% - akcent 5 58 4" xfId="8402"/>
    <cellStyle name="20% - akcent 5 58 5" xfId="15008"/>
    <cellStyle name="20% - akcent 5 58 6" xfId="21599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3" xfId="8405"/>
    <cellStyle name="20% - akcent 5 59 2 4" xfId="15011"/>
    <cellStyle name="20% - akcent 5 59 2 5" xfId="21602"/>
    <cellStyle name="20% - akcent 5 59 3" xfId="5059"/>
    <cellStyle name="20% - akcent 5 59 3 2" xfId="11694"/>
    <cellStyle name="20% - akcent 5 59 3 3" xfId="18298"/>
    <cellStyle name="20% - akcent 5 59 3 4" xfId="24889"/>
    <cellStyle name="20% - akcent 5 59 4" xfId="8404"/>
    <cellStyle name="20% - akcent 5 59 5" xfId="15010"/>
    <cellStyle name="20% - akcent 5 59 6" xfId="21601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3" xfId="8407"/>
    <cellStyle name="20% - akcent 5 6 2 4" xfId="15013"/>
    <cellStyle name="20% - akcent 5 6 2 5" xfId="21604"/>
    <cellStyle name="20% - akcent 5 6 3" xfId="5061"/>
    <cellStyle name="20% - akcent 5 6 3 2" xfId="11696"/>
    <cellStyle name="20% - akcent 5 6 3 3" xfId="18300"/>
    <cellStyle name="20% - akcent 5 6 3 4" xfId="24891"/>
    <cellStyle name="20% - akcent 5 6 4" xfId="8406"/>
    <cellStyle name="20% - akcent 5 6 5" xfId="15012"/>
    <cellStyle name="20% - akcent 5 6 6" xfId="21603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3" xfId="8408"/>
    <cellStyle name="20% - akcent 5 60 4" xfId="15014"/>
    <cellStyle name="20% - akcent 5 60 5" xfId="21605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3" xfId="8409"/>
    <cellStyle name="20% - akcent 5 61 4" xfId="15015"/>
    <cellStyle name="20% - akcent 5 61 5" xfId="21606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3" xfId="8410"/>
    <cellStyle name="20% - akcent 5 62 4" xfId="15016"/>
    <cellStyle name="20% - akcent 5 62 5" xfId="21607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3" xfId="8411"/>
    <cellStyle name="20% - akcent 5 63 4" xfId="15017"/>
    <cellStyle name="20% - akcent 5 63 5" xfId="21608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3" xfId="8412"/>
    <cellStyle name="20% - akcent 5 64 4" xfId="15018"/>
    <cellStyle name="20% - akcent 5 64 5" xfId="21609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3" xfId="8413"/>
    <cellStyle name="20% - akcent 5 65 4" xfId="15019"/>
    <cellStyle name="20% - akcent 5 65 5" xfId="21610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3" xfId="8414"/>
    <cellStyle name="20% - akcent 5 66 4" xfId="15020"/>
    <cellStyle name="20% - akcent 5 66 5" xfId="21611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3" xfId="8415"/>
    <cellStyle name="20% - akcent 5 67 4" xfId="15021"/>
    <cellStyle name="20% - akcent 5 67 5" xfId="21612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3" xfId="8416"/>
    <cellStyle name="20% - akcent 5 68 4" xfId="15022"/>
    <cellStyle name="20% - akcent 5 68 5" xfId="21613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3" xfId="8417"/>
    <cellStyle name="20% - akcent 5 69 4" xfId="15023"/>
    <cellStyle name="20% - akcent 5 69 5" xfId="21614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3" xfId="8419"/>
    <cellStyle name="20% - akcent 5 7 2 4" xfId="15025"/>
    <cellStyle name="20% - akcent 5 7 2 5" xfId="21616"/>
    <cellStyle name="20% - akcent 5 7 3" xfId="5073"/>
    <cellStyle name="20% - akcent 5 7 3 2" xfId="11708"/>
    <cellStyle name="20% - akcent 5 7 3 3" xfId="18312"/>
    <cellStyle name="20% - akcent 5 7 3 4" xfId="24903"/>
    <cellStyle name="20% - akcent 5 7 4" xfId="8418"/>
    <cellStyle name="20% - akcent 5 7 5" xfId="15024"/>
    <cellStyle name="20% - akcent 5 7 6" xfId="21615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3" xfId="8420"/>
    <cellStyle name="20% - akcent 5 70 4" xfId="15026"/>
    <cellStyle name="20% - akcent 5 70 5" xfId="21617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3" xfId="8421"/>
    <cellStyle name="20% - akcent 5 71 4" xfId="15027"/>
    <cellStyle name="20% - akcent 5 71 5" xfId="21618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3" xfId="8422"/>
    <cellStyle name="20% - akcent 5 72 4" xfId="15028"/>
    <cellStyle name="20% - akcent 5 72 5" xfId="21619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3" xfId="8423"/>
    <cellStyle name="20% - akcent 5 73 4" xfId="15029"/>
    <cellStyle name="20% - akcent 5 73 5" xfId="21620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3" xfId="8424"/>
    <cellStyle name="20% - akcent 5 74 4" xfId="15030"/>
    <cellStyle name="20% - akcent 5 74 5" xfId="21621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3" xfId="8425"/>
    <cellStyle name="20% - akcent 5 75 4" xfId="15031"/>
    <cellStyle name="20% - akcent 5 75 5" xfId="21622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3" xfId="8426"/>
    <cellStyle name="20% - akcent 5 76 4" xfId="15032"/>
    <cellStyle name="20% - akcent 5 76 5" xfId="21623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3" xfId="8427"/>
    <cellStyle name="20% - akcent 5 77 4" xfId="15033"/>
    <cellStyle name="20% - akcent 5 77 5" xfId="21624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3" xfId="8428"/>
    <cellStyle name="20% - akcent 5 78 4" xfId="15034"/>
    <cellStyle name="20% - akcent 5 78 5" xfId="21625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3" xfId="8429"/>
    <cellStyle name="20% - akcent 5 79 4" xfId="15035"/>
    <cellStyle name="20% - akcent 5 79 5" xfId="21626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3" xfId="8431"/>
    <cellStyle name="20% - akcent 5 8 2 4" xfId="15037"/>
    <cellStyle name="20% - akcent 5 8 2 5" xfId="21628"/>
    <cellStyle name="20% - akcent 5 8 3" xfId="5085"/>
    <cellStyle name="20% - akcent 5 8 3 2" xfId="11720"/>
    <cellStyle name="20% - akcent 5 8 3 3" xfId="18324"/>
    <cellStyle name="20% - akcent 5 8 3 4" xfId="24915"/>
    <cellStyle name="20% - akcent 5 8 4" xfId="8430"/>
    <cellStyle name="20% - akcent 5 8 5" xfId="15036"/>
    <cellStyle name="20% - akcent 5 8 6" xfId="21627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3" xfId="8432"/>
    <cellStyle name="20% - akcent 5 80 4" xfId="15038"/>
    <cellStyle name="20% - akcent 5 80 5" xfId="21629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3" xfId="8433"/>
    <cellStyle name="20% - akcent 5 81 4" xfId="15039"/>
    <cellStyle name="20% - akcent 5 81 5" xfId="21630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3" xfId="8434"/>
    <cellStyle name="20% - akcent 5 82 4" xfId="15040"/>
    <cellStyle name="20% - akcent 5 82 5" xfId="21631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3" xfId="8435"/>
    <cellStyle name="20% - akcent 5 83 4" xfId="15041"/>
    <cellStyle name="20% - akcent 5 83 5" xfId="21632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3" xfId="8436"/>
    <cellStyle name="20% - akcent 5 84 4" xfId="15042"/>
    <cellStyle name="20% - akcent 5 84 5" xfId="21633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3" xfId="8437"/>
    <cellStyle name="20% - akcent 5 85 4" xfId="15043"/>
    <cellStyle name="20% - akcent 5 85 5" xfId="21634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3" xfId="8438"/>
    <cellStyle name="20% - akcent 5 86 4" xfId="15044"/>
    <cellStyle name="20% - akcent 5 86 5" xfId="21635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3" xfId="8439"/>
    <cellStyle name="20% - akcent 5 87 4" xfId="15045"/>
    <cellStyle name="20% - akcent 5 87 5" xfId="21636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3" xfId="8440"/>
    <cellStyle name="20% - akcent 5 88 4" xfId="15046"/>
    <cellStyle name="20% - akcent 5 88 5" xfId="21637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3" xfId="8441"/>
    <cellStyle name="20% - akcent 5 89 4" xfId="15047"/>
    <cellStyle name="20% - akcent 5 89 5" xfId="21638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3" xfId="8443"/>
    <cellStyle name="20% - akcent 5 9 2 4" xfId="15049"/>
    <cellStyle name="20% - akcent 5 9 2 5" xfId="21640"/>
    <cellStyle name="20% - akcent 5 9 3" xfId="5097"/>
    <cellStyle name="20% - akcent 5 9 3 2" xfId="11732"/>
    <cellStyle name="20% - akcent 5 9 3 3" xfId="18336"/>
    <cellStyle name="20% - akcent 5 9 3 4" xfId="24927"/>
    <cellStyle name="20% - akcent 5 9 4" xfId="8442"/>
    <cellStyle name="20% - akcent 5 9 5" xfId="15048"/>
    <cellStyle name="20% - akcent 5 9 6" xfId="21639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3" xfId="8444"/>
    <cellStyle name="20% - akcent 5 90 4" xfId="15050"/>
    <cellStyle name="20% - akcent 5 90 5" xfId="21641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3" xfId="8445"/>
    <cellStyle name="20% - akcent 5 91 4" xfId="15051"/>
    <cellStyle name="20% - akcent 5 91 5" xfId="21642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3" xfId="8446"/>
    <cellStyle name="20% - akcent 5 92 4" xfId="15052"/>
    <cellStyle name="20% - akcent 5 92 5" xfId="21643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3" xfId="8447"/>
    <cellStyle name="20% - akcent 5 93 4" xfId="15053"/>
    <cellStyle name="20% - akcent 5 93 5" xfId="21644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3" xfId="8448"/>
    <cellStyle name="20% - akcent 5 94 4" xfId="15054"/>
    <cellStyle name="20% - akcent 5 94 5" xfId="21645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3" xfId="8449"/>
    <cellStyle name="20% - akcent 5 95 4" xfId="15055"/>
    <cellStyle name="20% - akcent 5 95 5" xfId="21646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3" xfId="8450"/>
    <cellStyle name="20% - akcent 5 96 4" xfId="15056"/>
    <cellStyle name="20% - akcent 5 96 5" xfId="21647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3" xfId="8451"/>
    <cellStyle name="20% - akcent 5 97 4" xfId="15057"/>
    <cellStyle name="20% - akcent 5 97 5" xfId="21648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3" xfId="8452"/>
    <cellStyle name="20% - akcent 5 98 4" xfId="15058"/>
    <cellStyle name="20% - akcent 5 98 5" xfId="21649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3" xfId="8453"/>
    <cellStyle name="20% - akcent 5 99 4" xfId="15059"/>
    <cellStyle name="20% - akcent 5 99 5" xfId="21650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3" xfId="8455"/>
    <cellStyle name="20% - akcent 6 10 2 4" xfId="15061"/>
    <cellStyle name="20% - akcent 6 10 2 5" xfId="21652"/>
    <cellStyle name="20% - akcent 6 10 3" xfId="5109"/>
    <cellStyle name="20% - akcent 6 10 3 2" xfId="11744"/>
    <cellStyle name="20% - akcent 6 10 3 3" xfId="18348"/>
    <cellStyle name="20% - akcent 6 10 3 4" xfId="24939"/>
    <cellStyle name="20% - akcent 6 10 4" xfId="8454"/>
    <cellStyle name="20% - akcent 6 10 5" xfId="15060"/>
    <cellStyle name="20% - akcent 6 10 6" xfId="21651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3" xfId="8456"/>
    <cellStyle name="20% - akcent 6 100 4" xfId="15062"/>
    <cellStyle name="20% - akcent 6 100 5" xfId="21653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3" xfId="8457"/>
    <cellStyle name="20% - akcent 6 101 4" xfId="15063"/>
    <cellStyle name="20% - akcent 6 101 5" xfId="21654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3" xfId="8458"/>
    <cellStyle name="20% - akcent 6 102 4" xfId="15064"/>
    <cellStyle name="20% - akcent 6 102 5" xfId="21655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3" xfId="8459"/>
    <cellStyle name="20% - akcent 6 103 4" xfId="15065"/>
    <cellStyle name="20% - akcent 6 103 5" xfId="21656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3" xfId="8460"/>
    <cellStyle name="20% - akcent 6 104 4" xfId="15066"/>
    <cellStyle name="20% - akcent 6 104 5" xfId="21657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3" xfId="8461"/>
    <cellStyle name="20% - akcent 6 105 4" xfId="15067"/>
    <cellStyle name="20% - akcent 6 105 5" xfId="21658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3" xfId="8462"/>
    <cellStyle name="20% - akcent 6 106 4" xfId="15068"/>
    <cellStyle name="20% - akcent 6 106 5" xfId="21659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3" xfId="8463"/>
    <cellStyle name="20% - akcent 6 107 4" xfId="15069"/>
    <cellStyle name="20% - akcent 6 107 5" xfId="21660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3" xfId="8464"/>
    <cellStyle name="20% - akcent 6 108 4" xfId="15070"/>
    <cellStyle name="20% - akcent 6 108 5" xfId="21661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3" xfId="8465"/>
    <cellStyle name="20% - akcent 6 109 4" xfId="15071"/>
    <cellStyle name="20% - akcent 6 109 5" xfId="21662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3" xfId="8467"/>
    <cellStyle name="20% - akcent 6 11 2 4" xfId="15073"/>
    <cellStyle name="20% - akcent 6 11 2 5" xfId="21664"/>
    <cellStyle name="20% - akcent 6 11 3" xfId="5121"/>
    <cellStyle name="20% - akcent 6 11 3 2" xfId="11756"/>
    <cellStyle name="20% - akcent 6 11 3 3" xfId="18360"/>
    <cellStyle name="20% - akcent 6 11 3 4" xfId="24951"/>
    <cellStyle name="20% - akcent 6 11 4" xfId="8466"/>
    <cellStyle name="20% - akcent 6 11 5" xfId="15072"/>
    <cellStyle name="20% - akcent 6 11 6" xfId="21663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3" xfId="8468"/>
    <cellStyle name="20% - akcent 6 110 4" xfId="15074"/>
    <cellStyle name="20% - akcent 6 110 5" xfId="21665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3" xfId="8469"/>
    <cellStyle name="20% - akcent 6 111 4" xfId="15075"/>
    <cellStyle name="20% - akcent 6 111 5" xfId="21666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3" xfId="8470"/>
    <cellStyle name="20% - akcent 6 112 4" xfId="15076"/>
    <cellStyle name="20% - akcent 6 112 5" xfId="21667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3" xfId="8471"/>
    <cellStyle name="20% - akcent 6 113 4" xfId="15077"/>
    <cellStyle name="20% - akcent 6 113 5" xfId="21668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3" xfId="8472"/>
    <cellStyle name="20% - akcent 6 114 4" xfId="15078"/>
    <cellStyle name="20% - akcent 6 114 5" xfId="21669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3" xfId="8473"/>
    <cellStyle name="20% - akcent 6 115 4" xfId="15079"/>
    <cellStyle name="20% - akcent 6 115 5" xfId="21670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3" xfId="8474"/>
    <cellStyle name="20% - akcent 6 116 4" xfId="15080"/>
    <cellStyle name="20% - akcent 6 116 5" xfId="21671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3" xfId="8475"/>
    <cellStyle name="20% - akcent 6 117 4" xfId="15081"/>
    <cellStyle name="20% - akcent 6 117 5" xfId="21672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3" xfId="8476"/>
    <cellStyle name="20% - akcent 6 118 4" xfId="15082"/>
    <cellStyle name="20% - akcent 6 118 5" xfId="21673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3" xfId="8477"/>
    <cellStyle name="20% - akcent 6 119 4" xfId="15083"/>
    <cellStyle name="20% - akcent 6 119 5" xfId="21674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3" xfId="8479"/>
    <cellStyle name="20% - akcent 6 12 2 4" xfId="15085"/>
    <cellStyle name="20% - akcent 6 12 2 5" xfId="21676"/>
    <cellStyle name="20% - akcent 6 12 3" xfId="5133"/>
    <cellStyle name="20% - akcent 6 12 3 2" xfId="11768"/>
    <cellStyle name="20% - akcent 6 12 3 3" xfId="18372"/>
    <cellStyle name="20% - akcent 6 12 3 4" xfId="24963"/>
    <cellStyle name="20% - akcent 6 12 4" xfId="8478"/>
    <cellStyle name="20% - akcent 6 12 5" xfId="15084"/>
    <cellStyle name="20% - akcent 6 12 6" xfId="21675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3" xfId="8480"/>
    <cellStyle name="20% - akcent 6 120 4" xfId="15086"/>
    <cellStyle name="20% - akcent 6 120 5" xfId="21677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3" xfId="8481"/>
    <cellStyle name="20% - akcent 6 121 4" xfId="15087"/>
    <cellStyle name="20% - akcent 6 121 5" xfId="21678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3" xfId="8482"/>
    <cellStyle name="20% - akcent 6 122 4" xfId="15088"/>
    <cellStyle name="20% - akcent 6 122 5" xfId="21679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3" xfId="8483"/>
    <cellStyle name="20% - akcent 6 123 4" xfId="15089"/>
    <cellStyle name="20% - akcent 6 123 5" xfId="21680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3" xfId="8484"/>
    <cellStyle name="20% - akcent 6 124 4" xfId="15090"/>
    <cellStyle name="20% - akcent 6 124 5" xfId="21681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3" xfId="8485"/>
    <cellStyle name="20% - akcent 6 125 4" xfId="15091"/>
    <cellStyle name="20% - akcent 6 125 5" xfId="21682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3" xfId="8486"/>
    <cellStyle name="20% - akcent 6 126 4" xfId="15092"/>
    <cellStyle name="20% - akcent 6 126 5" xfId="21683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3" xfId="8487"/>
    <cellStyle name="20% - akcent 6 127 4" xfId="15093"/>
    <cellStyle name="20% - akcent 6 127 5" xfId="21684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3" xfId="8488"/>
    <cellStyle name="20% - akcent 6 128 4" xfId="15094"/>
    <cellStyle name="20% - akcent 6 128 5" xfId="21685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3" xfId="8489"/>
    <cellStyle name="20% - akcent 6 129 4" xfId="15095"/>
    <cellStyle name="20% - akcent 6 129 5" xfId="21686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3" xfId="8491"/>
    <cellStyle name="20% - akcent 6 13 2 4" xfId="15097"/>
    <cellStyle name="20% - akcent 6 13 2 5" xfId="21688"/>
    <cellStyle name="20% - akcent 6 13 3" xfId="5145"/>
    <cellStyle name="20% - akcent 6 13 3 2" xfId="11780"/>
    <cellStyle name="20% - akcent 6 13 3 3" xfId="18384"/>
    <cellStyle name="20% - akcent 6 13 3 4" xfId="24975"/>
    <cellStyle name="20% - akcent 6 13 4" xfId="8490"/>
    <cellStyle name="20% - akcent 6 13 5" xfId="15096"/>
    <cellStyle name="20% - akcent 6 13 6" xfId="21687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3" xfId="8492"/>
    <cellStyle name="20% - akcent 6 130 4" xfId="15098"/>
    <cellStyle name="20% - akcent 6 130 5" xfId="21689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3" xfId="8493"/>
    <cellStyle name="20% - akcent 6 131 4" xfId="15099"/>
    <cellStyle name="20% - akcent 6 131 5" xfId="21690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3" xfId="8494"/>
    <cellStyle name="20% - akcent 6 132 4" xfId="15100"/>
    <cellStyle name="20% - akcent 6 132 5" xfId="21691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3" xfId="8495"/>
    <cellStyle name="20% - akcent 6 133 4" xfId="15101"/>
    <cellStyle name="20% - akcent 6 133 5" xfId="21692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3" xfId="8496"/>
    <cellStyle name="20% - akcent 6 134 4" xfId="15102"/>
    <cellStyle name="20% - akcent 6 134 5" xfId="21693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3" xfId="8497"/>
    <cellStyle name="20% - akcent 6 135 4" xfId="15103"/>
    <cellStyle name="20% - akcent 6 135 5" xfId="21694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3" xfId="8498"/>
    <cellStyle name="20% - akcent 6 136 4" xfId="15104"/>
    <cellStyle name="20% - akcent 6 136 5" xfId="21695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3" xfId="8499"/>
    <cellStyle name="20% - akcent 6 137 4" xfId="15105"/>
    <cellStyle name="20% - akcent 6 137 5" xfId="21696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3" xfId="8500"/>
    <cellStyle name="20% - akcent 6 138 4" xfId="15106"/>
    <cellStyle name="20% - akcent 6 138 5" xfId="21697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3" xfId="8501"/>
    <cellStyle name="20% - akcent 6 139 4" xfId="15107"/>
    <cellStyle name="20% - akcent 6 139 5" xfId="21698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3" xfId="8503"/>
    <cellStyle name="20% - akcent 6 14 2 4" xfId="15109"/>
    <cellStyle name="20% - akcent 6 14 2 5" xfId="21700"/>
    <cellStyle name="20% - akcent 6 14 3" xfId="5157"/>
    <cellStyle name="20% - akcent 6 14 3 2" xfId="11792"/>
    <cellStyle name="20% - akcent 6 14 3 3" xfId="18396"/>
    <cellStyle name="20% - akcent 6 14 3 4" xfId="24987"/>
    <cellStyle name="20% - akcent 6 14 4" xfId="8502"/>
    <cellStyle name="20% - akcent 6 14 5" xfId="15108"/>
    <cellStyle name="20% - akcent 6 14 6" xfId="21699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3" xfId="8504"/>
    <cellStyle name="20% - akcent 6 140 4" xfId="15110"/>
    <cellStyle name="20% - akcent 6 140 5" xfId="21701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3" xfId="8505"/>
    <cellStyle name="20% - akcent 6 141 4" xfId="15111"/>
    <cellStyle name="20% - akcent 6 141 5" xfId="21702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3" xfId="8506"/>
    <cellStyle name="20% - akcent 6 142 4" xfId="15112"/>
    <cellStyle name="20% - akcent 6 142 5" xfId="21703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3" xfId="8507"/>
    <cellStyle name="20% - akcent 6 143 4" xfId="15113"/>
    <cellStyle name="20% - akcent 6 143 5" xfId="21704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3" xfId="8508"/>
    <cellStyle name="20% - akcent 6 144 4" xfId="15114"/>
    <cellStyle name="20% - akcent 6 144 5" xfId="21705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3" xfId="8509"/>
    <cellStyle name="20% - akcent 6 145 4" xfId="15115"/>
    <cellStyle name="20% - akcent 6 145 5" xfId="21706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3" xfId="8510"/>
    <cellStyle name="20% - akcent 6 146 4" xfId="15116"/>
    <cellStyle name="20% - akcent 6 146 5" xfId="21707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3" xfId="8511"/>
    <cellStyle name="20% - akcent 6 147 4" xfId="15117"/>
    <cellStyle name="20% - akcent 6 147 5" xfId="21708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3" xfId="8512"/>
    <cellStyle name="20% - akcent 6 148 4" xfId="15118"/>
    <cellStyle name="20% - akcent 6 148 5" xfId="21709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3" xfId="8513"/>
    <cellStyle name="20% - akcent 6 149 4" xfId="15119"/>
    <cellStyle name="20% - akcent 6 149 5" xfId="21710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3" xfId="8515"/>
    <cellStyle name="20% - akcent 6 15 2 4" xfId="15121"/>
    <cellStyle name="20% - akcent 6 15 2 5" xfId="21712"/>
    <cellStyle name="20% - akcent 6 15 3" xfId="5169"/>
    <cellStyle name="20% - akcent 6 15 3 2" xfId="11804"/>
    <cellStyle name="20% - akcent 6 15 3 3" xfId="18408"/>
    <cellStyle name="20% - akcent 6 15 3 4" xfId="24999"/>
    <cellStyle name="20% - akcent 6 15 4" xfId="8514"/>
    <cellStyle name="20% - akcent 6 15 5" xfId="15120"/>
    <cellStyle name="20% - akcent 6 15 6" xfId="21711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3" xfId="8516"/>
    <cellStyle name="20% - akcent 6 150 4" xfId="15122"/>
    <cellStyle name="20% - akcent 6 150 5" xfId="21713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3" xfId="8517"/>
    <cellStyle name="20% - akcent 6 151 4" xfId="15123"/>
    <cellStyle name="20% - akcent 6 151 5" xfId="21714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3" xfId="8518"/>
    <cellStyle name="20% - akcent 6 152 4" xfId="15124"/>
    <cellStyle name="20% - akcent 6 152 5" xfId="21715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3" xfId="8519"/>
    <cellStyle name="20% - akcent 6 153 4" xfId="15125"/>
    <cellStyle name="20% - akcent 6 153 5" xfId="21716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3" xfId="8520"/>
    <cellStyle name="20% - akcent 6 154 4" xfId="15126"/>
    <cellStyle name="20% - akcent 6 154 5" xfId="21717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3" xfId="8521"/>
    <cellStyle name="20% - akcent 6 155 4" xfId="15127"/>
    <cellStyle name="20% - akcent 6 155 5" xfId="21718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3" xfId="8522"/>
    <cellStyle name="20% - akcent 6 156 4" xfId="15128"/>
    <cellStyle name="20% - akcent 6 156 5" xfId="21719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3" xfId="8523"/>
    <cellStyle name="20% - akcent 6 157 4" xfId="15129"/>
    <cellStyle name="20% - akcent 6 157 5" xfId="21720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3" xfId="8524"/>
    <cellStyle name="20% - akcent 6 158 4" xfId="15130"/>
    <cellStyle name="20% - akcent 6 158 5" xfId="21721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3" xfId="8525"/>
    <cellStyle name="20% - akcent 6 159 4" xfId="15131"/>
    <cellStyle name="20% - akcent 6 159 5" xfId="21722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3" xfId="8527"/>
    <cellStyle name="20% - akcent 6 16 2 4" xfId="15133"/>
    <cellStyle name="20% - akcent 6 16 2 5" xfId="21724"/>
    <cellStyle name="20% - akcent 6 16 3" xfId="5181"/>
    <cellStyle name="20% - akcent 6 16 3 2" xfId="11816"/>
    <cellStyle name="20% - akcent 6 16 3 3" xfId="18420"/>
    <cellStyle name="20% - akcent 6 16 3 4" xfId="25011"/>
    <cellStyle name="20% - akcent 6 16 4" xfId="8526"/>
    <cellStyle name="20% - akcent 6 16 5" xfId="15132"/>
    <cellStyle name="20% - akcent 6 16 6" xfId="21723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3" xfId="8528"/>
    <cellStyle name="20% - akcent 6 160 4" xfId="15134"/>
    <cellStyle name="20% - akcent 6 160 5" xfId="21725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3" xfId="8529"/>
    <cellStyle name="20% - akcent 6 161 4" xfId="15135"/>
    <cellStyle name="20% - akcent 6 161 5" xfId="21726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3" xfId="8530"/>
    <cellStyle name="20% - akcent 6 162 4" xfId="15136"/>
    <cellStyle name="20% - akcent 6 162 5" xfId="21727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3" xfId="8531"/>
    <cellStyle name="20% - akcent 6 163 4" xfId="15137"/>
    <cellStyle name="20% - akcent 6 163 5" xfId="21728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3" xfId="8532"/>
    <cellStyle name="20% - akcent 6 164 4" xfId="15138"/>
    <cellStyle name="20% - akcent 6 164 5" xfId="21729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3" xfId="8533"/>
    <cellStyle name="20% - akcent 6 165 4" xfId="15139"/>
    <cellStyle name="20% - akcent 6 165 5" xfId="21730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3" xfId="8534"/>
    <cellStyle name="20% - akcent 6 166 4" xfId="15140"/>
    <cellStyle name="20% - akcent 6 166 5" xfId="21731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3" xfId="8535"/>
    <cellStyle name="20% - akcent 6 167 4" xfId="15141"/>
    <cellStyle name="20% - akcent 6 167 5" xfId="21732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3" xfId="8536"/>
    <cellStyle name="20% - akcent 6 168 4" xfId="15142"/>
    <cellStyle name="20% - akcent 6 168 5" xfId="21733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3" xfId="8537"/>
    <cellStyle name="20% - akcent 6 169 4" xfId="15143"/>
    <cellStyle name="20% - akcent 6 169 5" xfId="21734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3" xfId="8539"/>
    <cellStyle name="20% - akcent 6 17 2 4" xfId="15145"/>
    <cellStyle name="20% - akcent 6 17 2 5" xfId="21736"/>
    <cellStyle name="20% - akcent 6 17 3" xfId="5193"/>
    <cellStyle name="20% - akcent 6 17 3 2" xfId="11828"/>
    <cellStyle name="20% - akcent 6 17 3 3" xfId="18432"/>
    <cellStyle name="20% - akcent 6 17 3 4" xfId="25023"/>
    <cellStyle name="20% - akcent 6 17 4" xfId="8538"/>
    <cellStyle name="20% - akcent 6 17 5" xfId="15144"/>
    <cellStyle name="20% - akcent 6 17 6" xfId="21735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3" xfId="8540"/>
    <cellStyle name="20% - akcent 6 170 4" xfId="15146"/>
    <cellStyle name="20% - akcent 6 170 5" xfId="21737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3" xfId="8541"/>
    <cellStyle name="20% - akcent 6 171 4" xfId="15147"/>
    <cellStyle name="20% - akcent 6 171 5" xfId="21738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3" xfId="8542"/>
    <cellStyle name="20% - akcent 6 172 4" xfId="15148"/>
    <cellStyle name="20% - akcent 6 172 5" xfId="21739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3" xfId="8543"/>
    <cellStyle name="20% - akcent 6 173 4" xfId="15149"/>
    <cellStyle name="20% - akcent 6 173 5" xfId="21740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3" xfId="8544"/>
    <cellStyle name="20% - akcent 6 174 4" xfId="15150"/>
    <cellStyle name="20% - akcent 6 174 5" xfId="21741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3" xfId="8545"/>
    <cellStyle name="20% - akcent 6 175 4" xfId="15151"/>
    <cellStyle name="20% - akcent 6 175 5" xfId="21742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3" xfId="8546"/>
    <cellStyle name="20% - akcent 6 176 4" xfId="15152"/>
    <cellStyle name="20% - akcent 6 176 5" xfId="21743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3" xfId="8547"/>
    <cellStyle name="20% - akcent 6 177 4" xfId="15153"/>
    <cellStyle name="20% - akcent 6 177 5" xfId="21744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3" xfId="8548"/>
    <cellStyle name="20% - akcent 6 178 4" xfId="15154"/>
    <cellStyle name="20% - akcent 6 178 5" xfId="21745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3" xfId="8549"/>
    <cellStyle name="20% - akcent 6 179 4" xfId="15155"/>
    <cellStyle name="20% - akcent 6 179 5" xfId="21746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3" xfId="8551"/>
    <cellStyle name="20% - akcent 6 18 2 4" xfId="15157"/>
    <cellStyle name="20% - akcent 6 18 2 5" xfId="21748"/>
    <cellStyle name="20% - akcent 6 18 3" xfId="5205"/>
    <cellStyle name="20% - akcent 6 18 3 2" xfId="11840"/>
    <cellStyle name="20% - akcent 6 18 3 3" xfId="18444"/>
    <cellStyle name="20% - akcent 6 18 3 4" xfId="25035"/>
    <cellStyle name="20% - akcent 6 18 4" xfId="8550"/>
    <cellStyle name="20% - akcent 6 18 5" xfId="15156"/>
    <cellStyle name="20% - akcent 6 18 6" xfId="21747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3" xfId="8552"/>
    <cellStyle name="20% - akcent 6 180 4" xfId="15158"/>
    <cellStyle name="20% - akcent 6 180 5" xfId="21749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3" xfId="8553"/>
    <cellStyle name="20% - akcent 6 181 4" xfId="15159"/>
    <cellStyle name="20% - akcent 6 181 5" xfId="21750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3" xfId="8554"/>
    <cellStyle name="20% - akcent 6 182 4" xfId="15160"/>
    <cellStyle name="20% - akcent 6 182 5" xfId="21751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3" xfId="8555"/>
    <cellStyle name="20% - akcent 6 183 4" xfId="15161"/>
    <cellStyle name="20% - akcent 6 183 5" xfId="21752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3" xfId="8556"/>
    <cellStyle name="20% - akcent 6 184 4" xfId="15162"/>
    <cellStyle name="20% - akcent 6 184 5" xfId="21753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3" xfId="8557"/>
    <cellStyle name="20% - akcent 6 185 4" xfId="15163"/>
    <cellStyle name="20% - akcent 6 185 5" xfId="21754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3" xfId="8558"/>
    <cellStyle name="20% - akcent 6 186 4" xfId="15164"/>
    <cellStyle name="20% - akcent 6 186 5" xfId="21755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3" xfId="8559"/>
    <cellStyle name="20% - akcent 6 187 4" xfId="15165"/>
    <cellStyle name="20% - akcent 6 187 5" xfId="21756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3" xfId="8560"/>
    <cellStyle name="20% - akcent 6 188 4" xfId="15166"/>
    <cellStyle name="20% - akcent 6 188 5" xfId="21757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3" xfId="8561"/>
    <cellStyle name="20% - akcent 6 189 4" xfId="15167"/>
    <cellStyle name="20% - akcent 6 189 5" xfId="21758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3" xfId="8563"/>
    <cellStyle name="20% - akcent 6 19 2 4" xfId="15169"/>
    <cellStyle name="20% - akcent 6 19 2 5" xfId="21760"/>
    <cellStyle name="20% - akcent 6 19 3" xfId="5217"/>
    <cellStyle name="20% - akcent 6 19 3 2" xfId="11852"/>
    <cellStyle name="20% - akcent 6 19 3 3" xfId="18456"/>
    <cellStyle name="20% - akcent 6 19 3 4" xfId="25047"/>
    <cellStyle name="20% - akcent 6 19 4" xfId="8562"/>
    <cellStyle name="20% - akcent 6 19 5" xfId="15168"/>
    <cellStyle name="20% - akcent 6 19 6" xfId="21759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3" xfId="8564"/>
    <cellStyle name="20% - akcent 6 190 4" xfId="15170"/>
    <cellStyle name="20% - akcent 6 190 5" xfId="21761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3" xfId="8565"/>
    <cellStyle name="20% - akcent 6 191 4" xfId="15171"/>
    <cellStyle name="20% - akcent 6 191 5" xfId="21762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3" xfId="8566"/>
    <cellStyle name="20% - akcent 6 192 4" xfId="15172"/>
    <cellStyle name="20% - akcent 6 192 5" xfId="21763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3" xfId="8567"/>
    <cellStyle name="20% - akcent 6 193 4" xfId="15173"/>
    <cellStyle name="20% - akcent 6 193 5" xfId="21764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3" xfId="8568"/>
    <cellStyle name="20% - akcent 6 194 4" xfId="15174"/>
    <cellStyle name="20% - akcent 6 194 5" xfId="21765"/>
    <cellStyle name="20% - akcent 6 195" xfId="3847"/>
    <cellStyle name="20% - akcent 6 195 2" xfId="10482"/>
    <cellStyle name="20% - akcent 6 195 3" xfId="17086"/>
    <cellStyle name="20% - akcent 6 195 4" xfId="23677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3" xfId="8570"/>
    <cellStyle name="20% - akcent 6 2 2 4" xfId="15176"/>
    <cellStyle name="20% - akcent 6 2 2 5" xfId="21767"/>
    <cellStyle name="20% - akcent 6 2 3" xfId="5224"/>
    <cellStyle name="20% - akcent 6 2 3 2" xfId="11859"/>
    <cellStyle name="20% - akcent 6 2 3 3" xfId="18463"/>
    <cellStyle name="20% - akcent 6 2 3 4" xfId="25054"/>
    <cellStyle name="20% - akcent 6 2 4" xfId="8569"/>
    <cellStyle name="20% - akcent 6 2 5" xfId="15175"/>
    <cellStyle name="20% - akcent 6 2 6" xfId="21766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3" xfId="8572"/>
    <cellStyle name="20% - akcent 6 20 2 4" xfId="15178"/>
    <cellStyle name="20% - akcent 6 20 2 5" xfId="21769"/>
    <cellStyle name="20% - akcent 6 20 3" xfId="5226"/>
    <cellStyle name="20% - akcent 6 20 3 2" xfId="11861"/>
    <cellStyle name="20% - akcent 6 20 3 3" xfId="18465"/>
    <cellStyle name="20% - akcent 6 20 3 4" xfId="25056"/>
    <cellStyle name="20% - akcent 6 20 4" xfId="8571"/>
    <cellStyle name="20% - akcent 6 20 5" xfId="15177"/>
    <cellStyle name="20% - akcent 6 20 6" xfId="21768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3" xfId="8574"/>
    <cellStyle name="20% - akcent 6 21 2 4" xfId="15180"/>
    <cellStyle name="20% - akcent 6 21 2 5" xfId="21771"/>
    <cellStyle name="20% - akcent 6 21 3" xfId="5228"/>
    <cellStyle name="20% - akcent 6 21 3 2" xfId="11863"/>
    <cellStyle name="20% - akcent 6 21 3 3" xfId="18467"/>
    <cellStyle name="20% - akcent 6 21 3 4" xfId="25058"/>
    <cellStyle name="20% - akcent 6 21 4" xfId="8573"/>
    <cellStyle name="20% - akcent 6 21 5" xfId="15179"/>
    <cellStyle name="20% - akcent 6 21 6" xfId="21770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3" xfId="8576"/>
    <cellStyle name="20% - akcent 6 22 2 4" xfId="15182"/>
    <cellStyle name="20% - akcent 6 22 2 5" xfId="21773"/>
    <cellStyle name="20% - akcent 6 22 3" xfId="5230"/>
    <cellStyle name="20% - akcent 6 22 3 2" xfId="11865"/>
    <cellStyle name="20% - akcent 6 22 3 3" xfId="18469"/>
    <cellStyle name="20% - akcent 6 22 3 4" xfId="25060"/>
    <cellStyle name="20% - akcent 6 22 4" xfId="8575"/>
    <cellStyle name="20% - akcent 6 22 5" xfId="15181"/>
    <cellStyle name="20% - akcent 6 22 6" xfId="21772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3" xfId="8578"/>
    <cellStyle name="20% - akcent 6 23 2 4" xfId="15184"/>
    <cellStyle name="20% - akcent 6 23 2 5" xfId="21775"/>
    <cellStyle name="20% - akcent 6 23 3" xfId="5232"/>
    <cellStyle name="20% - akcent 6 23 3 2" xfId="11867"/>
    <cellStyle name="20% - akcent 6 23 3 3" xfId="18471"/>
    <cellStyle name="20% - akcent 6 23 3 4" xfId="25062"/>
    <cellStyle name="20% - akcent 6 23 4" xfId="8577"/>
    <cellStyle name="20% - akcent 6 23 5" xfId="15183"/>
    <cellStyle name="20% - akcent 6 23 6" xfId="21774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3" xfId="8580"/>
    <cellStyle name="20% - akcent 6 24 2 4" xfId="15186"/>
    <cellStyle name="20% - akcent 6 24 2 5" xfId="21777"/>
    <cellStyle name="20% - akcent 6 24 3" xfId="5234"/>
    <cellStyle name="20% - akcent 6 24 3 2" xfId="11869"/>
    <cellStyle name="20% - akcent 6 24 3 3" xfId="18473"/>
    <cellStyle name="20% - akcent 6 24 3 4" xfId="25064"/>
    <cellStyle name="20% - akcent 6 24 4" xfId="8579"/>
    <cellStyle name="20% - akcent 6 24 5" xfId="15185"/>
    <cellStyle name="20% - akcent 6 24 6" xfId="21776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3" xfId="8582"/>
    <cellStyle name="20% - akcent 6 25 2 4" xfId="15188"/>
    <cellStyle name="20% - akcent 6 25 2 5" xfId="21779"/>
    <cellStyle name="20% - akcent 6 25 3" xfId="5236"/>
    <cellStyle name="20% - akcent 6 25 3 2" xfId="11871"/>
    <cellStyle name="20% - akcent 6 25 3 3" xfId="18475"/>
    <cellStyle name="20% - akcent 6 25 3 4" xfId="25066"/>
    <cellStyle name="20% - akcent 6 25 4" xfId="8581"/>
    <cellStyle name="20% - akcent 6 25 5" xfId="15187"/>
    <cellStyle name="20% - akcent 6 25 6" xfId="21778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3" xfId="8584"/>
    <cellStyle name="20% - akcent 6 26 2 4" xfId="15190"/>
    <cellStyle name="20% - akcent 6 26 2 5" xfId="21781"/>
    <cellStyle name="20% - akcent 6 26 3" xfId="5238"/>
    <cellStyle name="20% - akcent 6 26 3 2" xfId="11873"/>
    <cellStyle name="20% - akcent 6 26 3 3" xfId="18477"/>
    <cellStyle name="20% - akcent 6 26 3 4" xfId="25068"/>
    <cellStyle name="20% - akcent 6 26 4" xfId="8583"/>
    <cellStyle name="20% - akcent 6 26 5" xfId="15189"/>
    <cellStyle name="20% - akcent 6 26 6" xfId="21780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3" xfId="8586"/>
    <cellStyle name="20% - akcent 6 27 2 4" xfId="15192"/>
    <cellStyle name="20% - akcent 6 27 2 5" xfId="21783"/>
    <cellStyle name="20% - akcent 6 27 3" xfId="5240"/>
    <cellStyle name="20% - akcent 6 27 3 2" xfId="11875"/>
    <cellStyle name="20% - akcent 6 27 3 3" xfId="18479"/>
    <cellStyle name="20% - akcent 6 27 3 4" xfId="25070"/>
    <cellStyle name="20% - akcent 6 27 4" xfId="8585"/>
    <cellStyle name="20% - akcent 6 27 5" xfId="15191"/>
    <cellStyle name="20% - akcent 6 27 6" xfId="21782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3" xfId="8588"/>
    <cellStyle name="20% - akcent 6 28 2 4" xfId="15194"/>
    <cellStyle name="20% - akcent 6 28 2 5" xfId="21785"/>
    <cellStyle name="20% - akcent 6 28 3" xfId="5242"/>
    <cellStyle name="20% - akcent 6 28 3 2" xfId="11877"/>
    <cellStyle name="20% - akcent 6 28 3 3" xfId="18481"/>
    <cellStyle name="20% - akcent 6 28 3 4" xfId="25072"/>
    <cellStyle name="20% - akcent 6 28 4" xfId="8587"/>
    <cellStyle name="20% - akcent 6 28 5" xfId="15193"/>
    <cellStyle name="20% - akcent 6 28 6" xfId="21784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3" xfId="8590"/>
    <cellStyle name="20% - akcent 6 29 2 4" xfId="15196"/>
    <cellStyle name="20% - akcent 6 29 2 5" xfId="21787"/>
    <cellStyle name="20% - akcent 6 29 3" xfId="5244"/>
    <cellStyle name="20% - akcent 6 29 3 2" xfId="11879"/>
    <cellStyle name="20% - akcent 6 29 3 3" xfId="18483"/>
    <cellStyle name="20% - akcent 6 29 3 4" xfId="25074"/>
    <cellStyle name="20% - akcent 6 29 4" xfId="8589"/>
    <cellStyle name="20% - akcent 6 29 5" xfId="15195"/>
    <cellStyle name="20% - akcent 6 29 6" xfId="21786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3" xfId="8592"/>
    <cellStyle name="20% - akcent 6 3 2 4" xfId="15198"/>
    <cellStyle name="20% - akcent 6 3 2 5" xfId="21789"/>
    <cellStyle name="20% - akcent 6 3 3" xfId="5246"/>
    <cellStyle name="20% - akcent 6 3 3 2" xfId="11881"/>
    <cellStyle name="20% - akcent 6 3 3 3" xfId="18485"/>
    <cellStyle name="20% - akcent 6 3 3 4" xfId="25076"/>
    <cellStyle name="20% - akcent 6 3 4" xfId="8591"/>
    <cellStyle name="20% - akcent 6 3 5" xfId="15197"/>
    <cellStyle name="20% - akcent 6 3 6" xfId="21788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3" xfId="8594"/>
    <cellStyle name="20% - akcent 6 30 2 4" xfId="15200"/>
    <cellStyle name="20% - akcent 6 30 2 5" xfId="21791"/>
    <cellStyle name="20% - akcent 6 30 3" xfId="5248"/>
    <cellStyle name="20% - akcent 6 30 3 2" xfId="11883"/>
    <cellStyle name="20% - akcent 6 30 3 3" xfId="18487"/>
    <cellStyle name="20% - akcent 6 30 3 4" xfId="25078"/>
    <cellStyle name="20% - akcent 6 30 4" xfId="8593"/>
    <cellStyle name="20% - akcent 6 30 5" xfId="15199"/>
    <cellStyle name="20% - akcent 6 30 6" xfId="21790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3" xfId="8596"/>
    <cellStyle name="20% - akcent 6 31 2 4" xfId="15202"/>
    <cellStyle name="20% - akcent 6 31 2 5" xfId="21793"/>
    <cellStyle name="20% - akcent 6 31 3" xfId="5250"/>
    <cellStyle name="20% - akcent 6 31 3 2" xfId="11885"/>
    <cellStyle name="20% - akcent 6 31 3 3" xfId="18489"/>
    <cellStyle name="20% - akcent 6 31 3 4" xfId="25080"/>
    <cellStyle name="20% - akcent 6 31 4" xfId="8595"/>
    <cellStyle name="20% - akcent 6 31 5" xfId="15201"/>
    <cellStyle name="20% - akcent 6 31 6" xfId="21792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3" xfId="8598"/>
    <cellStyle name="20% - akcent 6 32 2 4" xfId="15204"/>
    <cellStyle name="20% - akcent 6 32 2 5" xfId="21795"/>
    <cellStyle name="20% - akcent 6 32 3" xfId="5252"/>
    <cellStyle name="20% - akcent 6 32 3 2" xfId="11887"/>
    <cellStyle name="20% - akcent 6 32 3 3" xfId="18491"/>
    <cellStyle name="20% - akcent 6 32 3 4" xfId="25082"/>
    <cellStyle name="20% - akcent 6 32 4" xfId="8597"/>
    <cellStyle name="20% - akcent 6 32 5" xfId="15203"/>
    <cellStyle name="20% - akcent 6 32 6" xfId="21794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3" xfId="8600"/>
    <cellStyle name="20% - akcent 6 33 2 4" xfId="15206"/>
    <cellStyle name="20% - akcent 6 33 2 5" xfId="21797"/>
    <cellStyle name="20% - akcent 6 33 3" xfId="5254"/>
    <cellStyle name="20% - akcent 6 33 3 2" xfId="11889"/>
    <cellStyle name="20% - akcent 6 33 3 3" xfId="18493"/>
    <cellStyle name="20% - akcent 6 33 3 4" xfId="25084"/>
    <cellStyle name="20% - akcent 6 33 4" xfId="8599"/>
    <cellStyle name="20% - akcent 6 33 5" xfId="15205"/>
    <cellStyle name="20% - akcent 6 33 6" xfId="21796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3" xfId="8602"/>
    <cellStyle name="20% - akcent 6 34 2 4" xfId="15208"/>
    <cellStyle name="20% - akcent 6 34 2 5" xfId="21799"/>
    <cellStyle name="20% - akcent 6 34 3" xfId="5256"/>
    <cellStyle name="20% - akcent 6 34 3 2" xfId="11891"/>
    <cellStyle name="20% - akcent 6 34 3 3" xfId="18495"/>
    <cellStyle name="20% - akcent 6 34 3 4" xfId="25086"/>
    <cellStyle name="20% - akcent 6 34 4" xfId="8601"/>
    <cellStyle name="20% - akcent 6 34 5" xfId="15207"/>
    <cellStyle name="20% - akcent 6 34 6" xfId="21798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3" xfId="8604"/>
    <cellStyle name="20% - akcent 6 35 2 4" xfId="15210"/>
    <cellStyle name="20% - akcent 6 35 2 5" xfId="21801"/>
    <cellStyle name="20% - akcent 6 35 3" xfId="5258"/>
    <cellStyle name="20% - akcent 6 35 3 2" xfId="11893"/>
    <cellStyle name="20% - akcent 6 35 3 3" xfId="18497"/>
    <cellStyle name="20% - akcent 6 35 3 4" xfId="25088"/>
    <cellStyle name="20% - akcent 6 35 4" xfId="8603"/>
    <cellStyle name="20% - akcent 6 35 5" xfId="15209"/>
    <cellStyle name="20% - akcent 6 35 6" xfId="21800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3" xfId="8606"/>
    <cellStyle name="20% - akcent 6 36 2 4" xfId="15212"/>
    <cellStyle name="20% - akcent 6 36 2 5" xfId="21803"/>
    <cellStyle name="20% - akcent 6 36 3" xfId="5260"/>
    <cellStyle name="20% - akcent 6 36 3 2" xfId="11895"/>
    <cellStyle name="20% - akcent 6 36 3 3" xfId="18499"/>
    <cellStyle name="20% - akcent 6 36 3 4" xfId="25090"/>
    <cellStyle name="20% - akcent 6 36 4" xfId="8605"/>
    <cellStyle name="20% - akcent 6 36 5" xfId="15211"/>
    <cellStyle name="20% - akcent 6 36 6" xfId="21802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3" xfId="8608"/>
    <cellStyle name="20% - akcent 6 37 2 4" xfId="15214"/>
    <cellStyle name="20% - akcent 6 37 2 5" xfId="21805"/>
    <cellStyle name="20% - akcent 6 37 3" xfId="5262"/>
    <cellStyle name="20% - akcent 6 37 3 2" xfId="11897"/>
    <cellStyle name="20% - akcent 6 37 3 3" xfId="18501"/>
    <cellStyle name="20% - akcent 6 37 3 4" xfId="25092"/>
    <cellStyle name="20% - akcent 6 37 4" xfId="8607"/>
    <cellStyle name="20% - akcent 6 37 5" xfId="15213"/>
    <cellStyle name="20% - akcent 6 37 6" xfId="21804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3" xfId="8610"/>
    <cellStyle name="20% - akcent 6 38 2 4" xfId="15216"/>
    <cellStyle name="20% - akcent 6 38 2 5" xfId="21807"/>
    <cellStyle name="20% - akcent 6 38 3" xfId="5264"/>
    <cellStyle name="20% - akcent 6 38 3 2" xfId="11899"/>
    <cellStyle name="20% - akcent 6 38 3 3" xfId="18503"/>
    <cellStyle name="20% - akcent 6 38 3 4" xfId="25094"/>
    <cellStyle name="20% - akcent 6 38 4" xfId="8609"/>
    <cellStyle name="20% - akcent 6 38 5" xfId="15215"/>
    <cellStyle name="20% - akcent 6 38 6" xfId="21806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3" xfId="8612"/>
    <cellStyle name="20% - akcent 6 39 2 4" xfId="15218"/>
    <cellStyle name="20% - akcent 6 39 2 5" xfId="21809"/>
    <cellStyle name="20% - akcent 6 39 3" xfId="5266"/>
    <cellStyle name="20% - akcent 6 39 3 2" xfId="11901"/>
    <cellStyle name="20% - akcent 6 39 3 3" xfId="18505"/>
    <cellStyle name="20% - akcent 6 39 3 4" xfId="25096"/>
    <cellStyle name="20% - akcent 6 39 4" xfId="8611"/>
    <cellStyle name="20% - akcent 6 39 5" xfId="15217"/>
    <cellStyle name="20% - akcent 6 39 6" xfId="21808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3" xfId="8614"/>
    <cellStyle name="20% - akcent 6 4 2 4" xfId="15220"/>
    <cellStyle name="20% - akcent 6 4 2 5" xfId="21811"/>
    <cellStyle name="20% - akcent 6 4 3" xfId="5268"/>
    <cellStyle name="20% - akcent 6 4 3 2" xfId="11903"/>
    <cellStyle name="20% - akcent 6 4 3 3" xfId="18507"/>
    <cellStyle name="20% - akcent 6 4 3 4" xfId="25098"/>
    <cellStyle name="20% - akcent 6 4 4" xfId="8613"/>
    <cellStyle name="20% - akcent 6 4 5" xfId="15219"/>
    <cellStyle name="20% - akcent 6 4 6" xfId="21810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3" xfId="8616"/>
    <cellStyle name="20% - akcent 6 40 2 4" xfId="15222"/>
    <cellStyle name="20% - akcent 6 40 2 5" xfId="21813"/>
    <cellStyle name="20% - akcent 6 40 3" xfId="5270"/>
    <cellStyle name="20% - akcent 6 40 3 2" xfId="11905"/>
    <cellStyle name="20% - akcent 6 40 3 3" xfId="18509"/>
    <cellStyle name="20% - akcent 6 40 3 4" xfId="25100"/>
    <cellStyle name="20% - akcent 6 40 4" xfId="8615"/>
    <cellStyle name="20% - akcent 6 40 5" xfId="15221"/>
    <cellStyle name="20% - akcent 6 40 6" xfId="21812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3" xfId="8618"/>
    <cellStyle name="20% - akcent 6 41 2 4" xfId="15224"/>
    <cellStyle name="20% - akcent 6 41 2 5" xfId="21815"/>
    <cellStyle name="20% - akcent 6 41 3" xfId="5272"/>
    <cellStyle name="20% - akcent 6 41 3 2" xfId="11907"/>
    <cellStyle name="20% - akcent 6 41 3 3" xfId="18511"/>
    <cellStyle name="20% - akcent 6 41 3 4" xfId="25102"/>
    <cellStyle name="20% - akcent 6 41 4" xfId="8617"/>
    <cellStyle name="20% - akcent 6 41 5" xfId="15223"/>
    <cellStyle name="20% - akcent 6 41 6" xfId="21814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3" xfId="8620"/>
    <cellStyle name="20% - akcent 6 42 2 4" xfId="15226"/>
    <cellStyle name="20% - akcent 6 42 2 5" xfId="21817"/>
    <cellStyle name="20% - akcent 6 42 3" xfId="5274"/>
    <cellStyle name="20% - akcent 6 42 3 2" xfId="11909"/>
    <cellStyle name="20% - akcent 6 42 3 3" xfId="18513"/>
    <cellStyle name="20% - akcent 6 42 3 4" xfId="25104"/>
    <cellStyle name="20% - akcent 6 42 4" xfId="8619"/>
    <cellStyle name="20% - akcent 6 42 5" xfId="15225"/>
    <cellStyle name="20% - akcent 6 42 6" xfId="21816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3" xfId="8622"/>
    <cellStyle name="20% - akcent 6 43 2 4" xfId="15228"/>
    <cellStyle name="20% - akcent 6 43 2 5" xfId="21819"/>
    <cellStyle name="20% - akcent 6 43 3" xfId="5276"/>
    <cellStyle name="20% - akcent 6 43 3 2" xfId="11911"/>
    <cellStyle name="20% - akcent 6 43 3 3" xfId="18515"/>
    <cellStyle name="20% - akcent 6 43 3 4" xfId="25106"/>
    <cellStyle name="20% - akcent 6 43 4" xfId="8621"/>
    <cellStyle name="20% - akcent 6 43 5" xfId="15227"/>
    <cellStyle name="20% - akcent 6 43 6" xfId="21818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3" xfId="8624"/>
    <cellStyle name="20% - akcent 6 44 2 4" xfId="15230"/>
    <cellStyle name="20% - akcent 6 44 2 5" xfId="21821"/>
    <cellStyle name="20% - akcent 6 44 3" xfId="5278"/>
    <cellStyle name="20% - akcent 6 44 3 2" xfId="11913"/>
    <cellStyle name="20% - akcent 6 44 3 3" xfId="18517"/>
    <cellStyle name="20% - akcent 6 44 3 4" xfId="25108"/>
    <cellStyle name="20% - akcent 6 44 4" xfId="8623"/>
    <cellStyle name="20% - akcent 6 44 5" xfId="15229"/>
    <cellStyle name="20% - akcent 6 44 6" xfId="21820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3" xfId="8626"/>
    <cellStyle name="20% - akcent 6 45 2 4" xfId="15232"/>
    <cellStyle name="20% - akcent 6 45 2 5" xfId="21823"/>
    <cellStyle name="20% - akcent 6 45 3" xfId="5280"/>
    <cellStyle name="20% - akcent 6 45 3 2" xfId="11915"/>
    <cellStyle name="20% - akcent 6 45 3 3" xfId="18519"/>
    <cellStyle name="20% - akcent 6 45 3 4" xfId="25110"/>
    <cellStyle name="20% - akcent 6 45 4" xfId="8625"/>
    <cellStyle name="20% - akcent 6 45 5" xfId="15231"/>
    <cellStyle name="20% - akcent 6 45 6" xfId="21822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3" xfId="8628"/>
    <cellStyle name="20% - akcent 6 46 2 4" xfId="15234"/>
    <cellStyle name="20% - akcent 6 46 2 5" xfId="21825"/>
    <cellStyle name="20% - akcent 6 46 3" xfId="5282"/>
    <cellStyle name="20% - akcent 6 46 3 2" xfId="11917"/>
    <cellStyle name="20% - akcent 6 46 3 3" xfId="18521"/>
    <cellStyle name="20% - akcent 6 46 3 4" xfId="25112"/>
    <cellStyle name="20% - akcent 6 46 4" xfId="8627"/>
    <cellStyle name="20% - akcent 6 46 5" xfId="15233"/>
    <cellStyle name="20% - akcent 6 46 6" xfId="21824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3" xfId="8630"/>
    <cellStyle name="20% - akcent 6 47 2 4" xfId="15236"/>
    <cellStyle name="20% - akcent 6 47 2 5" xfId="21827"/>
    <cellStyle name="20% - akcent 6 47 3" xfId="5284"/>
    <cellStyle name="20% - akcent 6 47 3 2" xfId="11919"/>
    <cellStyle name="20% - akcent 6 47 3 3" xfId="18523"/>
    <cellStyle name="20% - akcent 6 47 3 4" xfId="25114"/>
    <cellStyle name="20% - akcent 6 47 4" xfId="8629"/>
    <cellStyle name="20% - akcent 6 47 5" xfId="15235"/>
    <cellStyle name="20% - akcent 6 47 6" xfId="21826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3" xfId="8632"/>
    <cellStyle name="20% - akcent 6 48 2 4" xfId="15238"/>
    <cellStyle name="20% - akcent 6 48 2 5" xfId="21829"/>
    <cellStyle name="20% - akcent 6 48 3" xfId="5286"/>
    <cellStyle name="20% - akcent 6 48 3 2" xfId="11921"/>
    <cellStyle name="20% - akcent 6 48 3 3" xfId="18525"/>
    <cellStyle name="20% - akcent 6 48 3 4" xfId="25116"/>
    <cellStyle name="20% - akcent 6 48 4" xfId="8631"/>
    <cellStyle name="20% - akcent 6 48 5" xfId="15237"/>
    <cellStyle name="20% - akcent 6 48 6" xfId="21828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3" xfId="8634"/>
    <cellStyle name="20% - akcent 6 49 2 4" xfId="15240"/>
    <cellStyle name="20% - akcent 6 49 2 5" xfId="21831"/>
    <cellStyle name="20% - akcent 6 49 3" xfId="5288"/>
    <cellStyle name="20% - akcent 6 49 3 2" xfId="11923"/>
    <cellStyle name="20% - akcent 6 49 3 3" xfId="18527"/>
    <cellStyle name="20% - akcent 6 49 3 4" xfId="25118"/>
    <cellStyle name="20% - akcent 6 49 4" xfId="8633"/>
    <cellStyle name="20% - akcent 6 49 5" xfId="15239"/>
    <cellStyle name="20% - akcent 6 49 6" xfId="21830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3" xfId="8636"/>
    <cellStyle name="20% - akcent 6 5 2 4" xfId="15242"/>
    <cellStyle name="20% - akcent 6 5 2 5" xfId="21833"/>
    <cellStyle name="20% - akcent 6 5 3" xfId="5290"/>
    <cellStyle name="20% - akcent 6 5 3 2" xfId="11925"/>
    <cellStyle name="20% - akcent 6 5 3 3" xfId="18529"/>
    <cellStyle name="20% - akcent 6 5 3 4" xfId="25120"/>
    <cellStyle name="20% - akcent 6 5 4" xfId="8635"/>
    <cellStyle name="20% - akcent 6 5 5" xfId="15241"/>
    <cellStyle name="20% - akcent 6 5 6" xfId="21832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3" xfId="8638"/>
    <cellStyle name="20% - akcent 6 50 2 4" xfId="15244"/>
    <cellStyle name="20% - akcent 6 50 2 5" xfId="21835"/>
    <cellStyle name="20% - akcent 6 50 3" xfId="5292"/>
    <cellStyle name="20% - akcent 6 50 3 2" xfId="11927"/>
    <cellStyle name="20% - akcent 6 50 3 3" xfId="18531"/>
    <cellStyle name="20% - akcent 6 50 3 4" xfId="25122"/>
    <cellStyle name="20% - akcent 6 50 4" xfId="8637"/>
    <cellStyle name="20% - akcent 6 50 5" xfId="15243"/>
    <cellStyle name="20% - akcent 6 50 6" xfId="21834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3" xfId="8640"/>
    <cellStyle name="20% - akcent 6 51 2 4" xfId="15246"/>
    <cellStyle name="20% - akcent 6 51 2 5" xfId="21837"/>
    <cellStyle name="20% - akcent 6 51 3" xfId="5294"/>
    <cellStyle name="20% - akcent 6 51 3 2" xfId="11929"/>
    <cellStyle name="20% - akcent 6 51 3 3" xfId="18533"/>
    <cellStyle name="20% - akcent 6 51 3 4" xfId="25124"/>
    <cellStyle name="20% - akcent 6 51 4" xfId="8639"/>
    <cellStyle name="20% - akcent 6 51 5" xfId="15245"/>
    <cellStyle name="20% - akcent 6 51 6" xfId="21836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3" xfId="8642"/>
    <cellStyle name="20% - akcent 6 52 2 4" xfId="15248"/>
    <cellStyle name="20% - akcent 6 52 2 5" xfId="21839"/>
    <cellStyle name="20% - akcent 6 52 3" xfId="5296"/>
    <cellStyle name="20% - akcent 6 52 3 2" xfId="11931"/>
    <cellStyle name="20% - akcent 6 52 3 3" xfId="18535"/>
    <cellStyle name="20% - akcent 6 52 3 4" xfId="25126"/>
    <cellStyle name="20% - akcent 6 52 4" xfId="8641"/>
    <cellStyle name="20% - akcent 6 52 5" xfId="15247"/>
    <cellStyle name="20% - akcent 6 52 6" xfId="21838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3" xfId="8644"/>
    <cellStyle name="20% - akcent 6 53 2 4" xfId="15250"/>
    <cellStyle name="20% - akcent 6 53 2 5" xfId="21841"/>
    <cellStyle name="20% - akcent 6 53 3" xfId="5298"/>
    <cellStyle name="20% - akcent 6 53 3 2" xfId="11933"/>
    <cellStyle name="20% - akcent 6 53 3 3" xfId="18537"/>
    <cellStyle name="20% - akcent 6 53 3 4" xfId="25128"/>
    <cellStyle name="20% - akcent 6 53 4" xfId="8643"/>
    <cellStyle name="20% - akcent 6 53 5" xfId="15249"/>
    <cellStyle name="20% - akcent 6 53 6" xfId="21840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3" xfId="8646"/>
    <cellStyle name="20% - akcent 6 54 2 4" xfId="15252"/>
    <cellStyle name="20% - akcent 6 54 2 5" xfId="21843"/>
    <cellStyle name="20% - akcent 6 54 3" xfId="5300"/>
    <cellStyle name="20% - akcent 6 54 3 2" xfId="11935"/>
    <cellStyle name="20% - akcent 6 54 3 3" xfId="18539"/>
    <cellStyle name="20% - akcent 6 54 3 4" xfId="25130"/>
    <cellStyle name="20% - akcent 6 54 4" xfId="8645"/>
    <cellStyle name="20% - akcent 6 54 5" xfId="15251"/>
    <cellStyle name="20% - akcent 6 54 6" xfId="21842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3" xfId="8648"/>
    <cellStyle name="20% - akcent 6 55 2 4" xfId="15254"/>
    <cellStyle name="20% - akcent 6 55 2 5" xfId="21845"/>
    <cellStyle name="20% - akcent 6 55 3" xfId="5302"/>
    <cellStyle name="20% - akcent 6 55 3 2" xfId="11937"/>
    <cellStyle name="20% - akcent 6 55 3 3" xfId="18541"/>
    <cellStyle name="20% - akcent 6 55 3 4" xfId="25132"/>
    <cellStyle name="20% - akcent 6 55 4" xfId="8647"/>
    <cellStyle name="20% - akcent 6 55 5" xfId="15253"/>
    <cellStyle name="20% - akcent 6 55 6" xfId="21844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3" xfId="8650"/>
    <cellStyle name="20% - akcent 6 56 2 4" xfId="15256"/>
    <cellStyle name="20% - akcent 6 56 2 5" xfId="21847"/>
    <cellStyle name="20% - akcent 6 56 3" xfId="5304"/>
    <cellStyle name="20% - akcent 6 56 3 2" xfId="11939"/>
    <cellStyle name="20% - akcent 6 56 3 3" xfId="18543"/>
    <cellStyle name="20% - akcent 6 56 3 4" xfId="25134"/>
    <cellStyle name="20% - akcent 6 56 4" xfId="8649"/>
    <cellStyle name="20% - akcent 6 56 5" xfId="15255"/>
    <cellStyle name="20% - akcent 6 56 6" xfId="21846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3" xfId="8652"/>
    <cellStyle name="20% - akcent 6 57 2 4" xfId="15258"/>
    <cellStyle name="20% - akcent 6 57 2 5" xfId="21849"/>
    <cellStyle name="20% - akcent 6 57 3" xfId="5306"/>
    <cellStyle name="20% - akcent 6 57 3 2" xfId="11941"/>
    <cellStyle name="20% - akcent 6 57 3 3" xfId="18545"/>
    <cellStyle name="20% - akcent 6 57 3 4" xfId="25136"/>
    <cellStyle name="20% - akcent 6 57 4" xfId="8651"/>
    <cellStyle name="20% - akcent 6 57 5" xfId="15257"/>
    <cellStyle name="20% - akcent 6 57 6" xfId="21848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3" xfId="8654"/>
    <cellStyle name="20% - akcent 6 58 2 4" xfId="15260"/>
    <cellStyle name="20% - akcent 6 58 2 5" xfId="21851"/>
    <cellStyle name="20% - akcent 6 58 3" xfId="5308"/>
    <cellStyle name="20% - akcent 6 58 3 2" xfId="11943"/>
    <cellStyle name="20% - akcent 6 58 3 3" xfId="18547"/>
    <cellStyle name="20% - akcent 6 58 3 4" xfId="25138"/>
    <cellStyle name="20% - akcent 6 58 4" xfId="8653"/>
    <cellStyle name="20% - akcent 6 58 5" xfId="15259"/>
    <cellStyle name="20% - akcent 6 58 6" xfId="21850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3" xfId="8656"/>
    <cellStyle name="20% - akcent 6 59 2 4" xfId="15262"/>
    <cellStyle name="20% - akcent 6 59 2 5" xfId="21853"/>
    <cellStyle name="20% - akcent 6 59 3" xfId="5310"/>
    <cellStyle name="20% - akcent 6 59 3 2" xfId="11945"/>
    <cellStyle name="20% - akcent 6 59 3 3" xfId="18549"/>
    <cellStyle name="20% - akcent 6 59 3 4" xfId="25140"/>
    <cellStyle name="20% - akcent 6 59 4" xfId="8655"/>
    <cellStyle name="20% - akcent 6 59 5" xfId="15261"/>
    <cellStyle name="20% - akcent 6 59 6" xfId="21852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3" xfId="8658"/>
    <cellStyle name="20% - akcent 6 6 2 4" xfId="15264"/>
    <cellStyle name="20% - akcent 6 6 2 5" xfId="21855"/>
    <cellStyle name="20% - akcent 6 6 3" xfId="5312"/>
    <cellStyle name="20% - akcent 6 6 3 2" xfId="11947"/>
    <cellStyle name="20% - akcent 6 6 3 3" xfId="18551"/>
    <cellStyle name="20% - akcent 6 6 3 4" xfId="25142"/>
    <cellStyle name="20% - akcent 6 6 4" xfId="8657"/>
    <cellStyle name="20% - akcent 6 6 5" xfId="15263"/>
    <cellStyle name="20% - akcent 6 6 6" xfId="21854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3" xfId="8659"/>
    <cellStyle name="20% - akcent 6 60 4" xfId="15265"/>
    <cellStyle name="20% - akcent 6 60 5" xfId="21856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3" xfId="8660"/>
    <cellStyle name="20% - akcent 6 61 4" xfId="15266"/>
    <cellStyle name="20% - akcent 6 61 5" xfId="21857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3" xfId="8661"/>
    <cellStyle name="20% - akcent 6 62 4" xfId="15267"/>
    <cellStyle name="20% - akcent 6 62 5" xfId="21858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3" xfId="8662"/>
    <cellStyle name="20% - akcent 6 63 4" xfId="15268"/>
    <cellStyle name="20% - akcent 6 63 5" xfId="21859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3" xfId="8663"/>
    <cellStyle name="20% - akcent 6 64 4" xfId="15269"/>
    <cellStyle name="20% - akcent 6 64 5" xfId="21860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3" xfId="8664"/>
    <cellStyle name="20% - akcent 6 65 4" xfId="15270"/>
    <cellStyle name="20% - akcent 6 65 5" xfId="21861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3" xfId="8665"/>
    <cellStyle name="20% - akcent 6 66 4" xfId="15271"/>
    <cellStyle name="20% - akcent 6 66 5" xfId="21862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3" xfId="8666"/>
    <cellStyle name="20% - akcent 6 67 4" xfId="15272"/>
    <cellStyle name="20% - akcent 6 67 5" xfId="21863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3" xfId="8667"/>
    <cellStyle name="20% - akcent 6 68 4" xfId="15273"/>
    <cellStyle name="20% - akcent 6 68 5" xfId="21864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3" xfId="8668"/>
    <cellStyle name="20% - akcent 6 69 4" xfId="15274"/>
    <cellStyle name="20% - akcent 6 69 5" xfId="21865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3" xfId="8670"/>
    <cellStyle name="20% - akcent 6 7 2 4" xfId="15276"/>
    <cellStyle name="20% - akcent 6 7 2 5" xfId="21867"/>
    <cellStyle name="20% - akcent 6 7 3" xfId="5324"/>
    <cellStyle name="20% - akcent 6 7 3 2" xfId="11959"/>
    <cellStyle name="20% - akcent 6 7 3 3" xfId="18563"/>
    <cellStyle name="20% - akcent 6 7 3 4" xfId="25154"/>
    <cellStyle name="20% - akcent 6 7 4" xfId="8669"/>
    <cellStyle name="20% - akcent 6 7 5" xfId="15275"/>
    <cellStyle name="20% - akcent 6 7 6" xfId="21866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3" xfId="8671"/>
    <cellStyle name="20% - akcent 6 70 4" xfId="15277"/>
    <cellStyle name="20% - akcent 6 70 5" xfId="21868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3" xfId="8672"/>
    <cellStyle name="20% - akcent 6 71 4" xfId="15278"/>
    <cellStyle name="20% - akcent 6 71 5" xfId="21869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3" xfId="8673"/>
    <cellStyle name="20% - akcent 6 72 4" xfId="15279"/>
    <cellStyle name="20% - akcent 6 72 5" xfId="21870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3" xfId="8674"/>
    <cellStyle name="20% - akcent 6 73 4" xfId="15280"/>
    <cellStyle name="20% - akcent 6 73 5" xfId="21871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3" xfId="8675"/>
    <cellStyle name="20% - akcent 6 74 4" xfId="15281"/>
    <cellStyle name="20% - akcent 6 74 5" xfId="21872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3" xfId="8676"/>
    <cellStyle name="20% - akcent 6 75 4" xfId="15282"/>
    <cellStyle name="20% - akcent 6 75 5" xfId="21873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3" xfId="8677"/>
    <cellStyle name="20% - akcent 6 76 4" xfId="15283"/>
    <cellStyle name="20% - akcent 6 76 5" xfId="21874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3" xfId="8678"/>
    <cellStyle name="20% - akcent 6 77 4" xfId="15284"/>
    <cellStyle name="20% - akcent 6 77 5" xfId="21875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3" xfId="8679"/>
    <cellStyle name="20% - akcent 6 78 4" xfId="15285"/>
    <cellStyle name="20% - akcent 6 78 5" xfId="21876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3" xfId="8680"/>
    <cellStyle name="20% - akcent 6 79 4" xfId="15286"/>
    <cellStyle name="20% - akcent 6 79 5" xfId="21877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3" xfId="8682"/>
    <cellStyle name="20% - akcent 6 8 2 4" xfId="15288"/>
    <cellStyle name="20% - akcent 6 8 2 5" xfId="21879"/>
    <cellStyle name="20% - akcent 6 8 3" xfId="5336"/>
    <cellStyle name="20% - akcent 6 8 3 2" xfId="11971"/>
    <cellStyle name="20% - akcent 6 8 3 3" xfId="18575"/>
    <cellStyle name="20% - akcent 6 8 3 4" xfId="25166"/>
    <cellStyle name="20% - akcent 6 8 4" xfId="8681"/>
    <cellStyle name="20% - akcent 6 8 5" xfId="15287"/>
    <cellStyle name="20% - akcent 6 8 6" xfId="21878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3" xfId="8683"/>
    <cellStyle name="20% - akcent 6 80 4" xfId="15289"/>
    <cellStyle name="20% - akcent 6 80 5" xfId="21880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3" xfId="8684"/>
    <cellStyle name="20% - akcent 6 81 4" xfId="15290"/>
    <cellStyle name="20% - akcent 6 81 5" xfId="21881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3" xfId="8685"/>
    <cellStyle name="20% - akcent 6 82 4" xfId="15291"/>
    <cellStyle name="20% - akcent 6 82 5" xfId="21882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3" xfId="8686"/>
    <cellStyle name="20% - akcent 6 83 4" xfId="15292"/>
    <cellStyle name="20% - akcent 6 83 5" xfId="21883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3" xfId="8687"/>
    <cellStyle name="20% - akcent 6 84 4" xfId="15293"/>
    <cellStyle name="20% - akcent 6 84 5" xfId="21884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3" xfId="8688"/>
    <cellStyle name="20% - akcent 6 85 4" xfId="15294"/>
    <cellStyle name="20% - akcent 6 85 5" xfId="21885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3" xfId="8689"/>
    <cellStyle name="20% - akcent 6 86 4" xfId="15295"/>
    <cellStyle name="20% - akcent 6 86 5" xfId="21886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3" xfId="8690"/>
    <cellStyle name="20% - akcent 6 87 4" xfId="15296"/>
    <cellStyle name="20% - akcent 6 87 5" xfId="21887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3" xfId="8691"/>
    <cellStyle name="20% - akcent 6 88 4" xfId="15297"/>
    <cellStyle name="20% - akcent 6 88 5" xfId="21888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3" xfId="8692"/>
    <cellStyle name="20% - akcent 6 89 4" xfId="15298"/>
    <cellStyle name="20% - akcent 6 89 5" xfId="21889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3" xfId="8694"/>
    <cellStyle name="20% - akcent 6 9 2 4" xfId="15300"/>
    <cellStyle name="20% - akcent 6 9 2 5" xfId="21891"/>
    <cellStyle name="20% - akcent 6 9 3" xfId="5348"/>
    <cellStyle name="20% - akcent 6 9 3 2" xfId="11983"/>
    <cellStyle name="20% - akcent 6 9 3 3" xfId="18587"/>
    <cellStyle name="20% - akcent 6 9 3 4" xfId="25178"/>
    <cellStyle name="20% - akcent 6 9 4" xfId="8693"/>
    <cellStyle name="20% - akcent 6 9 5" xfId="15299"/>
    <cellStyle name="20% - akcent 6 9 6" xfId="21890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3" xfId="8695"/>
    <cellStyle name="20% - akcent 6 90 4" xfId="15301"/>
    <cellStyle name="20% - akcent 6 90 5" xfId="21892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3" xfId="8696"/>
    <cellStyle name="20% - akcent 6 91 4" xfId="15302"/>
    <cellStyle name="20% - akcent 6 91 5" xfId="21893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3" xfId="8697"/>
    <cellStyle name="20% - akcent 6 92 4" xfId="15303"/>
    <cellStyle name="20% - akcent 6 92 5" xfId="21894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3" xfId="8698"/>
    <cellStyle name="20% - akcent 6 93 4" xfId="15304"/>
    <cellStyle name="20% - akcent 6 93 5" xfId="21895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3" xfId="8699"/>
    <cellStyle name="20% - akcent 6 94 4" xfId="15305"/>
    <cellStyle name="20% - akcent 6 94 5" xfId="21896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3" xfId="8700"/>
    <cellStyle name="20% - akcent 6 95 4" xfId="15306"/>
    <cellStyle name="20% - akcent 6 95 5" xfId="21897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3" xfId="8701"/>
    <cellStyle name="20% - akcent 6 96 4" xfId="15307"/>
    <cellStyle name="20% - akcent 6 96 5" xfId="21898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3" xfId="8702"/>
    <cellStyle name="20% - akcent 6 97 4" xfId="15308"/>
    <cellStyle name="20% - akcent 6 97 5" xfId="21899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3" xfId="8703"/>
    <cellStyle name="20% - akcent 6 98 4" xfId="15309"/>
    <cellStyle name="20% - akcent 6 98 5" xfId="21900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3" xfId="8704"/>
    <cellStyle name="20% - akcent 6 99 4" xfId="15310"/>
    <cellStyle name="20% - akcent 6 99 5" xfId="21901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3" xfId="8706"/>
    <cellStyle name="40% - akcent 1 10 2 4" xfId="15312"/>
    <cellStyle name="40% - akcent 1 10 2 5" xfId="21903"/>
    <cellStyle name="40% - akcent 1 10 3" xfId="5360"/>
    <cellStyle name="40% - akcent 1 10 3 2" xfId="11995"/>
    <cellStyle name="40% - akcent 1 10 3 3" xfId="18599"/>
    <cellStyle name="40% - akcent 1 10 3 4" xfId="25190"/>
    <cellStyle name="40% - akcent 1 10 4" xfId="8705"/>
    <cellStyle name="40% - akcent 1 10 5" xfId="15311"/>
    <cellStyle name="40% - akcent 1 10 6" xfId="21902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3" xfId="8707"/>
    <cellStyle name="40% - akcent 1 100 4" xfId="15313"/>
    <cellStyle name="40% - akcent 1 100 5" xfId="21904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3" xfId="8708"/>
    <cellStyle name="40% - akcent 1 101 4" xfId="15314"/>
    <cellStyle name="40% - akcent 1 101 5" xfId="21905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3" xfId="8709"/>
    <cellStyle name="40% - akcent 1 102 4" xfId="15315"/>
    <cellStyle name="40% - akcent 1 102 5" xfId="21906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3" xfId="8710"/>
    <cellStyle name="40% - akcent 1 103 4" xfId="15316"/>
    <cellStyle name="40% - akcent 1 103 5" xfId="21907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3" xfId="8711"/>
    <cellStyle name="40% - akcent 1 104 4" xfId="15317"/>
    <cellStyle name="40% - akcent 1 104 5" xfId="21908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3" xfId="8712"/>
    <cellStyle name="40% - akcent 1 105 4" xfId="15318"/>
    <cellStyle name="40% - akcent 1 105 5" xfId="21909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3" xfId="8713"/>
    <cellStyle name="40% - akcent 1 106 4" xfId="15319"/>
    <cellStyle name="40% - akcent 1 106 5" xfId="21910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3" xfId="8714"/>
    <cellStyle name="40% - akcent 1 107 4" xfId="15320"/>
    <cellStyle name="40% - akcent 1 107 5" xfId="21911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3" xfId="8715"/>
    <cellStyle name="40% - akcent 1 108 4" xfId="15321"/>
    <cellStyle name="40% - akcent 1 108 5" xfId="21912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3" xfId="8716"/>
    <cellStyle name="40% - akcent 1 109 4" xfId="15322"/>
    <cellStyle name="40% - akcent 1 109 5" xfId="21913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3" xfId="8718"/>
    <cellStyle name="40% - akcent 1 11 2 4" xfId="15324"/>
    <cellStyle name="40% - akcent 1 11 2 5" xfId="21915"/>
    <cellStyle name="40% - akcent 1 11 3" xfId="5372"/>
    <cellStyle name="40% - akcent 1 11 3 2" xfId="12007"/>
    <cellStyle name="40% - akcent 1 11 3 3" xfId="18611"/>
    <cellStyle name="40% - akcent 1 11 3 4" xfId="25202"/>
    <cellStyle name="40% - akcent 1 11 4" xfId="8717"/>
    <cellStyle name="40% - akcent 1 11 5" xfId="15323"/>
    <cellStyle name="40% - akcent 1 11 6" xfId="21914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3" xfId="8719"/>
    <cellStyle name="40% - akcent 1 110 4" xfId="15325"/>
    <cellStyle name="40% - akcent 1 110 5" xfId="21916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3" xfId="8720"/>
    <cellStyle name="40% - akcent 1 111 4" xfId="15326"/>
    <cellStyle name="40% - akcent 1 111 5" xfId="21917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3" xfId="8721"/>
    <cellStyle name="40% - akcent 1 112 4" xfId="15327"/>
    <cellStyle name="40% - akcent 1 112 5" xfId="21918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3" xfId="8722"/>
    <cellStyle name="40% - akcent 1 113 4" xfId="15328"/>
    <cellStyle name="40% - akcent 1 113 5" xfId="21919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3" xfId="8723"/>
    <cellStyle name="40% - akcent 1 114 4" xfId="15329"/>
    <cellStyle name="40% - akcent 1 114 5" xfId="21920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3" xfId="8724"/>
    <cellStyle name="40% - akcent 1 115 4" xfId="15330"/>
    <cellStyle name="40% - akcent 1 115 5" xfId="21921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3" xfId="8725"/>
    <cellStyle name="40% - akcent 1 116 4" xfId="15331"/>
    <cellStyle name="40% - akcent 1 116 5" xfId="21922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3" xfId="8726"/>
    <cellStyle name="40% - akcent 1 117 4" xfId="15332"/>
    <cellStyle name="40% - akcent 1 117 5" xfId="21923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3" xfId="8727"/>
    <cellStyle name="40% - akcent 1 118 4" xfId="15333"/>
    <cellStyle name="40% - akcent 1 118 5" xfId="21924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3" xfId="8728"/>
    <cellStyle name="40% - akcent 1 119 4" xfId="15334"/>
    <cellStyle name="40% - akcent 1 119 5" xfId="21925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3" xfId="8730"/>
    <cellStyle name="40% - akcent 1 12 2 4" xfId="15336"/>
    <cellStyle name="40% - akcent 1 12 2 5" xfId="21927"/>
    <cellStyle name="40% - akcent 1 12 3" xfId="5384"/>
    <cellStyle name="40% - akcent 1 12 3 2" xfId="12019"/>
    <cellStyle name="40% - akcent 1 12 3 3" xfId="18623"/>
    <cellStyle name="40% - akcent 1 12 3 4" xfId="25214"/>
    <cellStyle name="40% - akcent 1 12 4" xfId="8729"/>
    <cellStyle name="40% - akcent 1 12 5" xfId="15335"/>
    <cellStyle name="40% - akcent 1 12 6" xfId="21926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3" xfId="8731"/>
    <cellStyle name="40% - akcent 1 120 4" xfId="15337"/>
    <cellStyle name="40% - akcent 1 120 5" xfId="21928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3" xfId="8732"/>
    <cellStyle name="40% - akcent 1 121 4" xfId="15338"/>
    <cellStyle name="40% - akcent 1 121 5" xfId="21929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3" xfId="8733"/>
    <cellStyle name="40% - akcent 1 122 4" xfId="15339"/>
    <cellStyle name="40% - akcent 1 122 5" xfId="21930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3" xfId="8734"/>
    <cellStyle name="40% - akcent 1 123 4" xfId="15340"/>
    <cellStyle name="40% - akcent 1 123 5" xfId="21931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3" xfId="8735"/>
    <cellStyle name="40% - akcent 1 124 4" xfId="15341"/>
    <cellStyle name="40% - akcent 1 124 5" xfId="21932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3" xfId="8736"/>
    <cellStyle name="40% - akcent 1 125 4" xfId="15342"/>
    <cellStyle name="40% - akcent 1 125 5" xfId="21933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3" xfId="8737"/>
    <cellStyle name="40% - akcent 1 126 4" xfId="15343"/>
    <cellStyle name="40% - akcent 1 126 5" xfId="21934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3" xfId="8738"/>
    <cellStyle name="40% - akcent 1 127 4" xfId="15344"/>
    <cellStyle name="40% - akcent 1 127 5" xfId="21935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3" xfId="8739"/>
    <cellStyle name="40% - akcent 1 128 4" xfId="15345"/>
    <cellStyle name="40% - akcent 1 128 5" xfId="21936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3" xfId="8740"/>
    <cellStyle name="40% - akcent 1 129 4" xfId="15346"/>
    <cellStyle name="40% - akcent 1 129 5" xfId="21937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3" xfId="8742"/>
    <cellStyle name="40% - akcent 1 13 2 4" xfId="15348"/>
    <cellStyle name="40% - akcent 1 13 2 5" xfId="21939"/>
    <cellStyle name="40% - akcent 1 13 3" xfId="5396"/>
    <cellStyle name="40% - akcent 1 13 3 2" xfId="12031"/>
    <cellStyle name="40% - akcent 1 13 3 3" xfId="18635"/>
    <cellStyle name="40% - akcent 1 13 3 4" xfId="25226"/>
    <cellStyle name="40% - akcent 1 13 4" xfId="8741"/>
    <cellStyle name="40% - akcent 1 13 5" xfId="15347"/>
    <cellStyle name="40% - akcent 1 13 6" xfId="21938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3" xfId="8743"/>
    <cellStyle name="40% - akcent 1 130 4" xfId="15349"/>
    <cellStyle name="40% - akcent 1 130 5" xfId="21940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3" xfId="8744"/>
    <cellStyle name="40% - akcent 1 131 4" xfId="15350"/>
    <cellStyle name="40% - akcent 1 131 5" xfId="21941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3" xfId="8745"/>
    <cellStyle name="40% - akcent 1 132 4" xfId="15351"/>
    <cellStyle name="40% - akcent 1 132 5" xfId="21942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3" xfId="8746"/>
    <cellStyle name="40% - akcent 1 133 4" xfId="15352"/>
    <cellStyle name="40% - akcent 1 133 5" xfId="21943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3" xfId="8747"/>
    <cellStyle name="40% - akcent 1 134 4" xfId="15353"/>
    <cellStyle name="40% - akcent 1 134 5" xfId="21944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3" xfId="8748"/>
    <cellStyle name="40% - akcent 1 135 4" xfId="15354"/>
    <cellStyle name="40% - akcent 1 135 5" xfId="21945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3" xfId="8749"/>
    <cellStyle name="40% - akcent 1 136 4" xfId="15355"/>
    <cellStyle name="40% - akcent 1 136 5" xfId="21946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3" xfId="8750"/>
    <cellStyle name="40% - akcent 1 137 4" xfId="15356"/>
    <cellStyle name="40% - akcent 1 137 5" xfId="21947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3" xfId="8751"/>
    <cellStyle name="40% - akcent 1 138 4" xfId="15357"/>
    <cellStyle name="40% - akcent 1 138 5" xfId="21948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3" xfId="8752"/>
    <cellStyle name="40% - akcent 1 139 4" xfId="15358"/>
    <cellStyle name="40% - akcent 1 139 5" xfId="21949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3" xfId="8754"/>
    <cellStyle name="40% - akcent 1 14 2 4" xfId="15360"/>
    <cellStyle name="40% - akcent 1 14 2 5" xfId="21951"/>
    <cellStyle name="40% - akcent 1 14 3" xfId="5408"/>
    <cellStyle name="40% - akcent 1 14 3 2" xfId="12043"/>
    <cellStyle name="40% - akcent 1 14 3 3" xfId="18647"/>
    <cellStyle name="40% - akcent 1 14 3 4" xfId="25238"/>
    <cellStyle name="40% - akcent 1 14 4" xfId="8753"/>
    <cellStyle name="40% - akcent 1 14 5" xfId="15359"/>
    <cellStyle name="40% - akcent 1 14 6" xfId="21950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3" xfId="8755"/>
    <cellStyle name="40% - akcent 1 140 4" xfId="15361"/>
    <cellStyle name="40% - akcent 1 140 5" xfId="21952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3" xfId="8756"/>
    <cellStyle name="40% - akcent 1 141 4" xfId="15362"/>
    <cellStyle name="40% - akcent 1 141 5" xfId="21953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3" xfId="8757"/>
    <cellStyle name="40% - akcent 1 142 4" xfId="15363"/>
    <cellStyle name="40% - akcent 1 142 5" xfId="21954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3" xfId="8758"/>
    <cellStyle name="40% - akcent 1 143 4" xfId="15364"/>
    <cellStyle name="40% - akcent 1 143 5" xfId="21955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3" xfId="8759"/>
    <cellStyle name="40% - akcent 1 144 4" xfId="15365"/>
    <cellStyle name="40% - akcent 1 144 5" xfId="21956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3" xfId="8760"/>
    <cellStyle name="40% - akcent 1 145 4" xfId="15366"/>
    <cellStyle name="40% - akcent 1 145 5" xfId="21957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3" xfId="8761"/>
    <cellStyle name="40% - akcent 1 146 4" xfId="15367"/>
    <cellStyle name="40% - akcent 1 146 5" xfId="21958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3" xfId="8762"/>
    <cellStyle name="40% - akcent 1 147 4" xfId="15368"/>
    <cellStyle name="40% - akcent 1 147 5" xfId="21959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3" xfId="8763"/>
    <cellStyle name="40% - akcent 1 148 4" xfId="15369"/>
    <cellStyle name="40% - akcent 1 148 5" xfId="21960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3" xfId="8764"/>
    <cellStyle name="40% - akcent 1 149 4" xfId="15370"/>
    <cellStyle name="40% - akcent 1 149 5" xfId="21961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3" xfId="8766"/>
    <cellStyle name="40% - akcent 1 15 2 4" xfId="15372"/>
    <cellStyle name="40% - akcent 1 15 2 5" xfId="21963"/>
    <cellStyle name="40% - akcent 1 15 3" xfId="5420"/>
    <cellStyle name="40% - akcent 1 15 3 2" xfId="12055"/>
    <cellStyle name="40% - akcent 1 15 3 3" xfId="18659"/>
    <cellStyle name="40% - akcent 1 15 3 4" xfId="25250"/>
    <cellStyle name="40% - akcent 1 15 4" xfId="8765"/>
    <cellStyle name="40% - akcent 1 15 5" xfId="15371"/>
    <cellStyle name="40% - akcent 1 15 6" xfId="21962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3" xfId="8767"/>
    <cellStyle name="40% - akcent 1 150 4" xfId="15373"/>
    <cellStyle name="40% - akcent 1 150 5" xfId="21964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3" xfId="8768"/>
    <cellStyle name="40% - akcent 1 151 4" xfId="15374"/>
    <cellStyle name="40% - akcent 1 151 5" xfId="21965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3" xfId="8769"/>
    <cellStyle name="40% - akcent 1 152 4" xfId="15375"/>
    <cellStyle name="40% - akcent 1 152 5" xfId="21966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3" xfId="8770"/>
    <cellStyle name="40% - akcent 1 153 4" xfId="15376"/>
    <cellStyle name="40% - akcent 1 153 5" xfId="21967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3" xfId="8771"/>
    <cellStyle name="40% - akcent 1 154 4" xfId="15377"/>
    <cellStyle name="40% - akcent 1 154 5" xfId="21968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3" xfId="8772"/>
    <cellStyle name="40% - akcent 1 155 4" xfId="15378"/>
    <cellStyle name="40% - akcent 1 155 5" xfId="21969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3" xfId="8773"/>
    <cellStyle name="40% - akcent 1 156 4" xfId="15379"/>
    <cellStyle name="40% - akcent 1 156 5" xfId="21970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3" xfId="8774"/>
    <cellStyle name="40% - akcent 1 157 4" xfId="15380"/>
    <cellStyle name="40% - akcent 1 157 5" xfId="21971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3" xfId="8775"/>
    <cellStyle name="40% - akcent 1 158 4" xfId="15381"/>
    <cellStyle name="40% - akcent 1 158 5" xfId="21972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3" xfId="8776"/>
    <cellStyle name="40% - akcent 1 159 4" xfId="15382"/>
    <cellStyle name="40% - akcent 1 159 5" xfId="21973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3" xfId="8778"/>
    <cellStyle name="40% - akcent 1 16 2 4" xfId="15384"/>
    <cellStyle name="40% - akcent 1 16 2 5" xfId="21975"/>
    <cellStyle name="40% - akcent 1 16 3" xfId="5432"/>
    <cellStyle name="40% - akcent 1 16 3 2" xfId="12067"/>
    <cellStyle name="40% - akcent 1 16 3 3" xfId="18671"/>
    <cellStyle name="40% - akcent 1 16 3 4" xfId="25262"/>
    <cellStyle name="40% - akcent 1 16 4" xfId="8777"/>
    <cellStyle name="40% - akcent 1 16 5" xfId="15383"/>
    <cellStyle name="40% - akcent 1 16 6" xfId="21974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3" xfId="8779"/>
    <cellStyle name="40% - akcent 1 160 4" xfId="15385"/>
    <cellStyle name="40% - akcent 1 160 5" xfId="21976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3" xfId="8780"/>
    <cellStyle name="40% - akcent 1 161 4" xfId="15386"/>
    <cellStyle name="40% - akcent 1 161 5" xfId="21977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3" xfId="8781"/>
    <cellStyle name="40% - akcent 1 162 4" xfId="15387"/>
    <cellStyle name="40% - akcent 1 162 5" xfId="21978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3" xfId="8782"/>
    <cellStyle name="40% - akcent 1 163 4" xfId="15388"/>
    <cellStyle name="40% - akcent 1 163 5" xfId="21979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3" xfId="8783"/>
    <cellStyle name="40% - akcent 1 164 4" xfId="15389"/>
    <cellStyle name="40% - akcent 1 164 5" xfId="21980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3" xfId="8784"/>
    <cellStyle name="40% - akcent 1 165 4" xfId="15390"/>
    <cellStyle name="40% - akcent 1 165 5" xfId="21981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3" xfId="8785"/>
    <cellStyle name="40% - akcent 1 166 4" xfId="15391"/>
    <cellStyle name="40% - akcent 1 166 5" xfId="21982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3" xfId="8786"/>
    <cellStyle name="40% - akcent 1 167 4" xfId="15392"/>
    <cellStyle name="40% - akcent 1 167 5" xfId="21983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3" xfId="8787"/>
    <cellStyle name="40% - akcent 1 168 4" xfId="15393"/>
    <cellStyle name="40% - akcent 1 168 5" xfId="21984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3" xfId="8788"/>
    <cellStyle name="40% - akcent 1 169 4" xfId="15394"/>
    <cellStyle name="40% - akcent 1 169 5" xfId="21985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3" xfId="8790"/>
    <cellStyle name="40% - akcent 1 17 2 4" xfId="15396"/>
    <cellStyle name="40% - akcent 1 17 2 5" xfId="21987"/>
    <cellStyle name="40% - akcent 1 17 3" xfId="5444"/>
    <cellStyle name="40% - akcent 1 17 3 2" xfId="12079"/>
    <cellStyle name="40% - akcent 1 17 3 3" xfId="18683"/>
    <cellStyle name="40% - akcent 1 17 3 4" xfId="25274"/>
    <cellStyle name="40% - akcent 1 17 4" xfId="8789"/>
    <cellStyle name="40% - akcent 1 17 5" xfId="15395"/>
    <cellStyle name="40% - akcent 1 17 6" xfId="21986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3" xfId="8791"/>
    <cellStyle name="40% - akcent 1 170 4" xfId="15397"/>
    <cellStyle name="40% - akcent 1 170 5" xfId="21988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3" xfId="8792"/>
    <cellStyle name="40% - akcent 1 171 4" xfId="15398"/>
    <cellStyle name="40% - akcent 1 171 5" xfId="21989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3" xfId="8793"/>
    <cellStyle name="40% - akcent 1 172 4" xfId="15399"/>
    <cellStyle name="40% - akcent 1 172 5" xfId="21990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3" xfId="8794"/>
    <cellStyle name="40% - akcent 1 173 4" xfId="15400"/>
    <cellStyle name="40% - akcent 1 173 5" xfId="21991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3" xfId="8795"/>
    <cellStyle name="40% - akcent 1 174 4" xfId="15401"/>
    <cellStyle name="40% - akcent 1 174 5" xfId="21992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3" xfId="8796"/>
    <cellStyle name="40% - akcent 1 175 4" xfId="15402"/>
    <cellStyle name="40% - akcent 1 175 5" xfId="21993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3" xfId="8797"/>
    <cellStyle name="40% - akcent 1 176 4" xfId="15403"/>
    <cellStyle name="40% - akcent 1 176 5" xfId="21994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3" xfId="8798"/>
    <cellStyle name="40% - akcent 1 177 4" xfId="15404"/>
    <cellStyle name="40% - akcent 1 177 5" xfId="21995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3" xfId="8799"/>
    <cellStyle name="40% - akcent 1 178 4" xfId="15405"/>
    <cellStyle name="40% - akcent 1 178 5" xfId="21996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3" xfId="8800"/>
    <cellStyle name="40% - akcent 1 179 4" xfId="15406"/>
    <cellStyle name="40% - akcent 1 179 5" xfId="21997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3" xfId="8802"/>
    <cellStyle name="40% - akcent 1 18 2 4" xfId="15408"/>
    <cellStyle name="40% - akcent 1 18 2 5" xfId="21999"/>
    <cellStyle name="40% - akcent 1 18 3" xfId="5456"/>
    <cellStyle name="40% - akcent 1 18 3 2" xfId="12091"/>
    <cellStyle name="40% - akcent 1 18 3 3" xfId="18695"/>
    <cellStyle name="40% - akcent 1 18 3 4" xfId="25286"/>
    <cellStyle name="40% - akcent 1 18 4" xfId="8801"/>
    <cellStyle name="40% - akcent 1 18 5" xfId="15407"/>
    <cellStyle name="40% - akcent 1 18 6" xfId="21998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3" xfId="8803"/>
    <cellStyle name="40% - akcent 1 180 4" xfId="15409"/>
    <cellStyle name="40% - akcent 1 180 5" xfId="22000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3" xfId="8804"/>
    <cellStyle name="40% - akcent 1 181 4" xfId="15410"/>
    <cellStyle name="40% - akcent 1 181 5" xfId="22001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3" xfId="8805"/>
    <cellStyle name="40% - akcent 1 182 4" xfId="15411"/>
    <cellStyle name="40% - akcent 1 182 5" xfId="22002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3" xfId="8806"/>
    <cellStyle name="40% - akcent 1 183 4" xfId="15412"/>
    <cellStyle name="40% - akcent 1 183 5" xfId="22003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3" xfId="8807"/>
    <cellStyle name="40% - akcent 1 184 4" xfId="15413"/>
    <cellStyle name="40% - akcent 1 184 5" xfId="22004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3" xfId="8808"/>
    <cellStyle name="40% - akcent 1 185 4" xfId="15414"/>
    <cellStyle name="40% - akcent 1 185 5" xfId="22005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3" xfId="8809"/>
    <cellStyle name="40% - akcent 1 186 4" xfId="15415"/>
    <cellStyle name="40% - akcent 1 186 5" xfId="22006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3" xfId="8810"/>
    <cellStyle name="40% - akcent 1 187 4" xfId="15416"/>
    <cellStyle name="40% - akcent 1 187 5" xfId="22007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3" xfId="8811"/>
    <cellStyle name="40% - akcent 1 188 4" xfId="15417"/>
    <cellStyle name="40% - akcent 1 188 5" xfId="22008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3" xfId="8812"/>
    <cellStyle name="40% - akcent 1 189 4" xfId="15418"/>
    <cellStyle name="40% - akcent 1 189 5" xfId="22009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3" xfId="8814"/>
    <cellStyle name="40% - akcent 1 19 2 4" xfId="15420"/>
    <cellStyle name="40% - akcent 1 19 2 5" xfId="22011"/>
    <cellStyle name="40% - akcent 1 19 3" xfId="5468"/>
    <cellStyle name="40% - akcent 1 19 3 2" xfId="12103"/>
    <cellStyle name="40% - akcent 1 19 3 3" xfId="18707"/>
    <cellStyle name="40% - akcent 1 19 3 4" xfId="25298"/>
    <cellStyle name="40% - akcent 1 19 4" xfId="8813"/>
    <cellStyle name="40% - akcent 1 19 5" xfId="15419"/>
    <cellStyle name="40% - akcent 1 19 6" xfId="22010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3" xfId="8815"/>
    <cellStyle name="40% - akcent 1 190 4" xfId="15421"/>
    <cellStyle name="40% - akcent 1 190 5" xfId="22012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3" xfId="8816"/>
    <cellStyle name="40% - akcent 1 191 4" xfId="15422"/>
    <cellStyle name="40% - akcent 1 191 5" xfId="22013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3" xfId="8817"/>
    <cellStyle name="40% - akcent 1 192 4" xfId="15423"/>
    <cellStyle name="40% - akcent 1 192 5" xfId="22014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3" xfId="8818"/>
    <cellStyle name="40% - akcent 1 193 4" xfId="15424"/>
    <cellStyle name="40% - akcent 1 193 5" xfId="22015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3" xfId="8819"/>
    <cellStyle name="40% - akcent 1 194 4" xfId="15425"/>
    <cellStyle name="40% - akcent 1 194 5" xfId="22016"/>
    <cellStyle name="40% - akcent 1 195" xfId="3838"/>
    <cellStyle name="40% - akcent 1 195 2" xfId="10473"/>
    <cellStyle name="40% - akcent 1 195 3" xfId="17077"/>
    <cellStyle name="40% - akcent 1 195 4" xfId="23668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3" xfId="8821"/>
    <cellStyle name="40% - akcent 1 2 2 4" xfId="15427"/>
    <cellStyle name="40% - akcent 1 2 2 5" xfId="22018"/>
    <cellStyle name="40% - akcent 1 2 3" xfId="5475"/>
    <cellStyle name="40% - akcent 1 2 3 2" xfId="12110"/>
    <cellStyle name="40% - akcent 1 2 3 3" xfId="18714"/>
    <cellStyle name="40% - akcent 1 2 3 4" xfId="25305"/>
    <cellStyle name="40% - akcent 1 2 4" xfId="8820"/>
    <cellStyle name="40% - akcent 1 2 5" xfId="15426"/>
    <cellStyle name="40% - akcent 1 2 6" xfId="22017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3" xfId="8823"/>
    <cellStyle name="40% - akcent 1 20 2 4" xfId="15429"/>
    <cellStyle name="40% - akcent 1 20 2 5" xfId="22020"/>
    <cellStyle name="40% - akcent 1 20 3" xfId="5477"/>
    <cellStyle name="40% - akcent 1 20 3 2" xfId="12112"/>
    <cellStyle name="40% - akcent 1 20 3 3" xfId="18716"/>
    <cellStyle name="40% - akcent 1 20 3 4" xfId="25307"/>
    <cellStyle name="40% - akcent 1 20 4" xfId="8822"/>
    <cellStyle name="40% - akcent 1 20 5" xfId="15428"/>
    <cellStyle name="40% - akcent 1 20 6" xfId="22019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3" xfId="8825"/>
    <cellStyle name="40% - akcent 1 21 2 4" xfId="15431"/>
    <cellStyle name="40% - akcent 1 21 2 5" xfId="22022"/>
    <cellStyle name="40% - akcent 1 21 3" xfId="5479"/>
    <cellStyle name="40% - akcent 1 21 3 2" xfId="12114"/>
    <cellStyle name="40% - akcent 1 21 3 3" xfId="18718"/>
    <cellStyle name="40% - akcent 1 21 3 4" xfId="25309"/>
    <cellStyle name="40% - akcent 1 21 4" xfId="8824"/>
    <cellStyle name="40% - akcent 1 21 5" xfId="15430"/>
    <cellStyle name="40% - akcent 1 21 6" xfId="22021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3" xfId="8827"/>
    <cellStyle name="40% - akcent 1 22 2 4" xfId="15433"/>
    <cellStyle name="40% - akcent 1 22 2 5" xfId="22024"/>
    <cellStyle name="40% - akcent 1 22 3" xfId="5481"/>
    <cellStyle name="40% - akcent 1 22 3 2" xfId="12116"/>
    <cellStyle name="40% - akcent 1 22 3 3" xfId="18720"/>
    <cellStyle name="40% - akcent 1 22 3 4" xfId="25311"/>
    <cellStyle name="40% - akcent 1 22 4" xfId="8826"/>
    <cellStyle name="40% - akcent 1 22 5" xfId="15432"/>
    <cellStyle name="40% - akcent 1 22 6" xfId="22023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3" xfId="8829"/>
    <cellStyle name="40% - akcent 1 23 2 4" xfId="15435"/>
    <cellStyle name="40% - akcent 1 23 2 5" xfId="22026"/>
    <cellStyle name="40% - akcent 1 23 3" xfId="5483"/>
    <cellStyle name="40% - akcent 1 23 3 2" xfId="12118"/>
    <cellStyle name="40% - akcent 1 23 3 3" xfId="18722"/>
    <cellStyle name="40% - akcent 1 23 3 4" xfId="25313"/>
    <cellStyle name="40% - akcent 1 23 4" xfId="8828"/>
    <cellStyle name="40% - akcent 1 23 5" xfId="15434"/>
    <cellStyle name="40% - akcent 1 23 6" xfId="22025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3" xfId="8831"/>
    <cellStyle name="40% - akcent 1 24 2 4" xfId="15437"/>
    <cellStyle name="40% - akcent 1 24 2 5" xfId="22028"/>
    <cellStyle name="40% - akcent 1 24 3" xfId="5485"/>
    <cellStyle name="40% - akcent 1 24 3 2" xfId="12120"/>
    <cellStyle name="40% - akcent 1 24 3 3" xfId="18724"/>
    <cellStyle name="40% - akcent 1 24 3 4" xfId="25315"/>
    <cellStyle name="40% - akcent 1 24 4" xfId="8830"/>
    <cellStyle name="40% - akcent 1 24 5" xfId="15436"/>
    <cellStyle name="40% - akcent 1 24 6" xfId="22027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3" xfId="8833"/>
    <cellStyle name="40% - akcent 1 25 2 4" xfId="15439"/>
    <cellStyle name="40% - akcent 1 25 2 5" xfId="22030"/>
    <cellStyle name="40% - akcent 1 25 3" xfId="5487"/>
    <cellStyle name="40% - akcent 1 25 3 2" xfId="12122"/>
    <cellStyle name="40% - akcent 1 25 3 3" xfId="18726"/>
    <cellStyle name="40% - akcent 1 25 3 4" xfId="25317"/>
    <cellStyle name="40% - akcent 1 25 4" xfId="8832"/>
    <cellStyle name="40% - akcent 1 25 5" xfId="15438"/>
    <cellStyle name="40% - akcent 1 25 6" xfId="22029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3" xfId="8835"/>
    <cellStyle name="40% - akcent 1 26 2 4" xfId="15441"/>
    <cellStyle name="40% - akcent 1 26 2 5" xfId="22032"/>
    <cellStyle name="40% - akcent 1 26 3" xfId="5489"/>
    <cellStyle name="40% - akcent 1 26 3 2" xfId="12124"/>
    <cellStyle name="40% - akcent 1 26 3 3" xfId="18728"/>
    <cellStyle name="40% - akcent 1 26 3 4" xfId="25319"/>
    <cellStyle name="40% - akcent 1 26 4" xfId="8834"/>
    <cellStyle name="40% - akcent 1 26 5" xfId="15440"/>
    <cellStyle name="40% - akcent 1 26 6" xfId="22031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3" xfId="8837"/>
    <cellStyle name="40% - akcent 1 27 2 4" xfId="15443"/>
    <cellStyle name="40% - akcent 1 27 2 5" xfId="22034"/>
    <cellStyle name="40% - akcent 1 27 3" xfId="5491"/>
    <cellStyle name="40% - akcent 1 27 3 2" xfId="12126"/>
    <cellStyle name="40% - akcent 1 27 3 3" xfId="18730"/>
    <cellStyle name="40% - akcent 1 27 3 4" xfId="25321"/>
    <cellStyle name="40% - akcent 1 27 4" xfId="8836"/>
    <cellStyle name="40% - akcent 1 27 5" xfId="15442"/>
    <cellStyle name="40% - akcent 1 27 6" xfId="22033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3" xfId="8839"/>
    <cellStyle name="40% - akcent 1 28 2 4" xfId="15445"/>
    <cellStyle name="40% - akcent 1 28 2 5" xfId="22036"/>
    <cellStyle name="40% - akcent 1 28 3" xfId="5493"/>
    <cellStyle name="40% - akcent 1 28 3 2" xfId="12128"/>
    <cellStyle name="40% - akcent 1 28 3 3" xfId="18732"/>
    <cellStyle name="40% - akcent 1 28 3 4" xfId="25323"/>
    <cellStyle name="40% - akcent 1 28 4" xfId="8838"/>
    <cellStyle name="40% - akcent 1 28 5" xfId="15444"/>
    <cellStyle name="40% - akcent 1 28 6" xfId="22035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3" xfId="8841"/>
    <cellStyle name="40% - akcent 1 29 2 4" xfId="15447"/>
    <cellStyle name="40% - akcent 1 29 2 5" xfId="22038"/>
    <cellStyle name="40% - akcent 1 29 3" xfId="5495"/>
    <cellStyle name="40% - akcent 1 29 3 2" xfId="12130"/>
    <cellStyle name="40% - akcent 1 29 3 3" xfId="18734"/>
    <cellStyle name="40% - akcent 1 29 3 4" xfId="25325"/>
    <cellStyle name="40% - akcent 1 29 4" xfId="8840"/>
    <cellStyle name="40% - akcent 1 29 5" xfId="15446"/>
    <cellStyle name="40% - akcent 1 29 6" xfId="22037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3" xfId="8843"/>
    <cellStyle name="40% - akcent 1 3 2 4" xfId="15449"/>
    <cellStyle name="40% - akcent 1 3 2 5" xfId="22040"/>
    <cellStyle name="40% - akcent 1 3 3" xfId="5497"/>
    <cellStyle name="40% - akcent 1 3 3 2" xfId="12132"/>
    <cellStyle name="40% - akcent 1 3 3 3" xfId="18736"/>
    <cellStyle name="40% - akcent 1 3 3 4" xfId="25327"/>
    <cellStyle name="40% - akcent 1 3 4" xfId="8842"/>
    <cellStyle name="40% - akcent 1 3 5" xfId="15448"/>
    <cellStyle name="40% - akcent 1 3 6" xfId="22039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3" xfId="8845"/>
    <cellStyle name="40% - akcent 1 30 2 4" xfId="15451"/>
    <cellStyle name="40% - akcent 1 30 2 5" xfId="22042"/>
    <cellStyle name="40% - akcent 1 30 3" xfId="5499"/>
    <cellStyle name="40% - akcent 1 30 3 2" xfId="12134"/>
    <cellStyle name="40% - akcent 1 30 3 3" xfId="18738"/>
    <cellStyle name="40% - akcent 1 30 3 4" xfId="25329"/>
    <cellStyle name="40% - akcent 1 30 4" xfId="8844"/>
    <cellStyle name="40% - akcent 1 30 5" xfId="15450"/>
    <cellStyle name="40% - akcent 1 30 6" xfId="22041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3" xfId="8847"/>
    <cellStyle name="40% - akcent 1 31 2 4" xfId="15453"/>
    <cellStyle name="40% - akcent 1 31 2 5" xfId="22044"/>
    <cellStyle name="40% - akcent 1 31 3" xfId="5501"/>
    <cellStyle name="40% - akcent 1 31 3 2" xfId="12136"/>
    <cellStyle name="40% - akcent 1 31 3 3" xfId="18740"/>
    <cellStyle name="40% - akcent 1 31 3 4" xfId="25331"/>
    <cellStyle name="40% - akcent 1 31 4" xfId="8846"/>
    <cellStyle name="40% - akcent 1 31 5" xfId="15452"/>
    <cellStyle name="40% - akcent 1 31 6" xfId="22043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3" xfId="8849"/>
    <cellStyle name="40% - akcent 1 32 2 4" xfId="15455"/>
    <cellStyle name="40% - akcent 1 32 2 5" xfId="22046"/>
    <cellStyle name="40% - akcent 1 32 3" xfId="5503"/>
    <cellStyle name="40% - akcent 1 32 3 2" xfId="12138"/>
    <cellStyle name="40% - akcent 1 32 3 3" xfId="18742"/>
    <cellStyle name="40% - akcent 1 32 3 4" xfId="25333"/>
    <cellStyle name="40% - akcent 1 32 4" xfId="8848"/>
    <cellStyle name="40% - akcent 1 32 5" xfId="15454"/>
    <cellStyle name="40% - akcent 1 32 6" xfId="22045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3" xfId="8851"/>
    <cellStyle name="40% - akcent 1 33 2 4" xfId="15457"/>
    <cellStyle name="40% - akcent 1 33 2 5" xfId="22048"/>
    <cellStyle name="40% - akcent 1 33 3" xfId="5505"/>
    <cellStyle name="40% - akcent 1 33 3 2" xfId="12140"/>
    <cellStyle name="40% - akcent 1 33 3 3" xfId="18744"/>
    <cellStyle name="40% - akcent 1 33 3 4" xfId="25335"/>
    <cellStyle name="40% - akcent 1 33 4" xfId="8850"/>
    <cellStyle name="40% - akcent 1 33 5" xfId="15456"/>
    <cellStyle name="40% - akcent 1 33 6" xfId="22047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3" xfId="8853"/>
    <cellStyle name="40% - akcent 1 34 2 4" xfId="15459"/>
    <cellStyle name="40% - akcent 1 34 2 5" xfId="22050"/>
    <cellStyle name="40% - akcent 1 34 3" xfId="5507"/>
    <cellStyle name="40% - akcent 1 34 3 2" xfId="12142"/>
    <cellStyle name="40% - akcent 1 34 3 3" xfId="18746"/>
    <cellStyle name="40% - akcent 1 34 3 4" xfId="25337"/>
    <cellStyle name="40% - akcent 1 34 4" xfId="8852"/>
    <cellStyle name="40% - akcent 1 34 5" xfId="15458"/>
    <cellStyle name="40% - akcent 1 34 6" xfId="22049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3" xfId="8855"/>
    <cellStyle name="40% - akcent 1 35 2 4" xfId="15461"/>
    <cellStyle name="40% - akcent 1 35 2 5" xfId="22052"/>
    <cellStyle name="40% - akcent 1 35 3" xfId="5509"/>
    <cellStyle name="40% - akcent 1 35 3 2" xfId="12144"/>
    <cellStyle name="40% - akcent 1 35 3 3" xfId="18748"/>
    <cellStyle name="40% - akcent 1 35 3 4" xfId="25339"/>
    <cellStyle name="40% - akcent 1 35 4" xfId="8854"/>
    <cellStyle name="40% - akcent 1 35 5" xfId="15460"/>
    <cellStyle name="40% - akcent 1 35 6" xfId="22051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3" xfId="8857"/>
    <cellStyle name="40% - akcent 1 36 2 4" xfId="15463"/>
    <cellStyle name="40% - akcent 1 36 2 5" xfId="22054"/>
    <cellStyle name="40% - akcent 1 36 3" xfId="5511"/>
    <cellStyle name="40% - akcent 1 36 3 2" xfId="12146"/>
    <cellStyle name="40% - akcent 1 36 3 3" xfId="18750"/>
    <cellStyle name="40% - akcent 1 36 3 4" xfId="25341"/>
    <cellStyle name="40% - akcent 1 36 4" xfId="8856"/>
    <cellStyle name="40% - akcent 1 36 5" xfId="15462"/>
    <cellStyle name="40% - akcent 1 36 6" xfId="22053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3" xfId="8859"/>
    <cellStyle name="40% - akcent 1 37 2 4" xfId="15465"/>
    <cellStyle name="40% - akcent 1 37 2 5" xfId="22056"/>
    <cellStyle name="40% - akcent 1 37 3" xfId="5513"/>
    <cellStyle name="40% - akcent 1 37 3 2" xfId="12148"/>
    <cellStyle name="40% - akcent 1 37 3 3" xfId="18752"/>
    <cellStyle name="40% - akcent 1 37 3 4" xfId="25343"/>
    <cellStyle name="40% - akcent 1 37 4" xfId="8858"/>
    <cellStyle name="40% - akcent 1 37 5" xfId="15464"/>
    <cellStyle name="40% - akcent 1 37 6" xfId="22055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3" xfId="8861"/>
    <cellStyle name="40% - akcent 1 38 2 4" xfId="15467"/>
    <cellStyle name="40% - akcent 1 38 2 5" xfId="22058"/>
    <cellStyle name="40% - akcent 1 38 3" xfId="5515"/>
    <cellStyle name="40% - akcent 1 38 3 2" xfId="12150"/>
    <cellStyle name="40% - akcent 1 38 3 3" xfId="18754"/>
    <cellStyle name="40% - akcent 1 38 3 4" xfId="25345"/>
    <cellStyle name="40% - akcent 1 38 4" xfId="8860"/>
    <cellStyle name="40% - akcent 1 38 5" xfId="15466"/>
    <cellStyle name="40% - akcent 1 38 6" xfId="22057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3" xfId="8863"/>
    <cellStyle name="40% - akcent 1 39 2 4" xfId="15469"/>
    <cellStyle name="40% - akcent 1 39 2 5" xfId="22060"/>
    <cellStyle name="40% - akcent 1 39 3" xfId="5517"/>
    <cellStyle name="40% - akcent 1 39 3 2" xfId="12152"/>
    <cellStyle name="40% - akcent 1 39 3 3" xfId="18756"/>
    <cellStyle name="40% - akcent 1 39 3 4" xfId="25347"/>
    <cellStyle name="40% - akcent 1 39 4" xfId="8862"/>
    <cellStyle name="40% - akcent 1 39 5" xfId="15468"/>
    <cellStyle name="40% - akcent 1 39 6" xfId="22059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3" xfId="8865"/>
    <cellStyle name="40% - akcent 1 4 2 4" xfId="15471"/>
    <cellStyle name="40% - akcent 1 4 2 5" xfId="22062"/>
    <cellStyle name="40% - akcent 1 4 3" xfId="5519"/>
    <cellStyle name="40% - akcent 1 4 3 2" xfId="12154"/>
    <cellStyle name="40% - akcent 1 4 3 3" xfId="18758"/>
    <cellStyle name="40% - akcent 1 4 3 4" xfId="25349"/>
    <cellStyle name="40% - akcent 1 4 4" xfId="8864"/>
    <cellStyle name="40% - akcent 1 4 5" xfId="15470"/>
    <cellStyle name="40% - akcent 1 4 6" xfId="22061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3" xfId="8867"/>
    <cellStyle name="40% - akcent 1 40 2 4" xfId="15473"/>
    <cellStyle name="40% - akcent 1 40 2 5" xfId="22064"/>
    <cellStyle name="40% - akcent 1 40 3" xfId="5521"/>
    <cellStyle name="40% - akcent 1 40 3 2" xfId="12156"/>
    <cellStyle name="40% - akcent 1 40 3 3" xfId="18760"/>
    <cellStyle name="40% - akcent 1 40 3 4" xfId="25351"/>
    <cellStyle name="40% - akcent 1 40 4" xfId="8866"/>
    <cellStyle name="40% - akcent 1 40 5" xfId="15472"/>
    <cellStyle name="40% - akcent 1 40 6" xfId="22063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3" xfId="8869"/>
    <cellStyle name="40% - akcent 1 41 2 4" xfId="15475"/>
    <cellStyle name="40% - akcent 1 41 2 5" xfId="22066"/>
    <cellStyle name="40% - akcent 1 41 3" xfId="5523"/>
    <cellStyle name="40% - akcent 1 41 3 2" xfId="12158"/>
    <cellStyle name="40% - akcent 1 41 3 3" xfId="18762"/>
    <cellStyle name="40% - akcent 1 41 3 4" xfId="25353"/>
    <cellStyle name="40% - akcent 1 41 4" xfId="8868"/>
    <cellStyle name="40% - akcent 1 41 5" xfId="15474"/>
    <cellStyle name="40% - akcent 1 41 6" xfId="22065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3" xfId="8871"/>
    <cellStyle name="40% - akcent 1 42 2 4" xfId="15477"/>
    <cellStyle name="40% - akcent 1 42 2 5" xfId="22068"/>
    <cellStyle name="40% - akcent 1 42 3" xfId="5525"/>
    <cellStyle name="40% - akcent 1 42 3 2" xfId="12160"/>
    <cellStyle name="40% - akcent 1 42 3 3" xfId="18764"/>
    <cellStyle name="40% - akcent 1 42 3 4" xfId="25355"/>
    <cellStyle name="40% - akcent 1 42 4" xfId="8870"/>
    <cellStyle name="40% - akcent 1 42 5" xfId="15476"/>
    <cellStyle name="40% - akcent 1 42 6" xfId="22067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3" xfId="8873"/>
    <cellStyle name="40% - akcent 1 43 2 4" xfId="15479"/>
    <cellStyle name="40% - akcent 1 43 2 5" xfId="22070"/>
    <cellStyle name="40% - akcent 1 43 3" xfId="5527"/>
    <cellStyle name="40% - akcent 1 43 3 2" xfId="12162"/>
    <cellStyle name="40% - akcent 1 43 3 3" xfId="18766"/>
    <cellStyle name="40% - akcent 1 43 3 4" xfId="25357"/>
    <cellStyle name="40% - akcent 1 43 4" xfId="8872"/>
    <cellStyle name="40% - akcent 1 43 5" xfId="15478"/>
    <cellStyle name="40% - akcent 1 43 6" xfId="22069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3" xfId="8875"/>
    <cellStyle name="40% - akcent 1 44 2 4" xfId="15481"/>
    <cellStyle name="40% - akcent 1 44 2 5" xfId="22072"/>
    <cellStyle name="40% - akcent 1 44 3" xfId="5529"/>
    <cellStyle name="40% - akcent 1 44 3 2" xfId="12164"/>
    <cellStyle name="40% - akcent 1 44 3 3" xfId="18768"/>
    <cellStyle name="40% - akcent 1 44 3 4" xfId="25359"/>
    <cellStyle name="40% - akcent 1 44 4" xfId="8874"/>
    <cellStyle name="40% - akcent 1 44 5" xfId="15480"/>
    <cellStyle name="40% - akcent 1 44 6" xfId="22071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3" xfId="8877"/>
    <cellStyle name="40% - akcent 1 45 2 4" xfId="15483"/>
    <cellStyle name="40% - akcent 1 45 2 5" xfId="22074"/>
    <cellStyle name="40% - akcent 1 45 3" xfId="5531"/>
    <cellStyle name="40% - akcent 1 45 3 2" xfId="12166"/>
    <cellStyle name="40% - akcent 1 45 3 3" xfId="18770"/>
    <cellStyle name="40% - akcent 1 45 3 4" xfId="25361"/>
    <cellStyle name="40% - akcent 1 45 4" xfId="8876"/>
    <cellStyle name="40% - akcent 1 45 5" xfId="15482"/>
    <cellStyle name="40% - akcent 1 45 6" xfId="22073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3" xfId="8879"/>
    <cellStyle name="40% - akcent 1 46 2 4" xfId="15485"/>
    <cellStyle name="40% - akcent 1 46 2 5" xfId="22076"/>
    <cellStyle name="40% - akcent 1 46 3" xfId="5533"/>
    <cellStyle name="40% - akcent 1 46 3 2" xfId="12168"/>
    <cellStyle name="40% - akcent 1 46 3 3" xfId="18772"/>
    <cellStyle name="40% - akcent 1 46 3 4" xfId="25363"/>
    <cellStyle name="40% - akcent 1 46 4" xfId="8878"/>
    <cellStyle name="40% - akcent 1 46 5" xfId="15484"/>
    <cellStyle name="40% - akcent 1 46 6" xfId="22075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3" xfId="8881"/>
    <cellStyle name="40% - akcent 1 47 2 4" xfId="15487"/>
    <cellStyle name="40% - akcent 1 47 2 5" xfId="22078"/>
    <cellStyle name="40% - akcent 1 47 3" xfId="5535"/>
    <cellStyle name="40% - akcent 1 47 3 2" xfId="12170"/>
    <cellStyle name="40% - akcent 1 47 3 3" xfId="18774"/>
    <cellStyle name="40% - akcent 1 47 3 4" xfId="25365"/>
    <cellStyle name="40% - akcent 1 47 4" xfId="8880"/>
    <cellStyle name="40% - akcent 1 47 5" xfId="15486"/>
    <cellStyle name="40% - akcent 1 47 6" xfId="22077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3" xfId="8883"/>
    <cellStyle name="40% - akcent 1 48 2 4" xfId="15489"/>
    <cellStyle name="40% - akcent 1 48 2 5" xfId="22080"/>
    <cellStyle name="40% - akcent 1 48 3" xfId="5537"/>
    <cellStyle name="40% - akcent 1 48 3 2" xfId="12172"/>
    <cellStyle name="40% - akcent 1 48 3 3" xfId="18776"/>
    <cellStyle name="40% - akcent 1 48 3 4" xfId="25367"/>
    <cellStyle name="40% - akcent 1 48 4" xfId="8882"/>
    <cellStyle name="40% - akcent 1 48 5" xfId="15488"/>
    <cellStyle name="40% - akcent 1 48 6" xfId="22079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3" xfId="8885"/>
    <cellStyle name="40% - akcent 1 49 2 4" xfId="15491"/>
    <cellStyle name="40% - akcent 1 49 2 5" xfId="22082"/>
    <cellStyle name="40% - akcent 1 49 3" xfId="5539"/>
    <cellStyle name="40% - akcent 1 49 3 2" xfId="12174"/>
    <cellStyle name="40% - akcent 1 49 3 3" xfId="18778"/>
    <cellStyle name="40% - akcent 1 49 3 4" xfId="25369"/>
    <cellStyle name="40% - akcent 1 49 4" xfId="8884"/>
    <cellStyle name="40% - akcent 1 49 5" xfId="15490"/>
    <cellStyle name="40% - akcent 1 49 6" xfId="22081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3" xfId="8887"/>
    <cellStyle name="40% - akcent 1 5 2 4" xfId="15493"/>
    <cellStyle name="40% - akcent 1 5 2 5" xfId="22084"/>
    <cellStyle name="40% - akcent 1 5 3" xfId="5541"/>
    <cellStyle name="40% - akcent 1 5 3 2" xfId="12176"/>
    <cellStyle name="40% - akcent 1 5 3 3" xfId="18780"/>
    <cellStyle name="40% - akcent 1 5 3 4" xfId="25371"/>
    <cellStyle name="40% - akcent 1 5 4" xfId="8886"/>
    <cellStyle name="40% - akcent 1 5 5" xfId="15492"/>
    <cellStyle name="40% - akcent 1 5 6" xfId="22083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3" xfId="8889"/>
    <cellStyle name="40% - akcent 1 50 2 4" xfId="15495"/>
    <cellStyle name="40% - akcent 1 50 2 5" xfId="22086"/>
    <cellStyle name="40% - akcent 1 50 3" xfId="5543"/>
    <cellStyle name="40% - akcent 1 50 3 2" xfId="12178"/>
    <cellStyle name="40% - akcent 1 50 3 3" xfId="18782"/>
    <cellStyle name="40% - akcent 1 50 3 4" xfId="25373"/>
    <cellStyle name="40% - akcent 1 50 4" xfId="8888"/>
    <cellStyle name="40% - akcent 1 50 5" xfId="15494"/>
    <cellStyle name="40% - akcent 1 50 6" xfId="22085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3" xfId="8891"/>
    <cellStyle name="40% - akcent 1 51 2 4" xfId="15497"/>
    <cellStyle name="40% - akcent 1 51 2 5" xfId="22088"/>
    <cellStyle name="40% - akcent 1 51 3" xfId="5545"/>
    <cellStyle name="40% - akcent 1 51 3 2" xfId="12180"/>
    <cellStyle name="40% - akcent 1 51 3 3" xfId="18784"/>
    <cellStyle name="40% - akcent 1 51 3 4" xfId="25375"/>
    <cellStyle name="40% - akcent 1 51 4" xfId="8890"/>
    <cellStyle name="40% - akcent 1 51 5" xfId="15496"/>
    <cellStyle name="40% - akcent 1 51 6" xfId="22087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3" xfId="8893"/>
    <cellStyle name="40% - akcent 1 52 2 4" xfId="15499"/>
    <cellStyle name="40% - akcent 1 52 2 5" xfId="22090"/>
    <cellStyle name="40% - akcent 1 52 3" xfId="5547"/>
    <cellStyle name="40% - akcent 1 52 3 2" xfId="12182"/>
    <cellStyle name="40% - akcent 1 52 3 3" xfId="18786"/>
    <cellStyle name="40% - akcent 1 52 3 4" xfId="25377"/>
    <cellStyle name="40% - akcent 1 52 4" xfId="8892"/>
    <cellStyle name="40% - akcent 1 52 5" xfId="15498"/>
    <cellStyle name="40% - akcent 1 52 6" xfId="22089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3" xfId="8895"/>
    <cellStyle name="40% - akcent 1 53 2 4" xfId="15501"/>
    <cellStyle name="40% - akcent 1 53 2 5" xfId="22092"/>
    <cellStyle name="40% - akcent 1 53 3" xfId="5549"/>
    <cellStyle name="40% - akcent 1 53 3 2" xfId="12184"/>
    <cellStyle name="40% - akcent 1 53 3 3" xfId="18788"/>
    <cellStyle name="40% - akcent 1 53 3 4" xfId="25379"/>
    <cellStyle name="40% - akcent 1 53 4" xfId="8894"/>
    <cellStyle name="40% - akcent 1 53 5" xfId="15500"/>
    <cellStyle name="40% - akcent 1 53 6" xfId="22091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3" xfId="8897"/>
    <cellStyle name="40% - akcent 1 54 2 4" xfId="15503"/>
    <cellStyle name="40% - akcent 1 54 2 5" xfId="22094"/>
    <cellStyle name="40% - akcent 1 54 3" xfId="5551"/>
    <cellStyle name="40% - akcent 1 54 3 2" xfId="12186"/>
    <cellStyle name="40% - akcent 1 54 3 3" xfId="18790"/>
    <cellStyle name="40% - akcent 1 54 3 4" xfId="25381"/>
    <cellStyle name="40% - akcent 1 54 4" xfId="8896"/>
    <cellStyle name="40% - akcent 1 54 5" xfId="15502"/>
    <cellStyle name="40% - akcent 1 54 6" xfId="22093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3" xfId="8899"/>
    <cellStyle name="40% - akcent 1 55 2 4" xfId="15505"/>
    <cellStyle name="40% - akcent 1 55 2 5" xfId="22096"/>
    <cellStyle name="40% - akcent 1 55 3" xfId="5553"/>
    <cellStyle name="40% - akcent 1 55 3 2" xfId="12188"/>
    <cellStyle name="40% - akcent 1 55 3 3" xfId="18792"/>
    <cellStyle name="40% - akcent 1 55 3 4" xfId="25383"/>
    <cellStyle name="40% - akcent 1 55 4" xfId="8898"/>
    <cellStyle name="40% - akcent 1 55 5" xfId="15504"/>
    <cellStyle name="40% - akcent 1 55 6" xfId="22095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3" xfId="8901"/>
    <cellStyle name="40% - akcent 1 56 2 4" xfId="15507"/>
    <cellStyle name="40% - akcent 1 56 2 5" xfId="22098"/>
    <cellStyle name="40% - akcent 1 56 3" xfId="5555"/>
    <cellStyle name="40% - akcent 1 56 3 2" xfId="12190"/>
    <cellStyle name="40% - akcent 1 56 3 3" xfId="18794"/>
    <cellStyle name="40% - akcent 1 56 3 4" xfId="25385"/>
    <cellStyle name="40% - akcent 1 56 4" xfId="8900"/>
    <cellStyle name="40% - akcent 1 56 5" xfId="15506"/>
    <cellStyle name="40% - akcent 1 56 6" xfId="22097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3" xfId="8903"/>
    <cellStyle name="40% - akcent 1 57 2 4" xfId="15509"/>
    <cellStyle name="40% - akcent 1 57 2 5" xfId="22100"/>
    <cellStyle name="40% - akcent 1 57 3" xfId="5557"/>
    <cellStyle name="40% - akcent 1 57 3 2" xfId="12192"/>
    <cellStyle name="40% - akcent 1 57 3 3" xfId="18796"/>
    <cellStyle name="40% - akcent 1 57 3 4" xfId="25387"/>
    <cellStyle name="40% - akcent 1 57 4" xfId="8902"/>
    <cellStyle name="40% - akcent 1 57 5" xfId="15508"/>
    <cellStyle name="40% - akcent 1 57 6" xfId="22099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3" xfId="8905"/>
    <cellStyle name="40% - akcent 1 58 2 4" xfId="15511"/>
    <cellStyle name="40% - akcent 1 58 2 5" xfId="22102"/>
    <cellStyle name="40% - akcent 1 58 3" xfId="5559"/>
    <cellStyle name="40% - akcent 1 58 3 2" xfId="12194"/>
    <cellStyle name="40% - akcent 1 58 3 3" xfId="18798"/>
    <cellStyle name="40% - akcent 1 58 3 4" xfId="25389"/>
    <cellStyle name="40% - akcent 1 58 4" xfId="8904"/>
    <cellStyle name="40% - akcent 1 58 5" xfId="15510"/>
    <cellStyle name="40% - akcent 1 58 6" xfId="22101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3" xfId="8907"/>
    <cellStyle name="40% - akcent 1 59 2 4" xfId="15513"/>
    <cellStyle name="40% - akcent 1 59 2 5" xfId="22104"/>
    <cellStyle name="40% - akcent 1 59 3" xfId="5561"/>
    <cellStyle name="40% - akcent 1 59 3 2" xfId="12196"/>
    <cellStyle name="40% - akcent 1 59 3 3" xfId="18800"/>
    <cellStyle name="40% - akcent 1 59 3 4" xfId="25391"/>
    <cellStyle name="40% - akcent 1 59 4" xfId="8906"/>
    <cellStyle name="40% - akcent 1 59 5" xfId="15512"/>
    <cellStyle name="40% - akcent 1 59 6" xfId="22103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3" xfId="8909"/>
    <cellStyle name="40% - akcent 1 6 2 4" xfId="15515"/>
    <cellStyle name="40% - akcent 1 6 2 5" xfId="22106"/>
    <cellStyle name="40% - akcent 1 6 3" xfId="5563"/>
    <cellStyle name="40% - akcent 1 6 3 2" xfId="12198"/>
    <cellStyle name="40% - akcent 1 6 3 3" xfId="18802"/>
    <cellStyle name="40% - akcent 1 6 3 4" xfId="25393"/>
    <cellStyle name="40% - akcent 1 6 4" xfId="8908"/>
    <cellStyle name="40% - akcent 1 6 5" xfId="15514"/>
    <cellStyle name="40% - akcent 1 6 6" xfId="22105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3" xfId="8910"/>
    <cellStyle name="40% - akcent 1 60 4" xfId="15516"/>
    <cellStyle name="40% - akcent 1 60 5" xfId="22107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3" xfId="8911"/>
    <cellStyle name="40% - akcent 1 61 4" xfId="15517"/>
    <cellStyle name="40% - akcent 1 61 5" xfId="22108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3" xfId="8912"/>
    <cellStyle name="40% - akcent 1 62 4" xfId="15518"/>
    <cellStyle name="40% - akcent 1 62 5" xfId="22109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3" xfId="8913"/>
    <cellStyle name="40% - akcent 1 63 4" xfId="15519"/>
    <cellStyle name="40% - akcent 1 63 5" xfId="22110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3" xfId="8914"/>
    <cellStyle name="40% - akcent 1 64 4" xfId="15520"/>
    <cellStyle name="40% - akcent 1 64 5" xfId="22111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3" xfId="8915"/>
    <cellStyle name="40% - akcent 1 65 4" xfId="15521"/>
    <cellStyle name="40% - akcent 1 65 5" xfId="22112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3" xfId="8916"/>
    <cellStyle name="40% - akcent 1 66 4" xfId="15522"/>
    <cellStyle name="40% - akcent 1 66 5" xfId="22113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3" xfId="8917"/>
    <cellStyle name="40% - akcent 1 67 4" xfId="15523"/>
    <cellStyle name="40% - akcent 1 67 5" xfId="22114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3" xfId="8918"/>
    <cellStyle name="40% - akcent 1 68 4" xfId="15524"/>
    <cellStyle name="40% - akcent 1 68 5" xfId="22115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3" xfId="8919"/>
    <cellStyle name="40% - akcent 1 69 4" xfId="15525"/>
    <cellStyle name="40% - akcent 1 69 5" xfId="22116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3" xfId="8921"/>
    <cellStyle name="40% - akcent 1 7 2 4" xfId="15527"/>
    <cellStyle name="40% - akcent 1 7 2 5" xfId="22118"/>
    <cellStyle name="40% - akcent 1 7 3" xfId="5575"/>
    <cellStyle name="40% - akcent 1 7 3 2" xfId="12210"/>
    <cellStyle name="40% - akcent 1 7 3 3" xfId="18814"/>
    <cellStyle name="40% - akcent 1 7 3 4" xfId="25405"/>
    <cellStyle name="40% - akcent 1 7 4" xfId="8920"/>
    <cellStyle name="40% - akcent 1 7 5" xfId="15526"/>
    <cellStyle name="40% - akcent 1 7 6" xfId="22117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3" xfId="8922"/>
    <cellStyle name="40% - akcent 1 70 4" xfId="15528"/>
    <cellStyle name="40% - akcent 1 70 5" xfId="22119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3" xfId="8923"/>
    <cellStyle name="40% - akcent 1 71 4" xfId="15529"/>
    <cellStyle name="40% - akcent 1 71 5" xfId="22120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3" xfId="8924"/>
    <cellStyle name="40% - akcent 1 72 4" xfId="15530"/>
    <cellStyle name="40% - akcent 1 72 5" xfId="22121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3" xfId="8925"/>
    <cellStyle name="40% - akcent 1 73 4" xfId="15531"/>
    <cellStyle name="40% - akcent 1 73 5" xfId="22122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3" xfId="8926"/>
    <cellStyle name="40% - akcent 1 74 4" xfId="15532"/>
    <cellStyle name="40% - akcent 1 74 5" xfId="22123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3" xfId="8927"/>
    <cellStyle name="40% - akcent 1 75 4" xfId="15533"/>
    <cellStyle name="40% - akcent 1 75 5" xfId="22124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3" xfId="8928"/>
    <cellStyle name="40% - akcent 1 76 4" xfId="15534"/>
    <cellStyle name="40% - akcent 1 76 5" xfId="22125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3" xfId="8929"/>
    <cellStyle name="40% - akcent 1 77 4" xfId="15535"/>
    <cellStyle name="40% - akcent 1 77 5" xfId="22126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3" xfId="8930"/>
    <cellStyle name="40% - akcent 1 78 4" xfId="15536"/>
    <cellStyle name="40% - akcent 1 78 5" xfId="22127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3" xfId="8931"/>
    <cellStyle name="40% - akcent 1 79 4" xfId="15537"/>
    <cellStyle name="40% - akcent 1 79 5" xfId="22128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3" xfId="8933"/>
    <cellStyle name="40% - akcent 1 8 2 4" xfId="15539"/>
    <cellStyle name="40% - akcent 1 8 2 5" xfId="22130"/>
    <cellStyle name="40% - akcent 1 8 3" xfId="5587"/>
    <cellStyle name="40% - akcent 1 8 3 2" xfId="12222"/>
    <cellStyle name="40% - akcent 1 8 3 3" xfId="18826"/>
    <cellStyle name="40% - akcent 1 8 3 4" xfId="25417"/>
    <cellStyle name="40% - akcent 1 8 4" xfId="8932"/>
    <cellStyle name="40% - akcent 1 8 5" xfId="15538"/>
    <cellStyle name="40% - akcent 1 8 6" xfId="22129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3" xfId="8934"/>
    <cellStyle name="40% - akcent 1 80 4" xfId="15540"/>
    <cellStyle name="40% - akcent 1 80 5" xfId="22131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3" xfId="8935"/>
    <cellStyle name="40% - akcent 1 81 4" xfId="15541"/>
    <cellStyle name="40% - akcent 1 81 5" xfId="22132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3" xfId="8936"/>
    <cellStyle name="40% - akcent 1 82 4" xfId="15542"/>
    <cellStyle name="40% - akcent 1 82 5" xfId="22133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3" xfId="8937"/>
    <cellStyle name="40% - akcent 1 83 4" xfId="15543"/>
    <cellStyle name="40% - akcent 1 83 5" xfId="22134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3" xfId="8938"/>
    <cellStyle name="40% - akcent 1 84 4" xfId="15544"/>
    <cellStyle name="40% - akcent 1 84 5" xfId="22135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3" xfId="8939"/>
    <cellStyle name="40% - akcent 1 85 4" xfId="15545"/>
    <cellStyle name="40% - akcent 1 85 5" xfId="22136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3" xfId="8940"/>
    <cellStyle name="40% - akcent 1 86 4" xfId="15546"/>
    <cellStyle name="40% - akcent 1 86 5" xfId="22137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3" xfId="8941"/>
    <cellStyle name="40% - akcent 1 87 4" xfId="15547"/>
    <cellStyle name="40% - akcent 1 87 5" xfId="22138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3" xfId="8942"/>
    <cellStyle name="40% - akcent 1 88 4" xfId="15548"/>
    <cellStyle name="40% - akcent 1 88 5" xfId="22139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3" xfId="8943"/>
    <cellStyle name="40% - akcent 1 89 4" xfId="15549"/>
    <cellStyle name="40% - akcent 1 89 5" xfId="22140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3" xfId="8945"/>
    <cellStyle name="40% - akcent 1 9 2 4" xfId="15551"/>
    <cellStyle name="40% - akcent 1 9 2 5" xfId="22142"/>
    <cellStyle name="40% - akcent 1 9 3" xfId="5599"/>
    <cellStyle name="40% - akcent 1 9 3 2" xfId="12234"/>
    <cellStyle name="40% - akcent 1 9 3 3" xfId="18838"/>
    <cellStyle name="40% - akcent 1 9 3 4" xfId="25429"/>
    <cellStyle name="40% - akcent 1 9 4" xfId="8944"/>
    <cellStyle name="40% - akcent 1 9 5" xfId="15550"/>
    <cellStyle name="40% - akcent 1 9 6" xfId="22141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3" xfId="8946"/>
    <cellStyle name="40% - akcent 1 90 4" xfId="15552"/>
    <cellStyle name="40% - akcent 1 90 5" xfId="22143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3" xfId="8947"/>
    <cellStyle name="40% - akcent 1 91 4" xfId="15553"/>
    <cellStyle name="40% - akcent 1 91 5" xfId="22144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3" xfId="8948"/>
    <cellStyle name="40% - akcent 1 92 4" xfId="15554"/>
    <cellStyle name="40% - akcent 1 92 5" xfId="22145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3" xfId="8949"/>
    <cellStyle name="40% - akcent 1 93 4" xfId="15555"/>
    <cellStyle name="40% - akcent 1 93 5" xfId="22146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3" xfId="8950"/>
    <cellStyle name="40% - akcent 1 94 4" xfId="15556"/>
    <cellStyle name="40% - akcent 1 94 5" xfId="22147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3" xfId="8951"/>
    <cellStyle name="40% - akcent 1 95 4" xfId="15557"/>
    <cellStyle name="40% - akcent 1 95 5" xfId="22148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3" xfId="8952"/>
    <cellStyle name="40% - akcent 1 96 4" xfId="15558"/>
    <cellStyle name="40% - akcent 1 96 5" xfId="22149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3" xfId="8953"/>
    <cellStyle name="40% - akcent 1 97 4" xfId="15559"/>
    <cellStyle name="40% - akcent 1 97 5" xfId="22150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3" xfId="8954"/>
    <cellStyle name="40% - akcent 1 98 4" xfId="15560"/>
    <cellStyle name="40% - akcent 1 98 5" xfId="22151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3" xfId="8955"/>
    <cellStyle name="40% - akcent 1 99 4" xfId="15561"/>
    <cellStyle name="40% - akcent 1 99 5" xfId="22152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3" xfId="8957"/>
    <cellStyle name="40% - akcent 2 10 2 4" xfId="15563"/>
    <cellStyle name="40% - akcent 2 10 2 5" xfId="22154"/>
    <cellStyle name="40% - akcent 2 10 3" xfId="5611"/>
    <cellStyle name="40% - akcent 2 10 3 2" xfId="12246"/>
    <cellStyle name="40% - akcent 2 10 3 3" xfId="18850"/>
    <cellStyle name="40% - akcent 2 10 3 4" xfId="25441"/>
    <cellStyle name="40% - akcent 2 10 4" xfId="8956"/>
    <cellStyle name="40% - akcent 2 10 5" xfId="15562"/>
    <cellStyle name="40% - akcent 2 10 6" xfId="22153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3" xfId="8958"/>
    <cellStyle name="40% - akcent 2 100 4" xfId="15564"/>
    <cellStyle name="40% - akcent 2 100 5" xfId="22155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3" xfId="8959"/>
    <cellStyle name="40% - akcent 2 101 4" xfId="15565"/>
    <cellStyle name="40% - akcent 2 101 5" xfId="22156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3" xfId="8960"/>
    <cellStyle name="40% - akcent 2 102 4" xfId="15566"/>
    <cellStyle name="40% - akcent 2 102 5" xfId="22157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3" xfId="8961"/>
    <cellStyle name="40% - akcent 2 103 4" xfId="15567"/>
    <cellStyle name="40% - akcent 2 103 5" xfId="22158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3" xfId="8962"/>
    <cellStyle name="40% - akcent 2 104 4" xfId="15568"/>
    <cellStyle name="40% - akcent 2 104 5" xfId="22159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3" xfId="8963"/>
    <cellStyle name="40% - akcent 2 105 4" xfId="15569"/>
    <cellStyle name="40% - akcent 2 105 5" xfId="22160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3" xfId="8964"/>
    <cellStyle name="40% - akcent 2 106 4" xfId="15570"/>
    <cellStyle name="40% - akcent 2 106 5" xfId="22161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3" xfId="8965"/>
    <cellStyle name="40% - akcent 2 107 4" xfId="15571"/>
    <cellStyle name="40% - akcent 2 107 5" xfId="22162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3" xfId="8966"/>
    <cellStyle name="40% - akcent 2 108 4" xfId="15572"/>
    <cellStyle name="40% - akcent 2 108 5" xfId="22163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3" xfId="8967"/>
    <cellStyle name="40% - akcent 2 109 4" xfId="15573"/>
    <cellStyle name="40% - akcent 2 109 5" xfId="22164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3" xfId="8969"/>
    <cellStyle name="40% - akcent 2 11 2 4" xfId="15575"/>
    <cellStyle name="40% - akcent 2 11 2 5" xfId="22166"/>
    <cellStyle name="40% - akcent 2 11 3" xfId="5623"/>
    <cellStyle name="40% - akcent 2 11 3 2" xfId="12258"/>
    <cellStyle name="40% - akcent 2 11 3 3" xfId="18862"/>
    <cellStyle name="40% - akcent 2 11 3 4" xfId="25453"/>
    <cellStyle name="40% - akcent 2 11 4" xfId="8968"/>
    <cellStyle name="40% - akcent 2 11 5" xfId="15574"/>
    <cellStyle name="40% - akcent 2 11 6" xfId="22165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3" xfId="8970"/>
    <cellStyle name="40% - akcent 2 110 4" xfId="15576"/>
    <cellStyle name="40% - akcent 2 110 5" xfId="22167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3" xfId="8971"/>
    <cellStyle name="40% - akcent 2 111 4" xfId="15577"/>
    <cellStyle name="40% - akcent 2 111 5" xfId="22168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3" xfId="8972"/>
    <cellStyle name="40% - akcent 2 112 4" xfId="15578"/>
    <cellStyle name="40% - akcent 2 112 5" xfId="22169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3" xfId="8973"/>
    <cellStyle name="40% - akcent 2 113 4" xfId="15579"/>
    <cellStyle name="40% - akcent 2 113 5" xfId="22170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3" xfId="8974"/>
    <cellStyle name="40% - akcent 2 114 4" xfId="15580"/>
    <cellStyle name="40% - akcent 2 114 5" xfId="22171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3" xfId="8975"/>
    <cellStyle name="40% - akcent 2 115 4" xfId="15581"/>
    <cellStyle name="40% - akcent 2 115 5" xfId="22172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3" xfId="8976"/>
    <cellStyle name="40% - akcent 2 116 4" xfId="15582"/>
    <cellStyle name="40% - akcent 2 116 5" xfId="22173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3" xfId="8977"/>
    <cellStyle name="40% - akcent 2 117 4" xfId="15583"/>
    <cellStyle name="40% - akcent 2 117 5" xfId="22174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3" xfId="8978"/>
    <cellStyle name="40% - akcent 2 118 4" xfId="15584"/>
    <cellStyle name="40% - akcent 2 118 5" xfId="22175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3" xfId="8979"/>
    <cellStyle name="40% - akcent 2 119 4" xfId="15585"/>
    <cellStyle name="40% - akcent 2 119 5" xfId="22176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3" xfId="8981"/>
    <cellStyle name="40% - akcent 2 12 2 4" xfId="15587"/>
    <cellStyle name="40% - akcent 2 12 2 5" xfId="22178"/>
    <cellStyle name="40% - akcent 2 12 3" xfId="5635"/>
    <cellStyle name="40% - akcent 2 12 3 2" xfId="12270"/>
    <cellStyle name="40% - akcent 2 12 3 3" xfId="18874"/>
    <cellStyle name="40% - akcent 2 12 3 4" xfId="25465"/>
    <cellStyle name="40% - akcent 2 12 4" xfId="8980"/>
    <cellStyle name="40% - akcent 2 12 5" xfId="15586"/>
    <cellStyle name="40% - akcent 2 12 6" xfId="22177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3" xfId="8982"/>
    <cellStyle name="40% - akcent 2 120 4" xfId="15588"/>
    <cellStyle name="40% - akcent 2 120 5" xfId="22179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3" xfId="8983"/>
    <cellStyle name="40% - akcent 2 121 4" xfId="15589"/>
    <cellStyle name="40% - akcent 2 121 5" xfId="22180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3" xfId="8984"/>
    <cellStyle name="40% - akcent 2 122 4" xfId="15590"/>
    <cellStyle name="40% - akcent 2 122 5" xfId="22181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3" xfId="8985"/>
    <cellStyle name="40% - akcent 2 123 4" xfId="15591"/>
    <cellStyle name="40% - akcent 2 123 5" xfId="22182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3" xfId="8986"/>
    <cellStyle name="40% - akcent 2 124 4" xfId="15592"/>
    <cellStyle name="40% - akcent 2 124 5" xfId="22183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3" xfId="8987"/>
    <cellStyle name="40% - akcent 2 125 4" xfId="15593"/>
    <cellStyle name="40% - akcent 2 125 5" xfId="22184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3" xfId="8988"/>
    <cellStyle name="40% - akcent 2 126 4" xfId="15594"/>
    <cellStyle name="40% - akcent 2 126 5" xfId="22185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3" xfId="8989"/>
    <cellStyle name="40% - akcent 2 127 4" xfId="15595"/>
    <cellStyle name="40% - akcent 2 127 5" xfId="22186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3" xfId="8990"/>
    <cellStyle name="40% - akcent 2 128 4" xfId="15596"/>
    <cellStyle name="40% - akcent 2 128 5" xfId="22187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3" xfId="8991"/>
    <cellStyle name="40% - akcent 2 129 4" xfId="15597"/>
    <cellStyle name="40% - akcent 2 129 5" xfId="22188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3" xfId="8993"/>
    <cellStyle name="40% - akcent 2 13 2 4" xfId="15599"/>
    <cellStyle name="40% - akcent 2 13 2 5" xfId="22190"/>
    <cellStyle name="40% - akcent 2 13 3" xfId="5647"/>
    <cellStyle name="40% - akcent 2 13 3 2" xfId="12282"/>
    <cellStyle name="40% - akcent 2 13 3 3" xfId="18886"/>
    <cellStyle name="40% - akcent 2 13 3 4" xfId="25477"/>
    <cellStyle name="40% - akcent 2 13 4" xfId="8992"/>
    <cellStyle name="40% - akcent 2 13 5" xfId="15598"/>
    <cellStyle name="40% - akcent 2 13 6" xfId="22189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3" xfId="8994"/>
    <cellStyle name="40% - akcent 2 130 4" xfId="15600"/>
    <cellStyle name="40% - akcent 2 130 5" xfId="22191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3" xfId="8995"/>
    <cellStyle name="40% - akcent 2 131 4" xfId="15601"/>
    <cellStyle name="40% - akcent 2 131 5" xfId="22192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3" xfId="8996"/>
    <cellStyle name="40% - akcent 2 132 4" xfId="15602"/>
    <cellStyle name="40% - akcent 2 132 5" xfId="22193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3" xfId="8997"/>
    <cellStyle name="40% - akcent 2 133 4" xfId="15603"/>
    <cellStyle name="40% - akcent 2 133 5" xfId="22194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3" xfId="8998"/>
    <cellStyle name="40% - akcent 2 134 4" xfId="15604"/>
    <cellStyle name="40% - akcent 2 134 5" xfId="22195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3" xfId="8999"/>
    <cellStyle name="40% - akcent 2 135 4" xfId="15605"/>
    <cellStyle name="40% - akcent 2 135 5" xfId="22196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3" xfId="9000"/>
    <cellStyle name="40% - akcent 2 136 4" xfId="15606"/>
    <cellStyle name="40% - akcent 2 136 5" xfId="22197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3" xfId="9001"/>
    <cellStyle name="40% - akcent 2 137 4" xfId="15607"/>
    <cellStyle name="40% - akcent 2 137 5" xfId="22198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3" xfId="9002"/>
    <cellStyle name="40% - akcent 2 138 4" xfId="15608"/>
    <cellStyle name="40% - akcent 2 138 5" xfId="22199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3" xfId="9003"/>
    <cellStyle name="40% - akcent 2 139 4" xfId="15609"/>
    <cellStyle name="40% - akcent 2 139 5" xfId="22200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3" xfId="9005"/>
    <cellStyle name="40% - akcent 2 14 2 4" xfId="15611"/>
    <cellStyle name="40% - akcent 2 14 2 5" xfId="22202"/>
    <cellStyle name="40% - akcent 2 14 3" xfId="5659"/>
    <cellStyle name="40% - akcent 2 14 3 2" xfId="12294"/>
    <cellStyle name="40% - akcent 2 14 3 3" xfId="18898"/>
    <cellStyle name="40% - akcent 2 14 3 4" xfId="25489"/>
    <cellStyle name="40% - akcent 2 14 4" xfId="9004"/>
    <cellStyle name="40% - akcent 2 14 5" xfId="15610"/>
    <cellStyle name="40% - akcent 2 14 6" xfId="22201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3" xfId="9006"/>
    <cellStyle name="40% - akcent 2 140 4" xfId="15612"/>
    <cellStyle name="40% - akcent 2 140 5" xfId="22203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3" xfId="9007"/>
    <cellStyle name="40% - akcent 2 141 4" xfId="15613"/>
    <cellStyle name="40% - akcent 2 141 5" xfId="22204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3" xfId="9008"/>
    <cellStyle name="40% - akcent 2 142 4" xfId="15614"/>
    <cellStyle name="40% - akcent 2 142 5" xfId="22205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3" xfId="9009"/>
    <cellStyle name="40% - akcent 2 143 4" xfId="15615"/>
    <cellStyle name="40% - akcent 2 143 5" xfId="22206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3" xfId="9010"/>
    <cellStyle name="40% - akcent 2 144 4" xfId="15616"/>
    <cellStyle name="40% - akcent 2 144 5" xfId="22207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3" xfId="9011"/>
    <cellStyle name="40% - akcent 2 145 4" xfId="15617"/>
    <cellStyle name="40% - akcent 2 145 5" xfId="22208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3" xfId="9012"/>
    <cellStyle name="40% - akcent 2 146 4" xfId="15618"/>
    <cellStyle name="40% - akcent 2 146 5" xfId="22209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3" xfId="9013"/>
    <cellStyle name="40% - akcent 2 147 4" xfId="15619"/>
    <cellStyle name="40% - akcent 2 147 5" xfId="22210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3" xfId="9014"/>
    <cellStyle name="40% - akcent 2 148 4" xfId="15620"/>
    <cellStyle name="40% - akcent 2 148 5" xfId="22211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3" xfId="9015"/>
    <cellStyle name="40% - akcent 2 149 4" xfId="15621"/>
    <cellStyle name="40% - akcent 2 149 5" xfId="22212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3" xfId="9017"/>
    <cellStyle name="40% - akcent 2 15 2 4" xfId="15623"/>
    <cellStyle name="40% - akcent 2 15 2 5" xfId="22214"/>
    <cellStyle name="40% - akcent 2 15 3" xfId="5671"/>
    <cellStyle name="40% - akcent 2 15 3 2" xfId="12306"/>
    <cellStyle name="40% - akcent 2 15 3 3" xfId="18910"/>
    <cellStyle name="40% - akcent 2 15 3 4" xfId="25501"/>
    <cellStyle name="40% - akcent 2 15 4" xfId="9016"/>
    <cellStyle name="40% - akcent 2 15 5" xfId="15622"/>
    <cellStyle name="40% - akcent 2 15 6" xfId="22213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3" xfId="9018"/>
    <cellStyle name="40% - akcent 2 150 4" xfId="15624"/>
    <cellStyle name="40% - akcent 2 150 5" xfId="22215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3" xfId="9019"/>
    <cellStyle name="40% - akcent 2 151 4" xfId="15625"/>
    <cellStyle name="40% - akcent 2 151 5" xfId="22216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3" xfId="9020"/>
    <cellStyle name="40% - akcent 2 152 4" xfId="15626"/>
    <cellStyle name="40% - akcent 2 152 5" xfId="22217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3" xfId="9021"/>
    <cellStyle name="40% - akcent 2 153 4" xfId="15627"/>
    <cellStyle name="40% - akcent 2 153 5" xfId="22218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3" xfId="9022"/>
    <cellStyle name="40% - akcent 2 154 4" xfId="15628"/>
    <cellStyle name="40% - akcent 2 154 5" xfId="22219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3" xfId="9023"/>
    <cellStyle name="40% - akcent 2 155 4" xfId="15629"/>
    <cellStyle name="40% - akcent 2 155 5" xfId="22220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3" xfId="9024"/>
    <cellStyle name="40% - akcent 2 156 4" xfId="15630"/>
    <cellStyle name="40% - akcent 2 156 5" xfId="22221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3" xfId="9025"/>
    <cellStyle name="40% - akcent 2 157 4" xfId="15631"/>
    <cellStyle name="40% - akcent 2 157 5" xfId="22222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3" xfId="9026"/>
    <cellStyle name="40% - akcent 2 158 4" xfId="15632"/>
    <cellStyle name="40% - akcent 2 158 5" xfId="22223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3" xfId="9027"/>
    <cellStyle name="40% - akcent 2 159 4" xfId="15633"/>
    <cellStyle name="40% - akcent 2 159 5" xfId="22224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3" xfId="9029"/>
    <cellStyle name="40% - akcent 2 16 2 4" xfId="15635"/>
    <cellStyle name="40% - akcent 2 16 2 5" xfId="22226"/>
    <cellStyle name="40% - akcent 2 16 3" xfId="5683"/>
    <cellStyle name="40% - akcent 2 16 3 2" xfId="12318"/>
    <cellStyle name="40% - akcent 2 16 3 3" xfId="18922"/>
    <cellStyle name="40% - akcent 2 16 3 4" xfId="25513"/>
    <cellStyle name="40% - akcent 2 16 4" xfId="9028"/>
    <cellStyle name="40% - akcent 2 16 5" xfId="15634"/>
    <cellStyle name="40% - akcent 2 16 6" xfId="22225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3" xfId="9030"/>
    <cellStyle name="40% - akcent 2 160 4" xfId="15636"/>
    <cellStyle name="40% - akcent 2 160 5" xfId="22227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3" xfId="9031"/>
    <cellStyle name="40% - akcent 2 161 4" xfId="15637"/>
    <cellStyle name="40% - akcent 2 161 5" xfId="22228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3" xfId="9032"/>
    <cellStyle name="40% - akcent 2 162 4" xfId="15638"/>
    <cellStyle name="40% - akcent 2 162 5" xfId="22229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3" xfId="9033"/>
    <cellStyle name="40% - akcent 2 163 4" xfId="15639"/>
    <cellStyle name="40% - akcent 2 163 5" xfId="22230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3" xfId="9034"/>
    <cellStyle name="40% - akcent 2 164 4" xfId="15640"/>
    <cellStyle name="40% - akcent 2 164 5" xfId="22231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3" xfId="9035"/>
    <cellStyle name="40% - akcent 2 165 4" xfId="15641"/>
    <cellStyle name="40% - akcent 2 165 5" xfId="22232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3" xfId="9036"/>
    <cellStyle name="40% - akcent 2 166 4" xfId="15642"/>
    <cellStyle name="40% - akcent 2 166 5" xfId="22233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3" xfId="9037"/>
    <cellStyle name="40% - akcent 2 167 4" xfId="15643"/>
    <cellStyle name="40% - akcent 2 167 5" xfId="22234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3" xfId="9038"/>
    <cellStyle name="40% - akcent 2 168 4" xfId="15644"/>
    <cellStyle name="40% - akcent 2 168 5" xfId="22235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3" xfId="9039"/>
    <cellStyle name="40% - akcent 2 169 4" xfId="15645"/>
    <cellStyle name="40% - akcent 2 169 5" xfId="22236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3" xfId="9041"/>
    <cellStyle name="40% - akcent 2 17 2 4" xfId="15647"/>
    <cellStyle name="40% - akcent 2 17 2 5" xfId="22238"/>
    <cellStyle name="40% - akcent 2 17 3" xfId="5695"/>
    <cellStyle name="40% - akcent 2 17 3 2" xfId="12330"/>
    <cellStyle name="40% - akcent 2 17 3 3" xfId="18934"/>
    <cellStyle name="40% - akcent 2 17 3 4" xfId="25525"/>
    <cellStyle name="40% - akcent 2 17 4" xfId="9040"/>
    <cellStyle name="40% - akcent 2 17 5" xfId="15646"/>
    <cellStyle name="40% - akcent 2 17 6" xfId="22237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3" xfId="9042"/>
    <cellStyle name="40% - akcent 2 170 4" xfId="15648"/>
    <cellStyle name="40% - akcent 2 170 5" xfId="22239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3" xfId="9043"/>
    <cellStyle name="40% - akcent 2 171 4" xfId="15649"/>
    <cellStyle name="40% - akcent 2 171 5" xfId="22240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3" xfId="9044"/>
    <cellStyle name="40% - akcent 2 172 4" xfId="15650"/>
    <cellStyle name="40% - akcent 2 172 5" xfId="22241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3" xfId="9045"/>
    <cellStyle name="40% - akcent 2 173 4" xfId="15651"/>
    <cellStyle name="40% - akcent 2 173 5" xfId="22242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3" xfId="9046"/>
    <cellStyle name="40% - akcent 2 174 4" xfId="15652"/>
    <cellStyle name="40% - akcent 2 174 5" xfId="22243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3" xfId="9047"/>
    <cellStyle name="40% - akcent 2 175 4" xfId="15653"/>
    <cellStyle name="40% - akcent 2 175 5" xfId="22244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3" xfId="9048"/>
    <cellStyle name="40% - akcent 2 176 4" xfId="15654"/>
    <cellStyle name="40% - akcent 2 176 5" xfId="22245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3" xfId="9049"/>
    <cellStyle name="40% - akcent 2 177 4" xfId="15655"/>
    <cellStyle name="40% - akcent 2 177 5" xfId="22246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3" xfId="9050"/>
    <cellStyle name="40% - akcent 2 178 4" xfId="15656"/>
    <cellStyle name="40% - akcent 2 178 5" xfId="22247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3" xfId="9051"/>
    <cellStyle name="40% - akcent 2 179 4" xfId="15657"/>
    <cellStyle name="40% - akcent 2 179 5" xfId="22248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3" xfId="9053"/>
    <cellStyle name="40% - akcent 2 18 2 4" xfId="15659"/>
    <cellStyle name="40% - akcent 2 18 2 5" xfId="22250"/>
    <cellStyle name="40% - akcent 2 18 3" xfId="5707"/>
    <cellStyle name="40% - akcent 2 18 3 2" xfId="12342"/>
    <cellStyle name="40% - akcent 2 18 3 3" xfId="18946"/>
    <cellStyle name="40% - akcent 2 18 3 4" xfId="25537"/>
    <cellStyle name="40% - akcent 2 18 4" xfId="9052"/>
    <cellStyle name="40% - akcent 2 18 5" xfId="15658"/>
    <cellStyle name="40% - akcent 2 18 6" xfId="22249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3" xfId="9054"/>
    <cellStyle name="40% - akcent 2 180 4" xfId="15660"/>
    <cellStyle name="40% - akcent 2 180 5" xfId="22251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3" xfId="9055"/>
    <cellStyle name="40% - akcent 2 181 4" xfId="15661"/>
    <cellStyle name="40% - akcent 2 181 5" xfId="22252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3" xfId="9056"/>
    <cellStyle name="40% - akcent 2 182 4" xfId="15662"/>
    <cellStyle name="40% - akcent 2 182 5" xfId="22253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3" xfId="9057"/>
    <cellStyle name="40% - akcent 2 183 4" xfId="15663"/>
    <cellStyle name="40% - akcent 2 183 5" xfId="22254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3" xfId="9058"/>
    <cellStyle name="40% - akcent 2 184 4" xfId="15664"/>
    <cellStyle name="40% - akcent 2 184 5" xfId="22255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3" xfId="9059"/>
    <cellStyle name="40% - akcent 2 185 4" xfId="15665"/>
    <cellStyle name="40% - akcent 2 185 5" xfId="22256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3" xfId="9060"/>
    <cellStyle name="40% - akcent 2 186 4" xfId="15666"/>
    <cellStyle name="40% - akcent 2 186 5" xfId="22257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3" xfId="9061"/>
    <cellStyle name="40% - akcent 2 187 4" xfId="15667"/>
    <cellStyle name="40% - akcent 2 187 5" xfId="22258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3" xfId="9062"/>
    <cellStyle name="40% - akcent 2 188 4" xfId="15668"/>
    <cellStyle name="40% - akcent 2 188 5" xfId="22259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3" xfId="9063"/>
    <cellStyle name="40% - akcent 2 189 4" xfId="15669"/>
    <cellStyle name="40% - akcent 2 189 5" xfId="22260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3" xfId="9065"/>
    <cellStyle name="40% - akcent 2 19 2 4" xfId="15671"/>
    <cellStyle name="40% - akcent 2 19 2 5" xfId="22262"/>
    <cellStyle name="40% - akcent 2 19 3" xfId="5719"/>
    <cellStyle name="40% - akcent 2 19 3 2" xfId="12354"/>
    <cellStyle name="40% - akcent 2 19 3 3" xfId="18958"/>
    <cellStyle name="40% - akcent 2 19 3 4" xfId="25549"/>
    <cellStyle name="40% - akcent 2 19 4" xfId="9064"/>
    <cellStyle name="40% - akcent 2 19 5" xfId="15670"/>
    <cellStyle name="40% - akcent 2 19 6" xfId="22261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3" xfId="9066"/>
    <cellStyle name="40% - akcent 2 190 4" xfId="15672"/>
    <cellStyle name="40% - akcent 2 190 5" xfId="22263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3" xfId="9067"/>
    <cellStyle name="40% - akcent 2 191 4" xfId="15673"/>
    <cellStyle name="40% - akcent 2 191 5" xfId="22264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3" xfId="9068"/>
    <cellStyle name="40% - akcent 2 192 4" xfId="15674"/>
    <cellStyle name="40% - akcent 2 192 5" xfId="22265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3" xfId="9069"/>
    <cellStyle name="40% - akcent 2 193 4" xfId="15675"/>
    <cellStyle name="40% - akcent 2 193 5" xfId="22266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3" xfId="9070"/>
    <cellStyle name="40% - akcent 2 194 4" xfId="15676"/>
    <cellStyle name="40% - akcent 2 194 5" xfId="22267"/>
    <cellStyle name="40% - akcent 2 195" xfId="3840"/>
    <cellStyle name="40% - akcent 2 195 2" xfId="10475"/>
    <cellStyle name="40% - akcent 2 195 3" xfId="17079"/>
    <cellStyle name="40% - akcent 2 195 4" xfId="23670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3" xfId="9072"/>
    <cellStyle name="40% - akcent 2 2 2 4" xfId="15678"/>
    <cellStyle name="40% - akcent 2 2 2 5" xfId="22269"/>
    <cellStyle name="40% - akcent 2 2 3" xfId="5726"/>
    <cellStyle name="40% - akcent 2 2 3 2" xfId="12361"/>
    <cellStyle name="40% - akcent 2 2 3 3" xfId="18965"/>
    <cellStyle name="40% - akcent 2 2 3 4" xfId="25556"/>
    <cellStyle name="40% - akcent 2 2 4" xfId="9071"/>
    <cellStyle name="40% - akcent 2 2 5" xfId="15677"/>
    <cellStyle name="40% - akcent 2 2 6" xfId="22268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3" xfId="9074"/>
    <cellStyle name="40% - akcent 2 20 2 4" xfId="15680"/>
    <cellStyle name="40% - akcent 2 20 2 5" xfId="22271"/>
    <cellStyle name="40% - akcent 2 20 3" xfId="5728"/>
    <cellStyle name="40% - akcent 2 20 3 2" xfId="12363"/>
    <cellStyle name="40% - akcent 2 20 3 3" xfId="18967"/>
    <cellStyle name="40% - akcent 2 20 3 4" xfId="25558"/>
    <cellStyle name="40% - akcent 2 20 4" xfId="9073"/>
    <cellStyle name="40% - akcent 2 20 5" xfId="15679"/>
    <cellStyle name="40% - akcent 2 20 6" xfId="22270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3" xfId="9076"/>
    <cellStyle name="40% - akcent 2 21 2 4" xfId="15682"/>
    <cellStyle name="40% - akcent 2 21 2 5" xfId="22273"/>
    <cellStyle name="40% - akcent 2 21 3" xfId="5730"/>
    <cellStyle name="40% - akcent 2 21 3 2" xfId="12365"/>
    <cellStyle name="40% - akcent 2 21 3 3" xfId="18969"/>
    <cellStyle name="40% - akcent 2 21 3 4" xfId="25560"/>
    <cellStyle name="40% - akcent 2 21 4" xfId="9075"/>
    <cellStyle name="40% - akcent 2 21 5" xfId="15681"/>
    <cellStyle name="40% - akcent 2 21 6" xfId="22272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3" xfId="9078"/>
    <cellStyle name="40% - akcent 2 22 2 4" xfId="15684"/>
    <cellStyle name="40% - akcent 2 22 2 5" xfId="22275"/>
    <cellStyle name="40% - akcent 2 22 3" xfId="5732"/>
    <cellStyle name="40% - akcent 2 22 3 2" xfId="12367"/>
    <cellStyle name="40% - akcent 2 22 3 3" xfId="18971"/>
    <cellStyle name="40% - akcent 2 22 3 4" xfId="25562"/>
    <cellStyle name="40% - akcent 2 22 4" xfId="9077"/>
    <cellStyle name="40% - akcent 2 22 5" xfId="15683"/>
    <cellStyle name="40% - akcent 2 22 6" xfId="22274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3" xfId="9080"/>
    <cellStyle name="40% - akcent 2 23 2 4" xfId="15686"/>
    <cellStyle name="40% - akcent 2 23 2 5" xfId="22277"/>
    <cellStyle name="40% - akcent 2 23 3" xfId="5734"/>
    <cellStyle name="40% - akcent 2 23 3 2" xfId="12369"/>
    <cellStyle name="40% - akcent 2 23 3 3" xfId="18973"/>
    <cellStyle name="40% - akcent 2 23 3 4" xfId="25564"/>
    <cellStyle name="40% - akcent 2 23 4" xfId="9079"/>
    <cellStyle name="40% - akcent 2 23 5" xfId="15685"/>
    <cellStyle name="40% - akcent 2 23 6" xfId="22276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3" xfId="9082"/>
    <cellStyle name="40% - akcent 2 24 2 4" xfId="15688"/>
    <cellStyle name="40% - akcent 2 24 2 5" xfId="22279"/>
    <cellStyle name="40% - akcent 2 24 3" xfId="5736"/>
    <cellStyle name="40% - akcent 2 24 3 2" xfId="12371"/>
    <cellStyle name="40% - akcent 2 24 3 3" xfId="18975"/>
    <cellStyle name="40% - akcent 2 24 3 4" xfId="25566"/>
    <cellStyle name="40% - akcent 2 24 4" xfId="9081"/>
    <cellStyle name="40% - akcent 2 24 5" xfId="15687"/>
    <cellStyle name="40% - akcent 2 24 6" xfId="22278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3" xfId="9084"/>
    <cellStyle name="40% - akcent 2 25 2 4" xfId="15690"/>
    <cellStyle name="40% - akcent 2 25 2 5" xfId="22281"/>
    <cellStyle name="40% - akcent 2 25 3" xfId="5738"/>
    <cellStyle name="40% - akcent 2 25 3 2" xfId="12373"/>
    <cellStyle name="40% - akcent 2 25 3 3" xfId="18977"/>
    <cellStyle name="40% - akcent 2 25 3 4" xfId="25568"/>
    <cellStyle name="40% - akcent 2 25 4" xfId="9083"/>
    <cellStyle name="40% - akcent 2 25 5" xfId="15689"/>
    <cellStyle name="40% - akcent 2 25 6" xfId="22280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3" xfId="9086"/>
    <cellStyle name="40% - akcent 2 26 2 4" xfId="15692"/>
    <cellStyle name="40% - akcent 2 26 2 5" xfId="22283"/>
    <cellStyle name="40% - akcent 2 26 3" xfId="5740"/>
    <cellStyle name="40% - akcent 2 26 3 2" xfId="12375"/>
    <cellStyle name="40% - akcent 2 26 3 3" xfId="18979"/>
    <cellStyle name="40% - akcent 2 26 3 4" xfId="25570"/>
    <cellStyle name="40% - akcent 2 26 4" xfId="9085"/>
    <cellStyle name="40% - akcent 2 26 5" xfId="15691"/>
    <cellStyle name="40% - akcent 2 26 6" xfId="22282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3" xfId="9088"/>
    <cellStyle name="40% - akcent 2 27 2 4" xfId="15694"/>
    <cellStyle name="40% - akcent 2 27 2 5" xfId="22285"/>
    <cellStyle name="40% - akcent 2 27 3" xfId="5742"/>
    <cellStyle name="40% - akcent 2 27 3 2" xfId="12377"/>
    <cellStyle name="40% - akcent 2 27 3 3" xfId="18981"/>
    <cellStyle name="40% - akcent 2 27 3 4" xfId="25572"/>
    <cellStyle name="40% - akcent 2 27 4" xfId="9087"/>
    <cellStyle name="40% - akcent 2 27 5" xfId="15693"/>
    <cellStyle name="40% - akcent 2 27 6" xfId="22284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3" xfId="9090"/>
    <cellStyle name="40% - akcent 2 28 2 4" xfId="15696"/>
    <cellStyle name="40% - akcent 2 28 2 5" xfId="22287"/>
    <cellStyle name="40% - akcent 2 28 3" xfId="5744"/>
    <cellStyle name="40% - akcent 2 28 3 2" xfId="12379"/>
    <cellStyle name="40% - akcent 2 28 3 3" xfId="18983"/>
    <cellStyle name="40% - akcent 2 28 3 4" xfId="25574"/>
    <cellStyle name="40% - akcent 2 28 4" xfId="9089"/>
    <cellStyle name="40% - akcent 2 28 5" xfId="15695"/>
    <cellStyle name="40% - akcent 2 28 6" xfId="22286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3" xfId="9092"/>
    <cellStyle name="40% - akcent 2 29 2 4" xfId="15698"/>
    <cellStyle name="40% - akcent 2 29 2 5" xfId="22289"/>
    <cellStyle name="40% - akcent 2 29 3" xfId="5746"/>
    <cellStyle name="40% - akcent 2 29 3 2" xfId="12381"/>
    <cellStyle name="40% - akcent 2 29 3 3" xfId="18985"/>
    <cellStyle name="40% - akcent 2 29 3 4" xfId="25576"/>
    <cellStyle name="40% - akcent 2 29 4" xfId="9091"/>
    <cellStyle name="40% - akcent 2 29 5" xfId="15697"/>
    <cellStyle name="40% - akcent 2 29 6" xfId="22288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3" xfId="9094"/>
    <cellStyle name="40% - akcent 2 3 2 4" xfId="15700"/>
    <cellStyle name="40% - akcent 2 3 2 5" xfId="22291"/>
    <cellStyle name="40% - akcent 2 3 3" xfId="5748"/>
    <cellStyle name="40% - akcent 2 3 3 2" xfId="12383"/>
    <cellStyle name="40% - akcent 2 3 3 3" xfId="18987"/>
    <cellStyle name="40% - akcent 2 3 3 4" xfId="25578"/>
    <cellStyle name="40% - akcent 2 3 4" xfId="9093"/>
    <cellStyle name="40% - akcent 2 3 5" xfId="15699"/>
    <cellStyle name="40% - akcent 2 3 6" xfId="22290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3" xfId="9096"/>
    <cellStyle name="40% - akcent 2 30 2 4" xfId="15702"/>
    <cellStyle name="40% - akcent 2 30 2 5" xfId="22293"/>
    <cellStyle name="40% - akcent 2 30 3" xfId="5750"/>
    <cellStyle name="40% - akcent 2 30 3 2" xfId="12385"/>
    <cellStyle name="40% - akcent 2 30 3 3" xfId="18989"/>
    <cellStyle name="40% - akcent 2 30 3 4" xfId="25580"/>
    <cellStyle name="40% - akcent 2 30 4" xfId="9095"/>
    <cellStyle name="40% - akcent 2 30 5" xfId="15701"/>
    <cellStyle name="40% - akcent 2 30 6" xfId="22292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3" xfId="9098"/>
    <cellStyle name="40% - akcent 2 31 2 4" xfId="15704"/>
    <cellStyle name="40% - akcent 2 31 2 5" xfId="22295"/>
    <cellStyle name="40% - akcent 2 31 3" xfId="5752"/>
    <cellStyle name="40% - akcent 2 31 3 2" xfId="12387"/>
    <cellStyle name="40% - akcent 2 31 3 3" xfId="18991"/>
    <cellStyle name="40% - akcent 2 31 3 4" xfId="25582"/>
    <cellStyle name="40% - akcent 2 31 4" xfId="9097"/>
    <cellStyle name="40% - akcent 2 31 5" xfId="15703"/>
    <cellStyle name="40% - akcent 2 31 6" xfId="22294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3" xfId="9100"/>
    <cellStyle name="40% - akcent 2 32 2 4" xfId="15706"/>
    <cellStyle name="40% - akcent 2 32 2 5" xfId="22297"/>
    <cellStyle name="40% - akcent 2 32 3" xfId="5754"/>
    <cellStyle name="40% - akcent 2 32 3 2" xfId="12389"/>
    <cellStyle name="40% - akcent 2 32 3 3" xfId="18993"/>
    <cellStyle name="40% - akcent 2 32 3 4" xfId="25584"/>
    <cellStyle name="40% - akcent 2 32 4" xfId="9099"/>
    <cellStyle name="40% - akcent 2 32 5" xfId="15705"/>
    <cellStyle name="40% - akcent 2 32 6" xfId="22296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3" xfId="9102"/>
    <cellStyle name="40% - akcent 2 33 2 4" xfId="15708"/>
    <cellStyle name="40% - akcent 2 33 2 5" xfId="22299"/>
    <cellStyle name="40% - akcent 2 33 3" xfId="5756"/>
    <cellStyle name="40% - akcent 2 33 3 2" xfId="12391"/>
    <cellStyle name="40% - akcent 2 33 3 3" xfId="18995"/>
    <cellStyle name="40% - akcent 2 33 3 4" xfId="25586"/>
    <cellStyle name="40% - akcent 2 33 4" xfId="9101"/>
    <cellStyle name="40% - akcent 2 33 5" xfId="15707"/>
    <cellStyle name="40% - akcent 2 33 6" xfId="22298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3" xfId="9104"/>
    <cellStyle name="40% - akcent 2 34 2 4" xfId="15710"/>
    <cellStyle name="40% - akcent 2 34 2 5" xfId="22301"/>
    <cellStyle name="40% - akcent 2 34 3" xfId="5758"/>
    <cellStyle name="40% - akcent 2 34 3 2" xfId="12393"/>
    <cellStyle name="40% - akcent 2 34 3 3" xfId="18997"/>
    <cellStyle name="40% - akcent 2 34 3 4" xfId="25588"/>
    <cellStyle name="40% - akcent 2 34 4" xfId="9103"/>
    <cellStyle name="40% - akcent 2 34 5" xfId="15709"/>
    <cellStyle name="40% - akcent 2 34 6" xfId="22300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3" xfId="9106"/>
    <cellStyle name="40% - akcent 2 35 2 4" xfId="15712"/>
    <cellStyle name="40% - akcent 2 35 2 5" xfId="22303"/>
    <cellStyle name="40% - akcent 2 35 3" xfId="5760"/>
    <cellStyle name="40% - akcent 2 35 3 2" xfId="12395"/>
    <cellStyle name="40% - akcent 2 35 3 3" xfId="18999"/>
    <cellStyle name="40% - akcent 2 35 3 4" xfId="25590"/>
    <cellStyle name="40% - akcent 2 35 4" xfId="9105"/>
    <cellStyle name="40% - akcent 2 35 5" xfId="15711"/>
    <cellStyle name="40% - akcent 2 35 6" xfId="22302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3" xfId="9108"/>
    <cellStyle name="40% - akcent 2 36 2 4" xfId="15714"/>
    <cellStyle name="40% - akcent 2 36 2 5" xfId="22305"/>
    <cellStyle name="40% - akcent 2 36 3" xfId="5762"/>
    <cellStyle name="40% - akcent 2 36 3 2" xfId="12397"/>
    <cellStyle name="40% - akcent 2 36 3 3" xfId="19001"/>
    <cellStyle name="40% - akcent 2 36 3 4" xfId="25592"/>
    <cellStyle name="40% - akcent 2 36 4" xfId="9107"/>
    <cellStyle name="40% - akcent 2 36 5" xfId="15713"/>
    <cellStyle name="40% - akcent 2 36 6" xfId="22304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3" xfId="9110"/>
    <cellStyle name="40% - akcent 2 37 2 4" xfId="15716"/>
    <cellStyle name="40% - akcent 2 37 2 5" xfId="22307"/>
    <cellStyle name="40% - akcent 2 37 3" xfId="5764"/>
    <cellStyle name="40% - akcent 2 37 3 2" xfId="12399"/>
    <cellStyle name="40% - akcent 2 37 3 3" xfId="19003"/>
    <cellStyle name="40% - akcent 2 37 3 4" xfId="25594"/>
    <cellStyle name="40% - akcent 2 37 4" xfId="9109"/>
    <cellStyle name="40% - akcent 2 37 5" xfId="15715"/>
    <cellStyle name="40% - akcent 2 37 6" xfId="22306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3" xfId="9112"/>
    <cellStyle name="40% - akcent 2 38 2 4" xfId="15718"/>
    <cellStyle name="40% - akcent 2 38 2 5" xfId="22309"/>
    <cellStyle name="40% - akcent 2 38 3" xfId="5766"/>
    <cellStyle name="40% - akcent 2 38 3 2" xfId="12401"/>
    <cellStyle name="40% - akcent 2 38 3 3" xfId="19005"/>
    <cellStyle name="40% - akcent 2 38 3 4" xfId="25596"/>
    <cellStyle name="40% - akcent 2 38 4" xfId="9111"/>
    <cellStyle name="40% - akcent 2 38 5" xfId="15717"/>
    <cellStyle name="40% - akcent 2 38 6" xfId="22308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3" xfId="9114"/>
    <cellStyle name="40% - akcent 2 39 2 4" xfId="15720"/>
    <cellStyle name="40% - akcent 2 39 2 5" xfId="22311"/>
    <cellStyle name="40% - akcent 2 39 3" xfId="5768"/>
    <cellStyle name="40% - akcent 2 39 3 2" xfId="12403"/>
    <cellStyle name="40% - akcent 2 39 3 3" xfId="19007"/>
    <cellStyle name="40% - akcent 2 39 3 4" xfId="25598"/>
    <cellStyle name="40% - akcent 2 39 4" xfId="9113"/>
    <cellStyle name="40% - akcent 2 39 5" xfId="15719"/>
    <cellStyle name="40% - akcent 2 39 6" xfId="22310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3" xfId="9116"/>
    <cellStyle name="40% - akcent 2 4 2 4" xfId="15722"/>
    <cellStyle name="40% - akcent 2 4 2 5" xfId="22313"/>
    <cellStyle name="40% - akcent 2 4 3" xfId="5770"/>
    <cellStyle name="40% - akcent 2 4 3 2" xfId="12405"/>
    <cellStyle name="40% - akcent 2 4 3 3" xfId="19009"/>
    <cellStyle name="40% - akcent 2 4 3 4" xfId="25600"/>
    <cellStyle name="40% - akcent 2 4 4" xfId="9115"/>
    <cellStyle name="40% - akcent 2 4 5" xfId="15721"/>
    <cellStyle name="40% - akcent 2 4 6" xfId="22312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3" xfId="9118"/>
    <cellStyle name="40% - akcent 2 40 2 4" xfId="15724"/>
    <cellStyle name="40% - akcent 2 40 2 5" xfId="22315"/>
    <cellStyle name="40% - akcent 2 40 3" xfId="5772"/>
    <cellStyle name="40% - akcent 2 40 3 2" xfId="12407"/>
    <cellStyle name="40% - akcent 2 40 3 3" xfId="19011"/>
    <cellStyle name="40% - akcent 2 40 3 4" xfId="25602"/>
    <cellStyle name="40% - akcent 2 40 4" xfId="9117"/>
    <cellStyle name="40% - akcent 2 40 5" xfId="15723"/>
    <cellStyle name="40% - akcent 2 40 6" xfId="22314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3" xfId="9120"/>
    <cellStyle name="40% - akcent 2 41 2 4" xfId="15726"/>
    <cellStyle name="40% - akcent 2 41 2 5" xfId="22317"/>
    <cellStyle name="40% - akcent 2 41 3" xfId="5774"/>
    <cellStyle name="40% - akcent 2 41 3 2" xfId="12409"/>
    <cellStyle name="40% - akcent 2 41 3 3" xfId="19013"/>
    <cellStyle name="40% - akcent 2 41 3 4" xfId="25604"/>
    <cellStyle name="40% - akcent 2 41 4" xfId="9119"/>
    <cellStyle name="40% - akcent 2 41 5" xfId="15725"/>
    <cellStyle name="40% - akcent 2 41 6" xfId="22316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3" xfId="9122"/>
    <cellStyle name="40% - akcent 2 42 2 4" xfId="15728"/>
    <cellStyle name="40% - akcent 2 42 2 5" xfId="22319"/>
    <cellStyle name="40% - akcent 2 42 3" xfId="5776"/>
    <cellStyle name="40% - akcent 2 42 3 2" xfId="12411"/>
    <cellStyle name="40% - akcent 2 42 3 3" xfId="19015"/>
    <cellStyle name="40% - akcent 2 42 3 4" xfId="25606"/>
    <cellStyle name="40% - akcent 2 42 4" xfId="9121"/>
    <cellStyle name="40% - akcent 2 42 5" xfId="15727"/>
    <cellStyle name="40% - akcent 2 42 6" xfId="22318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3" xfId="9124"/>
    <cellStyle name="40% - akcent 2 43 2 4" xfId="15730"/>
    <cellStyle name="40% - akcent 2 43 2 5" xfId="22321"/>
    <cellStyle name="40% - akcent 2 43 3" xfId="5778"/>
    <cellStyle name="40% - akcent 2 43 3 2" xfId="12413"/>
    <cellStyle name="40% - akcent 2 43 3 3" xfId="19017"/>
    <cellStyle name="40% - akcent 2 43 3 4" xfId="25608"/>
    <cellStyle name="40% - akcent 2 43 4" xfId="9123"/>
    <cellStyle name="40% - akcent 2 43 5" xfId="15729"/>
    <cellStyle name="40% - akcent 2 43 6" xfId="22320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3" xfId="9126"/>
    <cellStyle name="40% - akcent 2 44 2 4" xfId="15732"/>
    <cellStyle name="40% - akcent 2 44 2 5" xfId="22323"/>
    <cellStyle name="40% - akcent 2 44 3" xfId="5780"/>
    <cellStyle name="40% - akcent 2 44 3 2" xfId="12415"/>
    <cellStyle name="40% - akcent 2 44 3 3" xfId="19019"/>
    <cellStyle name="40% - akcent 2 44 3 4" xfId="25610"/>
    <cellStyle name="40% - akcent 2 44 4" xfId="9125"/>
    <cellStyle name="40% - akcent 2 44 5" xfId="15731"/>
    <cellStyle name="40% - akcent 2 44 6" xfId="22322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3" xfId="9128"/>
    <cellStyle name="40% - akcent 2 45 2 4" xfId="15734"/>
    <cellStyle name="40% - akcent 2 45 2 5" xfId="22325"/>
    <cellStyle name="40% - akcent 2 45 3" xfId="5782"/>
    <cellStyle name="40% - akcent 2 45 3 2" xfId="12417"/>
    <cellStyle name="40% - akcent 2 45 3 3" xfId="19021"/>
    <cellStyle name="40% - akcent 2 45 3 4" xfId="25612"/>
    <cellStyle name="40% - akcent 2 45 4" xfId="9127"/>
    <cellStyle name="40% - akcent 2 45 5" xfId="15733"/>
    <cellStyle name="40% - akcent 2 45 6" xfId="22324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3" xfId="9130"/>
    <cellStyle name="40% - akcent 2 46 2 4" xfId="15736"/>
    <cellStyle name="40% - akcent 2 46 2 5" xfId="22327"/>
    <cellStyle name="40% - akcent 2 46 3" xfId="5784"/>
    <cellStyle name="40% - akcent 2 46 3 2" xfId="12419"/>
    <cellStyle name="40% - akcent 2 46 3 3" xfId="19023"/>
    <cellStyle name="40% - akcent 2 46 3 4" xfId="25614"/>
    <cellStyle name="40% - akcent 2 46 4" xfId="9129"/>
    <cellStyle name="40% - akcent 2 46 5" xfId="15735"/>
    <cellStyle name="40% - akcent 2 46 6" xfId="22326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3" xfId="9132"/>
    <cellStyle name="40% - akcent 2 47 2 4" xfId="15738"/>
    <cellStyle name="40% - akcent 2 47 2 5" xfId="22329"/>
    <cellStyle name="40% - akcent 2 47 3" xfId="5786"/>
    <cellStyle name="40% - akcent 2 47 3 2" xfId="12421"/>
    <cellStyle name="40% - akcent 2 47 3 3" xfId="19025"/>
    <cellStyle name="40% - akcent 2 47 3 4" xfId="25616"/>
    <cellStyle name="40% - akcent 2 47 4" xfId="9131"/>
    <cellStyle name="40% - akcent 2 47 5" xfId="15737"/>
    <cellStyle name="40% - akcent 2 47 6" xfId="22328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3" xfId="9134"/>
    <cellStyle name="40% - akcent 2 48 2 4" xfId="15740"/>
    <cellStyle name="40% - akcent 2 48 2 5" xfId="22331"/>
    <cellStyle name="40% - akcent 2 48 3" xfId="5788"/>
    <cellStyle name="40% - akcent 2 48 3 2" xfId="12423"/>
    <cellStyle name="40% - akcent 2 48 3 3" xfId="19027"/>
    <cellStyle name="40% - akcent 2 48 3 4" xfId="25618"/>
    <cellStyle name="40% - akcent 2 48 4" xfId="9133"/>
    <cellStyle name="40% - akcent 2 48 5" xfId="15739"/>
    <cellStyle name="40% - akcent 2 48 6" xfId="22330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3" xfId="9136"/>
    <cellStyle name="40% - akcent 2 49 2 4" xfId="15742"/>
    <cellStyle name="40% - akcent 2 49 2 5" xfId="22333"/>
    <cellStyle name="40% - akcent 2 49 3" xfId="5790"/>
    <cellStyle name="40% - akcent 2 49 3 2" xfId="12425"/>
    <cellStyle name="40% - akcent 2 49 3 3" xfId="19029"/>
    <cellStyle name="40% - akcent 2 49 3 4" xfId="25620"/>
    <cellStyle name="40% - akcent 2 49 4" xfId="9135"/>
    <cellStyle name="40% - akcent 2 49 5" xfId="15741"/>
    <cellStyle name="40% - akcent 2 49 6" xfId="22332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3" xfId="9138"/>
    <cellStyle name="40% - akcent 2 5 2 4" xfId="15744"/>
    <cellStyle name="40% - akcent 2 5 2 5" xfId="22335"/>
    <cellStyle name="40% - akcent 2 5 3" xfId="5792"/>
    <cellStyle name="40% - akcent 2 5 3 2" xfId="12427"/>
    <cellStyle name="40% - akcent 2 5 3 3" xfId="19031"/>
    <cellStyle name="40% - akcent 2 5 3 4" xfId="25622"/>
    <cellStyle name="40% - akcent 2 5 4" xfId="9137"/>
    <cellStyle name="40% - akcent 2 5 5" xfId="15743"/>
    <cellStyle name="40% - akcent 2 5 6" xfId="22334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3" xfId="9140"/>
    <cellStyle name="40% - akcent 2 50 2 4" xfId="15746"/>
    <cellStyle name="40% - akcent 2 50 2 5" xfId="22337"/>
    <cellStyle name="40% - akcent 2 50 3" xfId="5794"/>
    <cellStyle name="40% - akcent 2 50 3 2" xfId="12429"/>
    <cellStyle name="40% - akcent 2 50 3 3" xfId="19033"/>
    <cellStyle name="40% - akcent 2 50 3 4" xfId="25624"/>
    <cellStyle name="40% - akcent 2 50 4" xfId="9139"/>
    <cellStyle name="40% - akcent 2 50 5" xfId="15745"/>
    <cellStyle name="40% - akcent 2 50 6" xfId="22336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3" xfId="9142"/>
    <cellStyle name="40% - akcent 2 51 2 4" xfId="15748"/>
    <cellStyle name="40% - akcent 2 51 2 5" xfId="22339"/>
    <cellStyle name="40% - akcent 2 51 3" xfId="5796"/>
    <cellStyle name="40% - akcent 2 51 3 2" xfId="12431"/>
    <cellStyle name="40% - akcent 2 51 3 3" xfId="19035"/>
    <cellStyle name="40% - akcent 2 51 3 4" xfId="25626"/>
    <cellStyle name="40% - akcent 2 51 4" xfId="9141"/>
    <cellStyle name="40% - akcent 2 51 5" xfId="15747"/>
    <cellStyle name="40% - akcent 2 51 6" xfId="22338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3" xfId="9144"/>
    <cellStyle name="40% - akcent 2 52 2 4" xfId="15750"/>
    <cellStyle name="40% - akcent 2 52 2 5" xfId="22341"/>
    <cellStyle name="40% - akcent 2 52 3" xfId="5798"/>
    <cellStyle name="40% - akcent 2 52 3 2" xfId="12433"/>
    <cellStyle name="40% - akcent 2 52 3 3" xfId="19037"/>
    <cellStyle name="40% - akcent 2 52 3 4" xfId="25628"/>
    <cellStyle name="40% - akcent 2 52 4" xfId="9143"/>
    <cellStyle name="40% - akcent 2 52 5" xfId="15749"/>
    <cellStyle name="40% - akcent 2 52 6" xfId="22340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3" xfId="9146"/>
    <cellStyle name="40% - akcent 2 53 2 4" xfId="15752"/>
    <cellStyle name="40% - akcent 2 53 2 5" xfId="22343"/>
    <cellStyle name="40% - akcent 2 53 3" xfId="5800"/>
    <cellStyle name="40% - akcent 2 53 3 2" xfId="12435"/>
    <cellStyle name="40% - akcent 2 53 3 3" xfId="19039"/>
    <cellStyle name="40% - akcent 2 53 3 4" xfId="25630"/>
    <cellStyle name="40% - akcent 2 53 4" xfId="9145"/>
    <cellStyle name="40% - akcent 2 53 5" xfId="15751"/>
    <cellStyle name="40% - akcent 2 53 6" xfId="22342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3" xfId="9148"/>
    <cellStyle name="40% - akcent 2 54 2 4" xfId="15754"/>
    <cellStyle name="40% - akcent 2 54 2 5" xfId="22345"/>
    <cellStyle name="40% - akcent 2 54 3" xfId="5802"/>
    <cellStyle name="40% - akcent 2 54 3 2" xfId="12437"/>
    <cellStyle name="40% - akcent 2 54 3 3" xfId="19041"/>
    <cellStyle name="40% - akcent 2 54 3 4" xfId="25632"/>
    <cellStyle name="40% - akcent 2 54 4" xfId="9147"/>
    <cellStyle name="40% - akcent 2 54 5" xfId="15753"/>
    <cellStyle name="40% - akcent 2 54 6" xfId="22344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3" xfId="9150"/>
    <cellStyle name="40% - akcent 2 55 2 4" xfId="15756"/>
    <cellStyle name="40% - akcent 2 55 2 5" xfId="22347"/>
    <cellStyle name="40% - akcent 2 55 3" xfId="5804"/>
    <cellStyle name="40% - akcent 2 55 3 2" xfId="12439"/>
    <cellStyle name="40% - akcent 2 55 3 3" xfId="19043"/>
    <cellStyle name="40% - akcent 2 55 3 4" xfId="25634"/>
    <cellStyle name="40% - akcent 2 55 4" xfId="9149"/>
    <cellStyle name="40% - akcent 2 55 5" xfId="15755"/>
    <cellStyle name="40% - akcent 2 55 6" xfId="22346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3" xfId="9152"/>
    <cellStyle name="40% - akcent 2 56 2 4" xfId="15758"/>
    <cellStyle name="40% - akcent 2 56 2 5" xfId="22349"/>
    <cellStyle name="40% - akcent 2 56 3" xfId="5806"/>
    <cellStyle name="40% - akcent 2 56 3 2" xfId="12441"/>
    <cellStyle name="40% - akcent 2 56 3 3" xfId="19045"/>
    <cellStyle name="40% - akcent 2 56 3 4" xfId="25636"/>
    <cellStyle name="40% - akcent 2 56 4" xfId="9151"/>
    <cellStyle name="40% - akcent 2 56 5" xfId="15757"/>
    <cellStyle name="40% - akcent 2 56 6" xfId="22348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3" xfId="9154"/>
    <cellStyle name="40% - akcent 2 57 2 4" xfId="15760"/>
    <cellStyle name="40% - akcent 2 57 2 5" xfId="22351"/>
    <cellStyle name="40% - akcent 2 57 3" xfId="5808"/>
    <cellStyle name="40% - akcent 2 57 3 2" xfId="12443"/>
    <cellStyle name="40% - akcent 2 57 3 3" xfId="19047"/>
    <cellStyle name="40% - akcent 2 57 3 4" xfId="25638"/>
    <cellStyle name="40% - akcent 2 57 4" xfId="9153"/>
    <cellStyle name="40% - akcent 2 57 5" xfId="15759"/>
    <cellStyle name="40% - akcent 2 57 6" xfId="22350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3" xfId="9156"/>
    <cellStyle name="40% - akcent 2 58 2 4" xfId="15762"/>
    <cellStyle name="40% - akcent 2 58 2 5" xfId="22353"/>
    <cellStyle name="40% - akcent 2 58 3" xfId="5810"/>
    <cellStyle name="40% - akcent 2 58 3 2" xfId="12445"/>
    <cellStyle name="40% - akcent 2 58 3 3" xfId="19049"/>
    <cellStyle name="40% - akcent 2 58 3 4" xfId="25640"/>
    <cellStyle name="40% - akcent 2 58 4" xfId="9155"/>
    <cellStyle name="40% - akcent 2 58 5" xfId="15761"/>
    <cellStyle name="40% - akcent 2 58 6" xfId="22352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3" xfId="9158"/>
    <cellStyle name="40% - akcent 2 59 2 4" xfId="15764"/>
    <cellStyle name="40% - akcent 2 59 2 5" xfId="22355"/>
    <cellStyle name="40% - akcent 2 59 3" xfId="5812"/>
    <cellStyle name="40% - akcent 2 59 3 2" xfId="12447"/>
    <cellStyle name="40% - akcent 2 59 3 3" xfId="19051"/>
    <cellStyle name="40% - akcent 2 59 3 4" xfId="25642"/>
    <cellStyle name="40% - akcent 2 59 4" xfId="9157"/>
    <cellStyle name="40% - akcent 2 59 5" xfId="15763"/>
    <cellStyle name="40% - akcent 2 59 6" xfId="22354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3" xfId="9160"/>
    <cellStyle name="40% - akcent 2 6 2 4" xfId="15766"/>
    <cellStyle name="40% - akcent 2 6 2 5" xfId="22357"/>
    <cellStyle name="40% - akcent 2 6 3" xfId="5814"/>
    <cellStyle name="40% - akcent 2 6 3 2" xfId="12449"/>
    <cellStyle name="40% - akcent 2 6 3 3" xfId="19053"/>
    <cellStyle name="40% - akcent 2 6 3 4" xfId="25644"/>
    <cellStyle name="40% - akcent 2 6 4" xfId="9159"/>
    <cellStyle name="40% - akcent 2 6 5" xfId="15765"/>
    <cellStyle name="40% - akcent 2 6 6" xfId="22356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3" xfId="9161"/>
    <cellStyle name="40% - akcent 2 60 4" xfId="15767"/>
    <cellStyle name="40% - akcent 2 60 5" xfId="22358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3" xfId="9162"/>
    <cellStyle name="40% - akcent 2 61 4" xfId="15768"/>
    <cellStyle name="40% - akcent 2 61 5" xfId="22359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3" xfId="9163"/>
    <cellStyle name="40% - akcent 2 62 4" xfId="15769"/>
    <cellStyle name="40% - akcent 2 62 5" xfId="22360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3" xfId="9164"/>
    <cellStyle name="40% - akcent 2 63 4" xfId="15770"/>
    <cellStyle name="40% - akcent 2 63 5" xfId="22361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3" xfId="9165"/>
    <cellStyle name="40% - akcent 2 64 4" xfId="15771"/>
    <cellStyle name="40% - akcent 2 64 5" xfId="22362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3" xfId="9166"/>
    <cellStyle name="40% - akcent 2 65 4" xfId="15772"/>
    <cellStyle name="40% - akcent 2 65 5" xfId="22363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3" xfId="9167"/>
    <cellStyle name="40% - akcent 2 66 4" xfId="15773"/>
    <cellStyle name="40% - akcent 2 66 5" xfId="22364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3" xfId="9168"/>
    <cellStyle name="40% - akcent 2 67 4" xfId="15774"/>
    <cellStyle name="40% - akcent 2 67 5" xfId="22365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3" xfId="9169"/>
    <cellStyle name="40% - akcent 2 68 4" xfId="15775"/>
    <cellStyle name="40% - akcent 2 68 5" xfId="22366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3" xfId="9170"/>
    <cellStyle name="40% - akcent 2 69 4" xfId="15776"/>
    <cellStyle name="40% - akcent 2 69 5" xfId="22367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3" xfId="9172"/>
    <cellStyle name="40% - akcent 2 7 2 4" xfId="15778"/>
    <cellStyle name="40% - akcent 2 7 2 5" xfId="22369"/>
    <cellStyle name="40% - akcent 2 7 3" xfId="5826"/>
    <cellStyle name="40% - akcent 2 7 3 2" xfId="12461"/>
    <cellStyle name="40% - akcent 2 7 3 3" xfId="19065"/>
    <cellStyle name="40% - akcent 2 7 3 4" xfId="25656"/>
    <cellStyle name="40% - akcent 2 7 4" xfId="9171"/>
    <cellStyle name="40% - akcent 2 7 5" xfId="15777"/>
    <cellStyle name="40% - akcent 2 7 6" xfId="22368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3" xfId="9173"/>
    <cellStyle name="40% - akcent 2 70 4" xfId="15779"/>
    <cellStyle name="40% - akcent 2 70 5" xfId="22370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3" xfId="9174"/>
    <cellStyle name="40% - akcent 2 71 4" xfId="15780"/>
    <cellStyle name="40% - akcent 2 71 5" xfId="22371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3" xfId="9175"/>
    <cellStyle name="40% - akcent 2 72 4" xfId="15781"/>
    <cellStyle name="40% - akcent 2 72 5" xfId="22372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3" xfId="9176"/>
    <cellStyle name="40% - akcent 2 73 4" xfId="15782"/>
    <cellStyle name="40% - akcent 2 73 5" xfId="22373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3" xfId="9177"/>
    <cellStyle name="40% - akcent 2 74 4" xfId="15783"/>
    <cellStyle name="40% - akcent 2 74 5" xfId="22374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3" xfId="9178"/>
    <cellStyle name="40% - akcent 2 75 4" xfId="15784"/>
    <cellStyle name="40% - akcent 2 75 5" xfId="22375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3" xfId="9179"/>
    <cellStyle name="40% - akcent 2 76 4" xfId="15785"/>
    <cellStyle name="40% - akcent 2 76 5" xfId="22376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3" xfId="9180"/>
    <cellStyle name="40% - akcent 2 77 4" xfId="15786"/>
    <cellStyle name="40% - akcent 2 77 5" xfId="22377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3" xfId="9181"/>
    <cellStyle name="40% - akcent 2 78 4" xfId="15787"/>
    <cellStyle name="40% - akcent 2 78 5" xfId="22378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3" xfId="9182"/>
    <cellStyle name="40% - akcent 2 79 4" xfId="15788"/>
    <cellStyle name="40% - akcent 2 79 5" xfId="22379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3" xfId="9184"/>
    <cellStyle name="40% - akcent 2 8 2 4" xfId="15790"/>
    <cellStyle name="40% - akcent 2 8 2 5" xfId="22381"/>
    <cellStyle name="40% - akcent 2 8 3" xfId="5838"/>
    <cellStyle name="40% - akcent 2 8 3 2" xfId="12473"/>
    <cellStyle name="40% - akcent 2 8 3 3" xfId="19077"/>
    <cellStyle name="40% - akcent 2 8 3 4" xfId="25668"/>
    <cellStyle name="40% - akcent 2 8 4" xfId="9183"/>
    <cellStyle name="40% - akcent 2 8 5" xfId="15789"/>
    <cellStyle name="40% - akcent 2 8 6" xfId="22380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3" xfId="9185"/>
    <cellStyle name="40% - akcent 2 80 4" xfId="15791"/>
    <cellStyle name="40% - akcent 2 80 5" xfId="22382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3" xfId="9186"/>
    <cellStyle name="40% - akcent 2 81 4" xfId="15792"/>
    <cellStyle name="40% - akcent 2 81 5" xfId="22383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3" xfId="9187"/>
    <cellStyle name="40% - akcent 2 82 4" xfId="15793"/>
    <cellStyle name="40% - akcent 2 82 5" xfId="22384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3" xfId="9188"/>
    <cellStyle name="40% - akcent 2 83 4" xfId="15794"/>
    <cellStyle name="40% - akcent 2 83 5" xfId="22385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3" xfId="9189"/>
    <cellStyle name="40% - akcent 2 84 4" xfId="15795"/>
    <cellStyle name="40% - akcent 2 84 5" xfId="22386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3" xfId="9190"/>
    <cellStyle name="40% - akcent 2 85 4" xfId="15796"/>
    <cellStyle name="40% - akcent 2 85 5" xfId="22387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3" xfId="9191"/>
    <cellStyle name="40% - akcent 2 86 4" xfId="15797"/>
    <cellStyle name="40% - akcent 2 86 5" xfId="22388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3" xfId="9192"/>
    <cellStyle name="40% - akcent 2 87 4" xfId="15798"/>
    <cellStyle name="40% - akcent 2 87 5" xfId="22389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3" xfId="9193"/>
    <cellStyle name="40% - akcent 2 88 4" xfId="15799"/>
    <cellStyle name="40% - akcent 2 88 5" xfId="22390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3" xfId="9194"/>
    <cellStyle name="40% - akcent 2 89 4" xfId="15800"/>
    <cellStyle name="40% - akcent 2 89 5" xfId="22391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3" xfId="9196"/>
    <cellStyle name="40% - akcent 2 9 2 4" xfId="15802"/>
    <cellStyle name="40% - akcent 2 9 2 5" xfId="22393"/>
    <cellStyle name="40% - akcent 2 9 3" xfId="5850"/>
    <cellStyle name="40% - akcent 2 9 3 2" xfId="12485"/>
    <cellStyle name="40% - akcent 2 9 3 3" xfId="19089"/>
    <cellStyle name="40% - akcent 2 9 3 4" xfId="25680"/>
    <cellStyle name="40% - akcent 2 9 4" xfId="9195"/>
    <cellStyle name="40% - akcent 2 9 5" xfId="15801"/>
    <cellStyle name="40% - akcent 2 9 6" xfId="22392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3" xfId="9197"/>
    <cellStyle name="40% - akcent 2 90 4" xfId="15803"/>
    <cellStyle name="40% - akcent 2 90 5" xfId="22394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3" xfId="9198"/>
    <cellStyle name="40% - akcent 2 91 4" xfId="15804"/>
    <cellStyle name="40% - akcent 2 91 5" xfId="22395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3" xfId="9199"/>
    <cellStyle name="40% - akcent 2 92 4" xfId="15805"/>
    <cellStyle name="40% - akcent 2 92 5" xfId="22396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3" xfId="9200"/>
    <cellStyle name="40% - akcent 2 93 4" xfId="15806"/>
    <cellStyle name="40% - akcent 2 93 5" xfId="22397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3" xfId="9201"/>
    <cellStyle name="40% - akcent 2 94 4" xfId="15807"/>
    <cellStyle name="40% - akcent 2 94 5" xfId="22398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3" xfId="9202"/>
    <cellStyle name="40% - akcent 2 95 4" xfId="15808"/>
    <cellStyle name="40% - akcent 2 95 5" xfId="22399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3" xfId="9203"/>
    <cellStyle name="40% - akcent 2 96 4" xfId="15809"/>
    <cellStyle name="40% - akcent 2 96 5" xfId="22400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3" xfId="9204"/>
    <cellStyle name="40% - akcent 2 97 4" xfId="15810"/>
    <cellStyle name="40% - akcent 2 97 5" xfId="22401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3" xfId="9205"/>
    <cellStyle name="40% - akcent 2 98 4" xfId="15811"/>
    <cellStyle name="40% - akcent 2 98 5" xfId="22402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3" xfId="9206"/>
    <cellStyle name="40% - akcent 2 99 4" xfId="15812"/>
    <cellStyle name="40% - akcent 2 99 5" xfId="22403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3" xfId="9208"/>
    <cellStyle name="40% - akcent 3 10 2 4" xfId="15814"/>
    <cellStyle name="40% - akcent 3 10 2 5" xfId="22405"/>
    <cellStyle name="40% - akcent 3 10 3" xfId="5862"/>
    <cellStyle name="40% - akcent 3 10 3 2" xfId="12497"/>
    <cellStyle name="40% - akcent 3 10 3 3" xfId="19101"/>
    <cellStyle name="40% - akcent 3 10 3 4" xfId="25692"/>
    <cellStyle name="40% - akcent 3 10 4" xfId="9207"/>
    <cellStyle name="40% - akcent 3 10 5" xfId="15813"/>
    <cellStyle name="40% - akcent 3 10 6" xfId="22404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3" xfId="9209"/>
    <cellStyle name="40% - akcent 3 100 4" xfId="15815"/>
    <cellStyle name="40% - akcent 3 100 5" xfId="22406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3" xfId="9210"/>
    <cellStyle name="40% - akcent 3 101 4" xfId="15816"/>
    <cellStyle name="40% - akcent 3 101 5" xfId="22407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3" xfId="9211"/>
    <cellStyle name="40% - akcent 3 102 4" xfId="15817"/>
    <cellStyle name="40% - akcent 3 102 5" xfId="22408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3" xfId="9212"/>
    <cellStyle name="40% - akcent 3 103 4" xfId="15818"/>
    <cellStyle name="40% - akcent 3 103 5" xfId="22409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3" xfId="9213"/>
    <cellStyle name="40% - akcent 3 104 4" xfId="15819"/>
    <cellStyle name="40% - akcent 3 104 5" xfId="22410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3" xfId="9214"/>
    <cellStyle name="40% - akcent 3 105 4" xfId="15820"/>
    <cellStyle name="40% - akcent 3 105 5" xfId="22411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3" xfId="9215"/>
    <cellStyle name="40% - akcent 3 106 4" xfId="15821"/>
    <cellStyle name="40% - akcent 3 106 5" xfId="22412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3" xfId="9216"/>
    <cellStyle name="40% - akcent 3 107 4" xfId="15822"/>
    <cellStyle name="40% - akcent 3 107 5" xfId="22413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3" xfId="9217"/>
    <cellStyle name="40% - akcent 3 108 4" xfId="15823"/>
    <cellStyle name="40% - akcent 3 108 5" xfId="22414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3" xfId="9218"/>
    <cellStyle name="40% - akcent 3 109 4" xfId="15824"/>
    <cellStyle name="40% - akcent 3 109 5" xfId="22415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3" xfId="9220"/>
    <cellStyle name="40% - akcent 3 11 2 4" xfId="15826"/>
    <cellStyle name="40% - akcent 3 11 2 5" xfId="22417"/>
    <cellStyle name="40% - akcent 3 11 3" xfId="5874"/>
    <cellStyle name="40% - akcent 3 11 3 2" xfId="12509"/>
    <cellStyle name="40% - akcent 3 11 3 3" xfId="19113"/>
    <cellStyle name="40% - akcent 3 11 3 4" xfId="25704"/>
    <cellStyle name="40% - akcent 3 11 4" xfId="9219"/>
    <cellStyle name="40% - akcent 3 11 5" xfId="15825"/>
    <cellStyle name="40% - akcent 3 11 6" xfId="22416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3" xfId="9221"/>
    <cellStyle name="40% - akcent 3 110 4" xfId="15827"/>
    <cellStyle name="40% - akcent 3 110 5" xfId="22418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3" xfId="9222"/>
    <cellStyle name="40% - akcent 3 111 4" xfId="15828"/>
    <cellStyle name="40% - akcent 3 111 5" xfId="22419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3" xfId="9223"/>
    <cellStyle name="40% - akcent 3 112 4" xfId="15829"/>
    <cellStyle name="40% - akcent 3 112 5" xfId="22420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3" xfId="9224"/>
    <cellStyle name="40% - akcent 3 113 4" xfId="15830"/>
    <cellStyle name="40% - akcent 3 113 5" xfId="22421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3" xfId="9225"/>
    <cellStyle name="40% - akcent 3 114 4" xfId="15831"/>
    <cellStyle name="40% - akcent 3 114 5" xfId="22422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3" xfId="9226"/>
    <cellStyle name="40% - akcent 3 115 4" xfId="15832"/>
    <cellStyle name="40% - akcent 3 115 5" xfId="22423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3" xfId="9227"/>
    <cellStyle name="40% - akcent 3 116 4" xfId="15833"/>
    <cellStyle name="40% - akcent 3 116 5" xfId="22424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3" xfId="9228"/>
    <cellStyle name="40% - akcent 3 117 4" xfId="15834"/>
    <cellStyle name="40% - akcent 3 117 5" xfId="22425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3" xfId="9229"/>
    <cellStyle name="40% - akcent 3 118 4" xfId="15835"/>
    <cellStyle name="40% - akcent 3 118 5" xfId="22426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3" xfId="9230"/>
    <cellStyle name="40% - akcent 3 119 4" xfId="15836"/>
    <cellStyle name="40% - akcent 3 119 5" xfId="22427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3" xfId="9232"/>
    <cellStyle name="40% - akcent 3 12 2 4" xfId="15838"/>
    <cellStyle name="40% - akcent 3 12 2 5" xfId="22429"/>
    <cellStyle name="40% - akcent 3 12 3" xfId="5886"/>
    <cellStyle name="40% - akcent 3 12 3 2" xfId="12521"/>
    <cellStyle name="40% - akcent 3 12 3 3" xfId="19125"/>
    <cellStyle name="40% - akcent 3 12 3 4" xfId="25716"/>
    <cellStyle name="40% - akcent 3 12 4" xfId="9231"/>
    <cellStyle name="40% - akcent 3 12 5" xfId="15837"/>
    <cellStyle name="40% - akcent 3 12 6" xfId="22428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3" xfId="9233"/>
    <cellStyle name="40% - akcent 3 120 4" xfId="15839"/>
    <cellStyle name="40% - akcent 3 120 5" xfId="22430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3" xfId="9234"/>
    <cellStyle name="40% - akcent 3 121 4" xfId="15840"/>
    <cellStyle name="40% - akcent 3 121 5" xfId="22431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3" xfId="9235"/>
    <cellStyle name="40% - akcent 3 122 4" xfId="15841"/>
    <cellStyle name="40% - akcent 3 122 5" xfId="22432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3" xfId="9236"/>
    <cellStyle name="40% - akcent 3 123 4" xfId="15842"/>
    <cellStyle name="40% - akcent 3 123 5" xfId="22433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3" xfId="9237"/>
    <cellStyle name="40% - akcent 3 124 4" xfId="15843"/>
    <cellStyle name="40% - akcent 3 124 5" xfId="22434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3" xfId="9238"/>
    <cellStyle name="40% - akcent 3 125 4" xfId="15844"/>
    <cellStyle name="40% - akcent 3 125 5" xfId="22435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3" xfId="9239"/>
    <cellStyle name="40% - akcent 3 126 4" xfId="15845"/>
    <cellStyle name="40% - akcent 3 126 5" xfId="22436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3" xfId="9240"/>
    <cellStyle name="40% - akcent 3 127 4" xfId="15846"/>
    <cellStyle name="40% - akcent 3 127 5" xfId="22437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3" xfId="9241"/>
    <cellStyle name="40% - akcent 3 128 4" xfId="15847"/>
    <cellStyle name="40% - akcent 3 128 5" xfId="22438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3" xfId="9242"/>
    <cellStyle name="40% - akcent 3 129 4" xfId="15848"/>
    <cellStyle name="40% - akcent 3 129 5" xfId="22439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3" xfId="9244"/>
    <cellStyle name="40% - akcent 3 13 2 4" xfId="15850"/>
    <cellStyle name="40% - akcent 3 13 2 5" xfId="22441"/>
    <cellStyle name="40% - akcent 3 13 3" xfId="5898"/>
    <cellStyle name="40% - akcent 3 13 3 2" xfId="12533"/>
    <cellStyle name="40% - akcent 3 13 3 3" xfId="19137"/>
    <cellStyle name="40% - akcent 3 13 3 4" xfId="25728"/>
    <cellStyle name="40% - akcent 3 13 4" xfId="9243"/>
    <cellStyle name="40% - akcent 3 13 5" xfId="15849"/>
    <cellStyle name="40% - akcent 3 13 6" xfId="22440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3" xfId="9245"/>
    <cellStyle name="40% - akcent 3 130 4" xfId="15851"/>
    <cellStyle name="40% - akcent 3 130 5" xfId="22442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3" xfId="9246"/>
    <cellStyle name="40% - akcent 3 131 4" xfId="15852"/>
    <cellStyle name="40% - akcent 3 131 5" xfId="22443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3" xfId="9247"/>
    <cellStyle name="40% - akcent 3 132 4" xfId="15853"/>
    <cellStyle name="40% - akcent 3 132 5" xfId="22444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3" xfId="9248"/>
    <cellStyle name="40% - akcent 3 133 4" xfId="15854"/>
    <cellStyle name="40% - akcent 3 133 5" xfId="22445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3" xfId="9249"/>
    <cellStyle name="40% - akcent 3 134 4" xfId="15855"/>
    <cellStyle name="40% - akcent 3 134 5" xfId="22446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3" xfId="9250"/>
    <cellStyle name="40% - akcent 3 135 4" xfId="15856"/>
    <cellStyle name="40% - akcent 3 135 5" xfId="22447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3" xfId="9251"/>
    <cellStyle name="40% - akcent 3 136 4" xfId="15857"/>
    <cellStyle name="40% - akcent 3 136 5" xfId="22448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3" xfId="9252"/>
    <cellStyle name="40% - akcent 3 137 4" xfId="15858"/>
    <cellStyle name="40% - akcent 3 137 5" xfId="22449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3" xfId="9253"/>
    <cellStyle name="40% - akcent 3 138 4" xfId="15859"/>
    <cellStyle name="40% - akcent 3 138 5" xfId="22450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3" xfId="9254"/>
    <cellStyle name="40% - akcent 3 139 4" xfId="15860"/>
    <cellStyle name="40% - akcent 3 139 5" xfId="22451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3" xfId="9256"/>
    <cellStyle name="40% - akcent 3 14 2 4" xfId="15862"/>
    <cellStyle name="40% - akcent 3 14 2 5" xfId="22453"/>
    <cellStyle name="40% - akcent 3 14 3" xfId="5910"/>
    <cellStyle name="40% - akcent 3 14 3 2" xfId="12545"/>
    <cellStyle name="40% - akcent 3 14 3 3" xfId="19149"/>
    <cellStyle name="40% - akcent 3 14 3 4" xfId="25740"/>
    <cellStyle name="40% - akcent 3 14 4" xfId="9255"/>
    <cellStyle name="40% - akcent 3 14 5" xfId="15861"/>
    <cellStyle name="40% - akcent 3 14 6" xfId="22452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3" xfId="9257"/>
    <cellStyle name="40% - akcent 3 140 4" xfId="15863"/>
    <cellStyle name="40% - akcent 3 140 5" xfId="22454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3" xfId="9258"/>
    <cellStyle name="40% - akcent 3 141 4" xfId="15864"/>
    <cellStyle name="40% - akcent 3 141 5" xfId="22455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3" xfId="9259"/>
    <cellStyle name="40% - akcent 3 142 4" xfId="15865"/>
    <cellStyle name="40% - akcent 3 142 5" xfId="22456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3" xfId="9260"/>
    <cellStyle name="40% - akcent 3 143 4" xfId="15866"/>
    <cellStyle name="40% - akcent 3 143 5" xfId="22457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3" xfId="9261"/>
    <cellStyle name="40% - akcent 3 144 4" xfId="15867"/>
    <cellStyle name="40% - akcent 3 144 5" xfId="22458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3" xfId="9262"/>
    <cellStyle name="40% - akcent 3 145 4" xfId="15868"/>
    <cellStyle name="40% - akcent 3 145 5" xfId="22459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3" xfId="9263"/>
    <cellStyle name="40% - akcent 3 146 4" xfId="15869"/>
    <cellStyle name="40% - akcent 3 146 5" xfId="22460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3" xfId="9264"/>
    <cellStyle name="40% - akcent 3 147 4" xfId="15870"/>
    <cellStyle name="40% - akcent 3 147 5" xfId="22461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3" xfId="9265"/>
    <cellStyle name="40% - akcent 3 148 4" xfId="15871"/>
    <cellStyle name="40% - akcent 3 148 5" xfId="22462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3" xfId="9266"/>
    <cellStyle name="40% - akcent 3 149 4" xfId="15872"/>
    <cellStyle name="40% - akcent 3 149 5" xfId="22463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3" xfId="9268"/>
    <cellStyle name="40% - akcent 3 15 2 4" xfId="15874"/>
    <cellStyle name="40% - akcent 3 15 2 5" xfId="22465"/>
    <cellStyle name="40% - akcent 3 15 3" xfId="5922"/>
    <cellStyle name="40% - akcent 3 15 3 2" xfId="12557"/>
    <cellStyle name="40% - akcent 3 15 3 3" xfId="19161"/>
    <cellStyle name="40% - akcent 3 15 3 4" xfId="25752"/>
    <cellStyle name="40% - akcent 3 15 4" xfId="9267"/>
    <cellStyle name="40% - akcent 3 15 5" xfId="15873"/>
    <cellStyle name="40% - akcent 3 15 6" xfId="22464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3" xfId="9269"/>
    <cellStyle name="40% - akcent 3 150 4" xfId="15875"/>
    <cellStyle name="40% - akcent 3 150 5" xfId="22466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3" xfId="9270"/>
    <cellStyle name="40% - akcent 3 151 4" xfId="15876"/>
    <cellStyle name="40% - akcent 3 151 5" xfId="22467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3" xfId="9271"/>
    <cellStyle name="40% - akcent 3 152 4" xfId="15877"/>
    <cellStyle name="40% - akcent 3 152 5" xfId="22468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3" xfId="9272"/>
    <cellStyle name="40% - akcent 3 153 4" xfId="15878"/>
    <cellStyle name="40% - akcent 3 153 5" xfId="22469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3" xfId="9273"/>
    <cellStyle name="40% - akcent 3 154 4" xfId="15879"/>
    <cellStyle name="40% - akcent 3 154 5" xfId="22470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3" xfId="9274"/>
    <cellStyle name="40% - akcent 3 155 4" xfId="15880"/>
    <cellStyle name="40% - akcent 3 155 5" xfId="22471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3" xfId="9275"/>
    <cellStyle name="40% - akcent 3 156 4" xfId="15881"/>
    <cellStyle name="40% - akcent 3 156 5" xfId="22472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3" xfId="9276"/>
    <cellStyle name="40% - akcent 3 157 4" xfId="15882"/>
    <cellStyle name="40% - akcent 3 157 5" xfId="22473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3" xfId="9277"/>
    <cellStyle name="40% - akcent 3 158 4" xfId="15883"/>
    <cellStyle name="40% - akcent 3 158 5" xfId="22474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3" xfId="9278"/>
    <cellStyle name="40% - akcent 3 159 4" xfId="15884"/>
    <cellStyle name="40% - akcent 3 159 5" xfId="22475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3" xfId="9280"/>
    <cellStyle name="40% - akcent 3 16 2 4" xfId="15886"/>
    <cellStyle name="40% - akcent 3 16 2 5" xfId="22477"/>
    <cellStyle name="40% - akcent 3 16 3" xfId="5934"/>
    <cellStyle name="40% - akcent 3 16 3 2" xfId="12569"/>
    <cellStyle name="40% - akcent 3 16 3 3" xfId="19173"/>
    <cellStyle name="40% - akcent 3 16 3 4" xfId="25764"/>
    <cellStyle name="40% - akcent 3 16 4" xfId="9279"/>
    <cellStyle name="40% - akcent 3 16 5" xfId="15885"/>
    <cellStyle name="40% - akcent 3 16 6" xfId="22476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3" xfId="9281"/>
    <cellStyle name="40% - akcent 3 160 4" xfId="15887"/>
    <cellStyle name="40% - akcent 3 160 5" xfId="22478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3" xfId="9282"/>
    <cellStyle name="40% - akcent 3 161 4" xfId="15888"/>
    <cellStyle name="40% - akcent 3 161 5" xfId="22479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3" xfId="9283"/>
    <cellStyle name="40% - akcent 3 162 4" xfId="15889"/>
    <cellStyle name="40% - akcent 3 162 5" xfId="22480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3" xfId="9284"/>
    <cellStyle name="40% - akcent 3 163 4" xfId="15890"/>
    <cellStyle name="40% - akcent 3 163 5" xfId="22481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3" xfId="9285"/>
    <cellStyle name="40% - akcent 3 164 4" xfId="15891"/>
    <cellStyle name="40% - akcent 3 164 5" xfId="22482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3" xfId="9286"/>
    <cellStyle name="40% - akcent 3 165 4" xfId="15892"/>
    <cellStyle name="40% - akcent 3 165 5" xfId="22483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3" xfId="9287"/>
    <cellStyle name="40% - akcent 3 166 4" xfId="15893"/>
    <cellStyle name="40% - akcent 3 166 5" xfId="22484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3" xfId="9288"/>
    <cellStyle name="40% - akcent 3 167 4" xfId="15894"/>
    <cellStyle name="40% - akcent 3 167 5" xfId="22485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3" xfId="9289"/>
    <cellStyle name="40% - akcent 3 168 4" xfId="15895"/>
    <cellStyle name="40% - akcent 3 168 5" xfId="22486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3" xfId="9290"/>
    <cellStyle name="40% - akcent 3 169 4" xfId="15896"/>
    <cellStyle name="40% - akcent 3 169 5" xfId="22487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3" xfId="9292"/>
    <cellStyle name="40% - akcent 3 17 2 4" xfId="15898"/>
    <cellStyle name="40% - akcent 3 17 2 5" xfId="22489"/>
    <cellStyle name="40% - akcent 3 17 3" xfId="5946"/>
    <cellStyle name="40% - akcent 3 17 3 2" xfId="12581"/>
    <cellStyle name="40% - akcent 3 17 3 3" xfId="19185"/>
    <cellStyle name="40% - akcent 3 17 3 4" xfId="25776"/>
    <cellStyle name="40% - akcent 3 17 4" xfId="9291"/>
    <cellStyle name="40% - akcent 3 17 5" xfId="15897"/>
    <cellStyle name="40% - akcent 3 17 6" xfId="22488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3" xfId="9293"/>
    <cellStyle name="40% - akcent 3 170 4" xfId="15899"/>
    <cellStyle name="40% - akcent 3 170 5" xfId="22490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3" xfId="9294"/>
    <cellStyle name="40% - akcent 3 171 4" xfId="15900"/>
    <cellStyle name="40% - akcent 3 171 5" xfId="22491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3" xfId="9295"/>
    <cellStyle name="40% - akcent 3 172 4" xfId="15901"/>
    <cellStyle name="40% - akcent 3 172 5" xfId="22492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3" xfId="9296"/>
    <cellStyle name="40% - akcent 3 173 4" xfId="15902"/>
    <cellStyle name="40% - akcent 3 173 5" xfId="22493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3" xfId="9297"/>
    <cellStyle name="40% - akcent 3 174 4" xfId="15903"/>
    <cellStyle name="40% - akcent 3 174 5" xfId="22494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3" xfId="9298"/>
    <cellStyle name="40% - akcent 3 175 4" xfId="15904"/>
    <cellStyle name="40% - akcent 3 175 5" xfId="22495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3" xfId="9299"/>
    <cellStyle name="40% - akcent 3 176 4" xfId="15905"/>
    <cellStyle name="40% - akcent 3 176 5" xfId="22496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3" xfId="9300"/>
    <cellStyle name="40% - akcent 3 177 4" xfId="15906"/>
    <cellStyle name="40% - akcent 3 177 5" xfId="22497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3" xfId="9301"/>
    <cellStyle name="40% - akcent 3 178 4" xfId="15907"/>
    <cellStyle name="40% - akcent 3 178 5" xfId="22498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3" xfId="9302"/>
    <cellStyle name="40% - akcent 3 179 4" xfId="15908"/>
    <cellStyle name="40% - akcent 3 179 5" xfId="22499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3" xfId="9304"/>
    <cellStyle name="40% - akcent 3 18 2 4" xfId="15910"/>
    <cellStyle name="40% - akcent 3 18 2 5" xfId="22501"/>
    <cellStyle name="40% - akcent 3 18 3" xfId="5958"/>
    <cellStyle name="40% - akcent 3 18 3 2" xfId="12593"/>
    <cellStyle name="40% - akcent 3 18 3 3" xfId="19197"/>
    <cellStyle name="40% - akcent 3 18 3 4" xfId="25788"/>
    <cellStyle name="40% - akcent 3 18 4" xfId="9303"/>
    <cellStyle name="40% - akcent 3 18 5" xfId="15909"/>
    <cellStyle name="40% - akcent 3 18 6" xfId="22500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3" xfId="9305"/>
    <cellStyle name="40% - akcent 3 180 4" xfId="15911"/>
    <cellStyle name="40% - akcent 3 180 5" xfId="22502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3" xfId="9306"/>
    <cellStyle name="40% - akcent 3 181 4" xfId="15912"/>
    <cellStyle name="40% - akcent 3 181 5" xfId="22503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3" xfId="9307"/>
    <cellStyle name="40% - akcent 3 182 4" xfId="15913"/>
    <cellStyle name="40% - akcent 3 182 5" xfId="22504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3" xfId="9308"/>
    <cellStyle name="40% - akcent 3 183 4" xfId="15914"/>
    <cellStyle name="40% - akcent 3 183 5" xfId="22505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3" xfId="9309"/>
    <cellStyle name="40% - akcent 3 184 4" xfId="15915"/>
    <cellStyle name="40% - akcent 3 184 5" xfId="22506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3" xfId="9310"/>
    <cellStyle name="40% - akcent 3 185 4" xfId="15916"/>
    <cellStyle name="40% - akcent 3 185 5" xfId="22507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3" xfId="9311"/>
    <cellStyle name="40% - akcent 3 186 4" xfId="15917"/>
    <cellStyle name="40% - akcent 3 186 5" xfId="22508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3" xfId="9312"/>
    <cellStyle name="40% - akcent 3 187 4" xfId="15918"/>
    <cellStyle name="40% - akcent 3 187 5" xfId="22509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3" xfId="9313"/>
    <cellStyle name="40% - akcent 3 188 4" xfId="15919"/>
    <cellStyle name="40% - akcent 3 188 5" xfId="22510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3" xfId="9314"/>
    <cellStyle name="40% - akcent 3 189 4" xfId="15920"/>
    <cellStyle name="40% - akcent 3 189 5" xfId="22511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3" xfId="9316"/>
    <cellStyle name="40% - akcent 3 19 2 4" xfId="15922"/>
    <cellStyle name="40% - akcent 3 19 2 5" xfId="22513"/>
    <cellStyle name="40% - akcent 3 19 3" xfId="5970"/>
    <cellStyle name="40% - akcent 3 19 3 2" xfId="12605"/>
    <cellStyle name="40% - akcent 3 19 3 3" xfId="19209"/>
    <cellStyle name="40% - akcent 3 19 3 4" xfId="25800"/>
    <cellStyle name="40% - akcent 3 19 4" xfId="9315"/>
    <cellStyle name="40% - akcent 3 19 5" xfId="15921"/>
    <cellStyle name="40% - akcent 3 19 6" xfId="22512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3" xfId="9317"/>
    <cellStyle name="40% - akcent 3 190 4" xfId="15923"/>
    <cellStyle name="40% - akcent 3 190 5" xfId="22514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3" xfId="9318"/>
    <cellStyle name="40% - akcent 3 191 4" xfId="15924"/>
    <cellStyle name="40% - akcent 3 191 5" xfId="22515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3" xfId="9319"/>
    <cellStyle name="40% - akcent 3 192 4" xfId="15925"/>
    <cellStyle name="40% - akcent 3 192 5" xfId="22516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3" xfId="9320"/>
    <cellStyle name="40% - akcent 3 193 4" xfId="15926"/>
    <cellStyle name="40% - akcent 3 193 5" xfId="22517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3" xfId="9321"/>
    <cellStyle name="40% - akcent 3 194 4" xfId="15927"/>
    <cellStyle name="40% - akcent 3 194 5" xfId="22518"/>
    <cellStyle name="40% - akcent 3 195" xfId="3842"/>
    <cellStyle name="40% - akcent 3 195 2" xfId="10477"/>
    <cellStyle name="40% - akcent 3 195 3" xfId="17081"/>
    <cellStyle name="40% - akcent 3 195 4" xfId="23672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3" xfId="9323"/>
    <cellStyle name="40% - akcent 3 2 2 4" xfId="15929"/>
    <cellStyle name="40% - akcent 3 2 2 5" xfId="22520"/>
    <cellStyle name="40% - akcent 3 2 3" xfId="5977"/>
    <cellStyle name="40% - akcent 3 2 3 2" xfId="12612"/>
    <cellStyle name="40% - akcent 3 2 3 3" xfId="19216"/>
    <cellStyle name="40% - akcent 3 2 3 4" xfId="25807"/>
    <cellStyle name="40% - akcent 3 2 4" xfId="9322"/>
    <cellStyle name="40% - akcent 3 2 5" xfId="15928"/>
    <cellStyle name="40% - akcent 3 2 6" xfId="22519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3" xfId="9325"/>
    <cellStyle name="40% - akcent 3 20 2 4" xfId="15931"/>
    <cellStyle name="40% - akcent 3 20 2 5" xfId="22522"/>
    <cellStyle name="40% - akcent 3 20 3" xfId="5979"/>
    <cellStyle name="40% - akcent 3 20 3 2" xfId="12614"/>
    <cellStyle name="40% - akcent 3 20 3 3" xfId="19218"/>
    <cellStyle name="40% - akcent 3 20 3 4" xfId="25809"/>
    <cellStyle name="40% - akcent 3 20 4" xfId="9324"/>
    <cellStyle name="40% - akcent 3 20 5" xfId="15930"/>
    <cellStyle name="40% - akcent 3 20 6" xfId="22521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3" xfId="9327"/>
    <cellStyle name="40% - akcent 3 21 2 4" xfId="15933"/>
    <cellStyle name="40% - akcent 3 21 2 5" xfId="22524"/>
    <cellStyle name="40% - akcent 3 21 3" xfId="5981"/>
    <cellStyle name="40% - akcent 3 21 3 2" xfId="12616"/>
    <cellStyle name="40% - akcent 3 21 3 3" xfId="19220"/>
    <cellStyle name="40% - akcent 3 21 3 4" xfId="25811"/>
    <cellStyle name="40% - akcent 3 21 4" xfId="9326"/>
    <cellStyle name="40% - akcent 3 21 5" xfId="15932"/>
    <cellStyle name="40% - akcent 3 21 6" xfId="22523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3" xfId="9329"/>
    <cellStyle name="40% - akcent 3 22 2 4" xfId="15935"/>
    <cellStyle name="40% - akcent 3 22 2 5" xfId="22526"/>
    <cellStyle name="40% - akcent 3 22 3" xfId="5983"/>
    <cellStyle name="40% - akcent 3 22 3 2" xfId="12618"/>
    <cellStyle name="40% - akcent 3 22 3 3" xfId="19222"/>
    <cellStyle name="40% - akcent 3 22 3 4" xfId="25813"/>
    <cellStyle name="40% - akcent 3 22 4" xfId="9328"/>
    <cellStyle name="40% - akcent 3 22 5" xfId="15934"/>
    <cellStyle name="40% - akcent 3 22 6" xfId="22525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3" xfId="9331"/>
    <cellStyle name="40% - akcent 3 23 2 4" xfId="15937"/>
    <cellStyle name="40% - akcent 3 23 2 5" xfId="22528"/>
    <cellStyle name="40% - akcent 3 23 3" xfId="5985"/>
    <cellStyle name="40% - akcent 3 23 3 2" xfId="12620"/>
    <cellStyle name="40% - akcent 3 23 3 3" xfId="19224"/>
    <cellStyle name="40% - akcent 3 23 3 4" xfId="25815"/>
    <cellStyle name="40% - akcent 3 23 4" xfId="9330"/>
    <cellStyle name="40% - akcent 3 23 5" xfId="15936"/>
    <cellStyle name="40% - akcent 3 23 6" xfId="22527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3" xfId="9333"/>
    <cellStyle name="40% - akcent 3 24 2 4" xfId="15939"/>
    <cellStyle name="40% - akcent 3 24 2 5" xfId="22530"/>
    <cellStyle name="40% - akcent 3 24 3" xfId="5987"/>
    <cellStyle name="40% - akcent 3 24 3 2" xfId="12622"/>
    <cellStyle name="40% - akcent 3 24 3 3" xfId="19226"/>
    <cellStyle name="40% - akcent 3 24 3 4" xfId="25817"/>
    <cellStyle name="40% - akcent 3 24 4" xfId="9332"/>
    <cellStyle name="40% - akcent 3 24 5" xfId="15938"/>
    <cellStyle name="40% - akcent 3 24 6" xfId="22529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3" xfId="9335"/>
    <cellStyle name="40% - akcent 3 25 2 4" xfId="15941"/>
    <cellStyle name="40% - akcent 3 25 2 5" xfId="22532"/>
    <cellStyle name="40% - akcent 3 25 3" xfId="5989"/>
    <cellStyle name="40% - akcent 3 25 3 2" xfId="12624"/>
    <cellStyle name="40% - akcent 3 25 3 3" xfId="19228"/>
    <cellStyle name="40% - akcent 3 25 3 4" xfId="25819"/>
    <cellStyle name="40% - akcent 3 25 4" xfId="9334"/>
    <cellStyle name="40% - akcent 3 25 5" xfId="15940"/>
    <cellStyle name="40% - akcent 3 25 6" xfId="22531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3" xfId="9337"/>
    <cellStyle name="40% - akcent 3 26 2 4" xfId="15943"/>
    <cellStyle name="40% - akcent 3 26 2 5" xfId="22534"/>
    <cellStyle name="40% - akcent 3 26 3" xfId="5991"/>
    <cellStyle name="40% - akcent 3 26 3 2" xfId="12626"/>
    <cellStyle name="40% - akcent 3 26 3 3" xfId="19230"/>
    <cellStyle name="40% - akcent 3 26 3 4" xfId="25821"/>
    <cellStyle name="40% - akcent 3 26 4" xfId="9336"/>
    <cellStyle name="40% - akcent 3 26 5" xfId="15942"/>
    <cellStyle name="40% - akcent 3 26 6" xfId="22533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3" xfId="9339"/>
    <cellStyle name="40% - akcent 3 27 2 4" xfId="15945"/>
    <cellStyle name="40% - akcent 3 27 2 5" xfId="22536"/>
    <cellStyle name="40% - akcent 3 27 3" xfId="5993"/>
    <cellStyle name="40% - akcent 3 27 3 2" xfId="12628"/>
    <cellStyle name="40% - akcent 3 27 3 3" xfId="19232"/>
    <cellStyle name="40% - akcent 3 27 3 4" xfId="25823"/>
    <cellStyle name="40% - akcent 3 27 4" xfId="9338"/>
    <cellStyle name="40% - akcent 3 27 5" xfId="15944"/>
    <cellStyle name="40% - akcent 3 27 6" xfId="22535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3" xfId="9341"/>
    <cellStyle name="40% - akcent 3 28 2 4" xfId="15947"/>
    <cellStyle name="40% - akcent 3 28 2 5" xfId="22538"/>
    <cellStyle name="40% - akcent 3 28 3" xfId="5995"/>
    <cellStyle name="40% - akcent 3 28 3 2" xfId="12630"/>
    <cellStyle name="40% - akcent 3 28 3 3" xfId="19234"/>
    <cellStyle name="40% - akcent 3 28 3 4" xfId="25825"/>
    <cellStyle name="40% - akcent 3 28 4" xfId="9340"/>
    <cellStyle name="40% - akcent 3 28 5" xfId="15946"/>
    <cellStyle name="40% - akcent 3 28 6" xfId="22537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3" xfId="9343"/>
    <cellStyle name="40% - akcent 3 29 2 4" xfId="15949"/>
    <cellStyle name="40% - akcent 3 29 2 5" xfId="22540"/>
    <cellStyle name="40% - akcent 3 29 3" xfId="5997"/>
    <cellStyle name="40% - akcent 3 29 3 2" xfId="12632"/>
    <cellStyle name="40% - akcent 3 29 3 3" xfId="19236"/>
    <cellStyle name="40% - akcent 3 29 3 4" xfId="25827"/>
    <cellStyle name="40% - akcent 3 29 4" xfId="9342"/>
    <cellStyle name="40% - akcent 3 29 5" xfId="15948"/>
    <cellStyle name="40% - akcent 3 29 6" xfId="22539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3" xfId="9345"/>
    <cellStyle name="40% - akcent 3 3 2 4" xfId="15951"/>
    <cellStyle name="40% - akcent 3 3 2 5" xfId="22542"/>
    <cellStyle name="40% - akcent 3 3 3" xfId="5999"/>
    <cellStyle name="40% - akcent 3 3 3 2" xfId="12634"/>
    <cellStyle name="40% - akcent 3 3 3 3" xfId="19238"/>
    <cellStyle name="40% - akcent 3 3 3 4" xfId="25829"/>
    <cellStyle name="40% - akcent 3 3 4" xfId="9344"/>
    <cellStyle name="40% - akcent 3 3 5" xfId="15950"/>
    <cellStyle name="40% - akcent 3 3 6" xfId="22541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3" xfId="9347"/>
    <cellStyle name="40% - akcent 3 30 2 4" xfId="15953"/>
    <cellStyle name="40% - akcent 3 30 2 5" xfId="22544"/>
    <cellStyle name="40% - akcent 3 30 3" xfId="6001"/>
    <cellStyle name="40% - akcent 3 30 3 2" xfId="12636"/>
    <cellStyle name="40% - akcent 3 30 3 3" xfId="19240"/>
    <cellStyle name="40% - akcent 3 30 3 4" xfId="25831"/>
    <cellStyle name="40% - akcent 3 30 4" xfId="9346"/>
    <cellStyle name="40% - akcent 3 30 5" xfId="15952"/>
    <cellStyle name="40% - akcent 3 30 6" xfId="22543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3" xfId="9349"/>
    <cellStyle name="40% - akcent 3 31 2 4" xfId="15955"/>
    <cellStyle name="40% - akcent 3 31 2 5" xfId="22546"/>
    <cellStyle name="40% - akcent 3 31 3" xfId="6003"/>
    <cellStyle name="40% - akcent 3 31 3 2" xfId="12638"/>
    <cellStyle name="40% - akcent 3 31 3 3" xfId="19242"/>
    <cellStyle name="40% - akcent 3 31 3 4" xfId="25833"/>
    <cellStyle name="40% - akcent 3 31 4" xfId="9348"/>
    <cellStyle name="40% - akcent 3 31 5" xfId="15954"/>
    <cellStyle name="40% - akcent 3 31 6" xfId="22545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3" xfId="9351"/>
    <cellStyle name="40% - akcent 3 32 2 4" xfId="15957"/>
    <cellStyle name="40% - akcent 3 32 2 5" xfId="22548"/>
    <cellStyle name="40% - akcent 3 32 3" xfId="6005"/>
    <cellStyle name="40% - akcent 3 32 3 2" xfId="12640"/>
    <cellStyle name="40% - akcent 3 32 3 3" xfId="19244"/>
    <cellStyle name="40% - akcent 3 32 3 4" xfId="25835"/>
    <cellStyle name="40% - akcent 3 32 4" xfId="9350"/>
    <cellStyle name="40% - akcent 3 32 5" xfId="15956"/>
    <cellStyle name="40% - akcent 3 32 6" xfId="22547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3" xfId="9353"/>
    <cellStyle name="40% - akcent 3 33 2 4" xfId="15959"/>
    <cellStyle name="40% - akcent 3 33 2 5" xfId="22550"/>
    <cellStyle name="40% - akcent 3 33 3" xfId="6007"/>
    <cellStyle name="40% - akcent 3 33 3 2" xfId="12642"/>
    <cellStyle name="40% - akcent 3 33 3 3" xfId="19246"/>
    <cellStyle name="40% - akcent 3 33 3 4" xfId="25837"/>
    <cellStyle name="40% - akcent 3 33 4" xfId="9352"/>
    <cellStyle name="40% - akcent 3 33 5" xfId="15958"/>
    <cellStyle name="40% - akcent 3 33 6" xfId="22549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3" xfId="9355"/>
    <cellStyle name="40% - akcent 3 34 2 4" xfId="15961"/>
    <cellStyle name="40% - akcent 3 34 2 5" xfId="22552"/>
    <cellStyle name="40% - akcent 3 34 3" xfId="6009"/>
    <cellStyle name="40% - akcent 3 34 3 2" xfId="12644"/>
    <cellStyle name="40% - akcent 3 34 3 3" xfId="19248"/>
    <cellStyle name="40% - akcent 3 34 3 4" xfId="25839"/>
    <cellStyle name="40% - akcent 3 34 4" xfId="9354"/>
    <cellStyle name="40% - akcent 3 34 5" xfId="15960"/>
    <cellStyle name="40% - akcent 3 34 6" xfId="22551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3" xfId="9357"/>
    <cellStyle name="40% - akcent 3 35 2 4" xfId="15963"/>
    <cellStyle name="40% - akcent 3 35 2 5" xfId="22554"/>
    <cellStyle name="40% - akcent 3 35 3" xfId="6011"/>
    <cellStyle name="40% - akcent 3 35 3 2" xfId="12646"/>
    <cellStyle name="40% - akcent 3 35 3 3" xfId="19250"/>
    <cellStyle name="40% - akcent 3 35 3 4" xfId="25841"/>
    <cellStyle name="40% - akcent 3 35 4" xfId="9356"/>
    <cellStyle name="40% - akcent 3 35 5" xfId="15962"/>
    <cellStyle name="40% - akcent 3 35 6" xfId="22553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3" xfId="9359"/>
    <cellStyle name="40% - akcent 3 36 2 4" xfId="15965"/>
    <cellStyle name="40% - akcent 3 36 2 5" xfId="22556"/>
    <cellStyle name="40% - akcent 3 36 3" xfId="6013"/>
    <cellStyle name="40% - akcent 3 36 3 2" xfId="12648"/>
    <cellStyle name="40% - akcent 3 36 3 3" xfId="19252"/>
    <cellStyle name="40% - akcent 3 36 3 4" xfId="25843"/>
    <cellStyle name="40% - akcent 3 36 4" xfId="9358"/>
    <cellStyle name="40% - akcent 3 36 5" xfId="15964"/>
    <cellStyle name="40% - akcent 3 36 6" xfId="22555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3" xfId="9361"/>
    <cellStyle name="40% - akcent 3 37 2 4" xfId="15967"/>
    <cellStyle name="40% - akcent 3 37 2 5" xfId="22558"/>
    <cellStyle name="40% - akcent 3 37 3" xfId="6015"/>
    <cellStyle name="40% - akcent 3 37 3 2" xfId="12650"/>
    <cellStyle name="40% - akcent 3 37 3 3" xfId="19254"/>
    <cellStyle name="40% - akcent 3 37 3 4" xfId="25845"/>
    <cellStyle name="40% - akcent 3 37 4" xfId="9360"/>
    <cellStyle name="40% - akcent 3 37 5" xfId="15966"/>
    <cellStyle name="40% - akcent 3 37 6" xfId="22557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3" xfId="9363"/>
    <cellStyle name="40% - akcent 3 38 2 4" xfId="15969"/>
    <cellStyle name="40% - akcent 3 38 2 5" xfId="22560"/>
    <cellStyle name="40% - akcent 3 38 3" xfId="6017"/>
    <cellStyle name="40% - akcent 3 38 3 2" xfId="12652"/>
    <cellStyle name="40% - akcent 3 38 3 3" xfId="19256"/>
    <cellStyle name="40% - akcent 3 38 3 4" xfId="25847"/>
    <cellStyle name="40% - akcent 3 38 4" xfId="9362"/>
    <cellStyle name="40% - akcent 3 38 5" xfId="15968"/>
    <cellStyle name="40% - akcent 3 38 6" xfId="22559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3" xfId="9365"/>
    <cellStyle name="40% - akcent 3 39 2 4" xfId="15971"/>
    <cellStyle name="40% - akcent 3 39 2 5" xfId="22562"/>
    <cellStyle name="40% - akcent 3 39 3" xfId="6019"/>
    <cellStyle name="40% - akcent 3 39 3 2" xfId="12654"/>
    <cellStyle name="40% - akcent 3 39 3 3" xfId="19258"/>
    <cellStyle name="40% - akcent 3 39 3 4" xfId="25849"/>
    <cellStyle name="40% - akcent 3 39 4" xfId="9364"/>
    <cellStyle name="40% - akcent 3 39 5" xfId="15970"/>
    <cellStyle name="40% - akcent 3 39 6" xfId="22561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3" xfId="9367"/>
    <cellStyle name="40% - akcent 3 4 2 4" xfId="15973"/>
    <cellStyle name="40% - akcent 3 4 2 5" xfId="22564"/>
    <cellStyle name="40% - akcent 3 4 3" xfId="6021"/>
    <cellStyle name="40% - akcent 3 4 3 2" xfId="12656"/>
    <cellStyle name="40% - akcent 3 4 3 3" xfId="19260"/>
    <cellStyle name="40% - akcent 3 4 3 4" xfId="25851"/>
    <cellStyle name="40% - akcent 3 4 4" xfId="9366"/>
    <cellStyle name="40% - akcent 3 4 5" xfId="15972"/>
    <cellStyle name="40% - akcent 3 4 6" xfId="22563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3" xfId="9369"/>
    <cellStyle name="40% - akcent 3 40 2 4" xfId="15975"/>
    <cellStyle name="40% - akcent 3 40 2 5" xfId="22566"/>
    <cellStyle name="40% - akcent 3 40 3" xfId="6023"/>
    <cellStyle name="40% - akcent 3 40 3 2" xfId="12658"/>
    <cellStyle name="40% - akcent 3 40 3 3" xfId="19262"/>
    <cellStyle name="40% - akcent 3 40 3 4" xfId="25853"/>
    <cellStyle name="40% - akcent 3 40 4" xfId="9368"/>
    <cellStyle name="40% - akcent 3 40 5" xfId="15974"/>
    <cellStyle name="40% - akcent 3 40 6" xfId="22565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3" xfId="9371"/>
    <cellStyle name="40% - akcent 3 41 2 4" xfId="15977"/>
    <cellStyle name="40% - akcent 3 41 2 5" xfId="22568"/>
    <cellStyle name="40% - akcent 3 41 3" xfId="6025"/>
    <cellStyle name="40% - akcent 3 41 3 2" xfId="12660"/>
    <cellStyle name="40% - akcent 3 41 3 3" xfId="19264"/>
    <cellStyle name="40% - akcent 3 41 3 4" xfId="25855"/>
    <cellStyle name="40% - akcent 3 41 4" xfId="9370"/>
    <cellStyle name="40% - akcent 3 41 5" xfId="15976"/>
    <cellStyle name="40% - akcent 3 41 6" xfId="22567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3" xfId="9373"/>
    <cellStyle name="40% - akcent 3 42 2 4" xfId="15979"/>
    <cellStyle name="40% - akcent 3 42 2 5" xfId="22570"/>
    <cellStyle name="40% - akcent 3 42 3" xfId="6027"/>
    <cellStyle name="40% - akcent 3 42 3 2" xfId="12662"/>
    <cellStyle name="40% - akcent 3 42 3 3" xfId="19266"/>
    <cellStyle name="40% - akcent 3 42 3 4" xfId="25857"/>
    <cellStyle name="40% - akcent 3 42 4" xfId="9372"/>
    <cellStyle name="40% - akcent 3 42 5" xfId="15978"/>
    <cellStyle name="40% - akcent 3 42 6" xfId="22569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3" xfId="9375"/>
    <cellStyle name="40% - akcent 3 43 2 4" xfId="15981"/>
    <cellStyle name="40% - akcent 3 43 2 5" xfId="22572"/>
    <cellStyle name="40% - akcent 3 43 3" xfId="6029"/>
    <cellStyle name="40% - akcent 3 43 3 2" xfId="12664"/>
    <cellStyle name="40% - akcent 3 43 3 3" xfId="19268"/>
    <cellStyle name="40% - akcent 3 43 3 4" xfId="25859"/>
    <cellStyle name="40% - akcent 3 43 4" xfId="9374"/>
    <cellStyle name="40% - akcent 3 43 5" xfId="15980"/>
    <cellStyle name="40% - akcent 3 43 6" xfId="22571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3" xfId="9377"/>
    <cellStyle name="40% - akcent 3 44 2 4" xfId="15983"/>
    <cellStyle name="40% - akcent 3 44 2 5" xfId="22574"/>
    <cellStyle name="40% - akcent 3 44 3" xfId="6031"/>
    <cellStyle name="40% - akcent 3 44 3 2" xfId="12666"/>
    <cellStyle name="40% - akcent 3 44 3 3" xfId="19270"/>
    <cellStyle name="40% - akcent 3 44 3 4" xfId="25861"/>
    <cellStyle name="40% - akcent 3 44 4" xfId="9376"/>
    <cellStyle name="40% - akcent 3 44 5" xfId="15982"/>
    <cellStyle name="40% - akcent 3 44 6" xfId="22573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3" xfId="9379"/>
    <cellStyle name="40% - akcent 3 45 2 4" xfId="15985"/>
    <cellStyle name="40% - akcent 3 45 2 5" xfId="22576"/>
    <cellStyle name="40% - akcent 3 45 3" xfId="6033"/>
    <cellStyle name="40% - akcent 3 45 3 2" xfId="12668"/>
    <cellStyle name="40% - akcent 3 45 3 3" xfId="19272"/>
    <cellStyle name="40% - akcent 3 45 3 4" xfId="25863"/>
    <cellStyle name="40% - akcent 3 45 4" xfId="9378"/>
    <cellStyle name="40% - akcent 3 45 5" xfId="15984"/>
    <cellStyle name="40% - akcent 3 45 6" xfId="22575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3" xfId="9381"/>
    <cellStyle name="40% - akcent 3 46 2 4" xfId="15987"/>
    <cellStyle name="40% - akcent 3 46 2 5" xfId="22578"/>
    <cellStyle name="40% - akcent 3 46 3" xfId="6035"/>
    <cellStyle name="40% - akcent 3 46 3 2" xfId="12670"/>
    <cellStyle name="40% - akcent 3 46 3 3" xfId="19274"/>
    <cellStyle name="40% - akcent 3 46 3 4" xfId="25865"/>
    <cellStyle name="40% - akcent 3 46 4" xfId="9380"/>
    <cellStyle name="40% - akcent 3 46 5" xfId="15986"/>
    <cellStyle name="40% - akcent 3 46 6" xfId="22577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3" xfId="9383"/>
    <cellStyle name="40% - akcent 3 47 2 4" xfId="15989"/>
    <cellStyle name="40% - akcent 3 47 2 5" xfId="22580"/>
    <cellStyle name="40% - akcent 3 47 3" xfId="6037"/>
    <cellStyle name="40% - akcent 3 47 3 2" xfId="12672"/>
    <cellStyle name="40% - akcent 3 47 3 3" xfId="19276"/>
    <cellStyle name="40% - akcent 3 47 3 4" xfId="25867"/>
    <cellStyle name="40% - akcent 3 47 4" xfId="9382"/>
    <cellStyle name="40% - akcent 3 47 5" xfId="15988"/>
    <cellStyle name="40% - akcent 3 47 6" xfId="22579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3" xfId="9385"/>
    <cellStyle name="40% - akcent 3 48 2 4" xfId="15991"/>
    <cellStyle name="40% - akcent 3 48 2 5" xfId="22582"/>
    <cellStyle name="40% - akcent 3 48 3" xfId="6039"/>
    <cellStyle name="40% - akcent 3 48 3 2" xfId="12674"/>
    <cellStyle name="40% - akcent 3 48 3 3" xfId="19278"/>
    <cellStyle name="40% - akcent 3 48 3 4" xfId="25869"/>
    <cellStyle name="40% - akcent 3 48 4" xfId="9384"/>
    <cellStyle name="40% - akcent 3 48 5" xfId="15990"/>
    <cellStyle name="40% - akcent 3 48 6" xfId="22581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3" xfId="9387"/>
    <cellStyle name="40% - akcent 3 49 2 4" xfId="15993"/>
    <cellStyle name="40% - akcent 3 49 2 5" xfId="22584"/>
    <cellStyle name="40% - akcent 3 49 3" xfId="6041"/>
    <cellStyle name="40% - akcent 3 49 3 2" xfId="12676"/>
    <cellStyle name="40% - akcent 3 49 3 3" xfId="19280"/>
    <cellStyle name="40% - akcent 3 49 3 4" xfId="25871"/>
    <cellStyle name="40% - akcent 3 49 4" xfId="9386"/>
    <cellStyle name="40% - akcent 3 49 5" xfId="15992"/>
    <cellStyle name="40% - akcent 3 49 6" xfId="22583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3" xfId="9389"/>
    <cellStyle name="40% - akcent 3 5 2 4" xfId="15995"/>
    <cellStyle name="40% - akcent 3 5 2 5" xfId="22586"/>
    <cellStyle name="40% - akcent 3 5 3" xfId="6043"/>
    <cellStyle name="40% - akcent 3 5 3 2" xfId="12678"/>
    <cellStyle name="40% - akcent 3 5 3 3" xfId="19282"/>
    <cellStyle name="40% - akcent 3 5 3 4" xfId="25873"/>
    <cellStyle name="40% - akcent 3 5 4" xfId="9388"/>
    <cellStyle name="40% - akcent 3 5 5" xfId="15994"/>
    <cellStyle name="40% - akcent 3 5 6" xfId="22585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3" xfId="9391"/>
    <cellStyle name="40% - akcent 3 50 2 4" xfId="15997"/>
    <cellStyle name="40% - akcent 3 50 2 5" xfId="22588"/>
    <cellStyle name="40% - akcent 3 50 3" xfId="6045"/>
    <cellStyle name="40% - akcent 3 50 3 2" xfId="12680"/>
    <cellStyle name="40% - akcent 3 50 3 3" xfId="19284"/>
    <cellStyle name="40% - akcent 3 50 3 4" xfId="25875"/>
    <cellStyle name="40% - akcent 3 50 4" xfId="9390"/>
    <cellStyle name="40% - akcent 3 50 5" xfId="15996"/>
    <cellStyle name="40% - akcent 3 50 6" xfId="22587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3" xfId="9393"/>
    <cellStyle name="40% - akcent 3 51 2 4" xfId="15999"/>
    <cellStyle name="40% - akcent 3 51 2 5" xfId="22590"/>
    <cellStyle name="40% - akcent 3 51 3" xfId="6047"/>
    <cellStyle name="40% - akcent 3 51 3 2" xfId="12682"/>
    <cellStyle name="40% - akcent 3 51 3 3" xfId="19286"/>
    <cellStyle name="40% - akcent 3 51 3 4" xfId="25877"/>
    <cellStyle name="40% - akcent 3 51 4" xfId="9392"/>
    <cellStyle name="40% - akcent 3 51 5" xfId="15998"/>
    <cellStyle name="40% - akcent 3 51 6" xfId="22589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3" xfId="9395"/>
    <cellStyle name="40% - akcent 3 52 2 4" xfId="16001"/>
    <cellStyle name="40% - akcent 3 52 2 5" xfId="22592"/>
    <cellStyle name="40% - akcent 3 52 3" xfId="6049"/>
    <cellStyle name="40% - akcent 3 52 3 2" xfId="12684"/>
    <cellStyle name="40% - akcent 3 52 3 3" xfId="19288"/>
    <cellStyle name="40% - akcent 3 52 3 4" xfId="25879"/>
    <cellStyle name="40% - akcent 3 52 4" xfId="9394"/>
    <cellStyle name="40% - akcent 3 52 5" xfId="16000"/>
    <cellStyle name="40% - akcent 3 52 6" xfId="22591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3" xfId="9397"/>
    <cellStyle name="40% - akcent 3 53 2 4" xfId="16003"/>
    <cellStyle name="40% - akcent 3 53 2 5" xfId="22594"/>
    <cellStyle name="40% - akcent 3 53 3" xfId="6051"/>
    <cellStyle name="40% - akcent 3 53 3 2" xfId="12686"/>
    <cellStyle name="40% - akcent 3 53 3 3" xfId="19290"/>
    <cellStyle name="40% - akcent 3 53 3 4" xfId="25881"/>
    <cellStyle name="40% - akcent 3 53 4" xfId="9396"/>
    <cellStyle name="40% - akcent 3 53 5" xfId="16002"/>
    <cellStyle name="40% - akcent 3 53 6" xfId="22593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3" xfId="9399"/>
    <cellStyle name="40% - akcent 3 54 2 4" xfId="16005"/>
    <cellStyle name="40% - akcent 3 54 2 5" xfId="22596"/>
    <cellStyle name="40% - akcent 3 54 3" xfId="6053"/>
    <cellStyle name="40% - akcent 3 54 3 2" xfId="12688"/>
    <cellStyle name="40% - akcent 3 54 3 3" xfId="19292"/>
    <cellStyle name="40% - akcent 3 54 3 4" xfId="25883"/>
    <cellStyle name="40% - akcent 3 54 4" xfId="9398"/>
    <cellStyle name="40% - akcent 3 54 5" xfId="16004"/>
    <cellStyle name="40% - akcent 3 54 6" xfId="22595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3" xfId="9401"/>
    <cellStyle name="40% - akcent 3 55 2 4" xfId="16007"/>
    <cellStyle name="40% - akcent 3 55 2 5" xfId="22598"/>
    <cellStyle name="40% - akcent 3 55 3" xfId="6055"/>
    <cellStyle name="40% - akcent 3 55 3 2" xfId="12690"/>
    <cellStyle name="40% - akcent 3 55 3 3" xfId="19294"/>
    <cellStyle name="40% - akcent 3 55 3 4" xfId="25885"/>
    <cellStyle name="40% - akcent 3 55 4" xfId="9400"/>
    <cellStyle name="40% - akcent 3 55 5" xfId="16006"/>
    <cellStyle name="40% - akcent 3 55 6" xfId="22597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3" xfId="9403"/>
    <cellStyle name="40% - akcent 3 56 2 4" xfId="16009"/>
    <cellStyle name="40% - akcent 3 56 2 5" xfId="22600"/>
    <cellStyle name="40% - akcent 3 56 3" xfId="6057"/>
    <cellStyle name="40% - akcent 3 56 3 2" xfId="12692"/>
    <cellStyle name="40% - akcent 3 56 3 3" xfId="19296"/>
    <cellStyle name="40% - akcent 3 56 3 4" xfId="25887"/>
    <cellStyle name="40% - akcent 3 56 4" xfId="9402"/>
    <cellStyle name="40% - akcent 3 56 5" xfId="16008"/>
    <cellStyle name="40% - akcent 3 56 6" xfId="22599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3" xfId="9405"/>
    <cellStyle name="40% - akcent 3 57 2 4" xfId="16011"/>
    <cellStyle name="40% - akcent 3 57 2 5" xfId="22602"/>
    <cellStyle name="40% - akcent 3 57 3" xfId="6059"/>
    <cellStyle name="40% - akcent 3 57 3 2" xfId="12694"/>
    <cellStyle name="40% - akcent 3 57 3 3" xfId="19298"/>
    <cellStyle name="40% - akcent 3 57 3 4" xfId="25889"/>
    <cellStyle name="40% - akcent 3 57 4" xfId="9404"/>
    <cellStyle name="40% - akcent 3 57 5" xfId="16010"/>
    <cellStyle name="40% - akcent 3 57 6" xfId="22601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3" xfId="9407"/>
    <cellStyle name="40% - akcent 3 58 2 4" xfId="16013"/>
    <cellStyle name="40% - akcent 3 58 2 5" xfId="22604"/>
    <cellStyle name="40% - akcent 3 58 3" xfId="6061"/>
    <cellStyle name="40% - akcent 3 58 3 2" xfId="12696"/>
    <cellStyle name="40% - akcent 3 58 3 3" xfId="19300"/>
    <cellStyle name="40% - akcent 3 58 3 4" xfId="25891"/>
    <cellStyle name="40% - akcent 3 58 4" xfId="9406"/>
    <cellStyle name="40% - akcent 3 58 5" xfId="16012"/>
    <cellStyle name="40% - akcent 3 58 6" xfId="22603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3" xfId="9409"/>
    <cellStyle name="40% - akcent 3 59 2 4" xfId="16015"/>
    <cellStyle name="40% - akcent 3 59 2 5" xfId="22606"/>
    <cellStyle name="40% - akcent 3 59 3" xfId="6063"/>
    <cellStyle name="40% - akcent 3 59 3 2" xfId="12698"/>
    <cellStyle name="40% - akcent 3 59 3 3" xfId="19302"/>
    <cellStyle name="40% - akcent 3 59 3 4" xfId="25893"/>
    <cellStyle name="40% - akcent 3 59 4" xfId="9408"/>
    <cellStyle name="40% - akcent 3 59 5" xfId="16014"/>
    <cellStyle name="40% - akcent 3 59 6" xfId="22605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3" xfId="9411"/>
    <cellStyle name="40% - akcent 3 6 2 4" xfId="16017"/>
    <cellStyle name="40% - akcent 3 6 2 5" xfId="22608"/>
    <cellStyle name="40% - akcent 3 6 3" xfId="6065"/>
    <cellStyle name="40% - akcent 3 6 3 2" xfId="12700"/>
    <cellStyle name="40% - akcent 3 6 3 3" xfId="19304"/>
    <cellStyle name="40% - akcent 3 6 3 4" xfId="25895"/>
    <cellStyle name="40% - akcent 3 6 4" xfId="9410"/>
    <cellStyle name="40% - akcent 3 6 5" xfId="16016"/>
    <cellStyle name="40% - akcent 3 6 6" xfId="22607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3" xfId="9412"/>
    <cellStyle name="40% - akcent 3 60 4" xfId="16018"/>
    <cellStyle name="40% - akcent 3 60 5" xfId="22609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3" xfId="9413"/>
    <cellStyle name="40% - akcent 3 61 4" xfId="16019"/>
    <cellStyle name="40% - akcent 3 61 5" xfId="22610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3" xfId="9414"/>
    <cellStyle name="40% - akcent 3 62 4" xfId="16020"/>
    <cellStyle name="40% - akcent 3 62 5" xfId="22611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3" xfId="9415"/>
    <cellStyle name="40% - akcent 3 63 4" xfId="16021"/>
    <cellStyle name="40% - akcent 3 63 5" xfId="22612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3" xfId="9416"/>
    <cellStyle name="40% - akcent 3 64 4" xfId="16022"/>
    <cellStyle name="40% - akcent 3 64 5" xfId="22613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3" xfId="9417"/>
    <cellStyle name="40% - akcent 3 65 4" xfId="16023"/>
    <cellStyle name="40% - akcent 3 65 5" xfId="22614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3" xfId="9418"/>
    <cellStyle name="40% - akcent 3 66 4" xfId="16024"/>
    <cellStyle name="40% - akcent 3 66 5" xfId="22615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3" xfId="9419"/>
    <cellStyle name="40% - akcent 3 67 4" xfId="16025"/>
    <cellStyle name="40% - akcent 3 67 5" xfId="22616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3" xfId="9420"/>
    <cellStyle name="40% - akcent 3 68 4" xfId="16026"/>
    <cellStyle name="40% - akcent 3 68 5" xfId="22617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3" xfId="9421"/>
    <cellStyle name="40% - akcent 3 69 4" xfId="16027"/>
    <cellStyle name="40% - akcent 3 69 5" xfId="22618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3" xfId="9423"/>
    <cellStyle name="40% - akcent 3 7 2 4" xfId="16029"/>
    <cellStyle name="40% - akcent 3 7 2 5" xfId="22620"/>
    <cellStyle name="40% - akcent 3 7 3" xfId="6077"/>
    <cellStyle name="40% - akcent 3 7 3 2" xfId="12712"/>
    <cellStyle name="40% - akcent 3 7 3 3" xfId="19316"/>
    <cellStyle name="40% - akcent 3 7 3 4" xfId="25907"/>
    <cellStyle name="40% - akcent 3 7 4" xfId="9422"/>
    <cellStyle name="40% - akcent 3 7 5" xfId="16028"/>
    <cellStyle name="40% - akcent 3 7 6" xfId="22619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3" xfId="9424"/>
    <cellStyle name="40% - akcent 3 70 4" xfId="16030"/>
    <cellStyle name="40% - akcent 3 70 5" xfId="22621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3" xfId="9425"/>
    <cellStyle name="40% - akcent 3 71 4" xfId="16031"/>
    <cellStyle name="40% - akcent 3 71 5" xfId="22622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3" xfId="9426"/>
    <cellStyle name="40% - akcent 3 72 4" xfId="16032"/>
    <cellStyle name="40% - akcent 3 72 5" xfId="22623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3" xfId="9427"/>
    <cellStyle name="40% - akcent 3 73 4" xfId="16033"/>
    <cellStyle name="40% - akcent 3 73 5" xfId="22624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3" xfId="9428"/>
    <cellStyle name="40% - akcent 3 74 4" xfId="16034"/>
    <cellStyle name="40% - akcent 3 74 5" xfId="22625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3" xfId="9429"/>
    <cellStyle name="40% - akcent 3 75 4" xfId="16035"/>
    <cellStyle name="40% - akcent 3 75 5" xfId="22626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3" xfId="9430"/>
    <cellStyle name="40% - akcent 3 76 4" xfId="16036"/>
    <cellStyle name="40% - akcent 3 76 5" xfId="22627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3" xfId="9431"/>
    <cellStyle name="40% - akcent 3 77 4" xfId="16037"/>
    <cellStyle name="40% - akcent 3 77 5" xfId="22628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3" xfId="9432"/>
    <cellStyle name="40% - akcent 3 78 4" xfId="16038"/>
    <cellStyle name="40% - akcent 3 78 5" xfId="22629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3" xfId="9433"/>
    <cellStyle name="40% - akcent 3 79 4" xfId="16039"/>
    <cellStyle name="40% - akcent 3 79 5" xfId="22630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3" xfId="9435"/>
    <cellStyle name="40% - akcent 3 8 2 4" xfId="16041"/>
    <cellStyle name="40% - akcent 3 8 2 5" xfId="22632"/>
    <cellStyle name="40% - akcent 3 8 3" xfId="6089"/>
    <cellStyle name="40% - akcent 3 8 3 2" xfId="12724"/>
    <cellStyle name="40% - akcent 3 8 3 3" xfId="19328"/>
    <cellStyle name="40% - akcent 3 8 3 4" xfId="25919"/>
    <cellStyle name="40% - akcent 3 8 4" xfId="9434"/>
    <cellStyle name="40% - akcent 3 8 5" xfId="16040"/>
    <cellStyle name="40% - akcent 3 8 6" xfId="22631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3" xfId="9436"/>
    <cellStyle name="40% - akcent 3 80 4" xfId="16042"/>
    <cellStyle name="40% - akcent 3 80 5" xfId="22633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3" xfId="9437"/>
    <cellStyle name="40% - akcent 3 81 4" xfId="16043"/>
    <cellStyle name="40% - akcent 3 81 5" xfId="22634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3" xfId="9438"/>
    <cellStyle name="40% - akcent 3 82 4" xfId="16044"/>
    <cellStyle name="40% - akcent 3 82 5" xfId="22635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3" xfId="9439"/>
    <cellStyle name="40% - akcent 3 83 4" xfId="16045"/>
    <cellStyle name="40% - akcent 3 83 5" xfId="22636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3" xfId="9440"/>
    <cellStyle name="40% - akcent 3 84 4" xfId="16046"/>
    <cellStyle name="40% - akcent 3 84 5" xfId="22637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3" xfId="9441"/>
    <cellStyle name="40% - akcent 3 85 4" xfId="16047"/>
    <cellStyle name="40% - akcent 3 85 5" xfId="22638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3" xfId="9442"/>
    <cellStyle name="40% - akcent 3 86 4" xfId="16048"/>
    <cellStyle name="40% - akcent 3 86 5" xfId="22639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3" xfId="9443"/>
    <cellStyle name="40% - akcent 3 87 4" xfId="16049"/>
    <cellStyle name="40% - akcent 3 87 5" xfId="22640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3" xfId="9444"/>
    <cellStyle name="40% - akcent 3 88 4" xfId="16050"/>
    <cellStyle name="40% - akcent 3 88 5" xfId="22641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3" xfId="9445"/>
    <cellStyle name="40% - akcent 3 89 4" xfId="16051"/>
    <cellStyle name="40% - akcent 3 89 5" xfId="22642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3" xfId="9447"/>
    <cellStyle name="40% - akcent 3 9 2 4" xfId="16053"/>
    <cellStyle name="40% - akcent 3 9 2 5" xfId="22644"/>
    <cellStyle name="40% - akcent 3 9 3" xfId="6101"/>
    <cellStyle name="40% - akcent 3 9 3 2" xfId="12736"/>
    <cellStyle name="40% - akcent 3 9 3 3" xfId="19340"/>
    <cellStyle name="40% - akcent 3 9 3 4" xfId="25931"/>
    <cellStyle name="40% - akcent 3 9 4" xfId="9446"/>
    <cellStyle name="40% - akcent 3 9 5" xfId="16052"/>
    <cellStyle name="40% - akcent 3 9 6" xfId="22643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3" xfId="9448"/>
    <cellStyle name="40% - akcent 3 90 4" xfId="16054"/>
    <cellStyle name="40% - akcent 3 90 5" xfId="22645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3" xfId="9449"/>
    <cellStyle name="40% - akcent 3 91 4" xfId="16055"/>
    <cellStyle name="40% - akcent 3 91 5" xfId="22646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3" xfId="9450"/>
    <cellStyle name="40% - akcent 3 92 4" xfId="16056"/>
    <cellStyle name="40% - akcent 3 92 5" xfId="22647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3" xfId="9451"/>
    <cellStyle name="40% - akcent 3 93 4" xfId="16057"/>
    <cellStyle name="40% - akcent 3 93 5" xfId="22648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3" xfId="9452"/>
    <cellStyle name="40% - akcent 3 94 4" xfId="16058"/>
    <cellStyle name="40% - akcent 3 94 5" xfId="22649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3" xfId="9453"/>
    <cellStyle name="40% - akcent 3 95 4" xfId="16059"/>
    <cellStyle name="40% - akcent 3 95 5" xfId="22650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3" xfId="9454"/>
    <cellStyle name="40% - akcent 3 96 4" xfId="16060"/>
    <cellStyle name="40% - akcent 3 96 5" xfId="22651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3" xfId="9455"/>
    <cellStyle name="40% - akcent 3 97 4" xfId="16061"/>
    <cellStyle name="40% - akcent 3 97 5" xfId="22652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3" xfId="9456"/>
    <cellStyle name="40% - akcent 3 98 4" xfId="16062"/>
    <cellStyle name="40% - akcent 3 98 5" xfId="22653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3" xfId="9457"/>
    <cellStyle name="40% - akcent 3 99 4" xfId="16063"/>
    <cellStyle name="40% - akcent 3 99 5" xfId="22654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3" xfId="9459"/>
    <cellStyle name="40% - akcent 4 10 2 4" xfId="16065"/>
    <cellStyle name="40% - akcent 4 10 2 5" xfId="22656"/>
    <cellStyle name="40% - akcent 4 10 3" xfId="6113"/>
    <cellStyle name="40% - akcent 4 10 3 2" xfId="12748"/>
    <cellStyle name="40% - akcent 4 10 3 3" xfId="19352"/>
    <cellStyle name="40% - akcent 4 10 3 4" xfId="25943"/>
    <cellStyle name="40% - akcent 4 10 4" xfId="9458"/>
    <cellStyle name="40% - akcent 4 10 5" xfId="16064"/>
    <cellStyle name="40% - akcent 4 10 6" xfId="22655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3" xfId="9460"/>
    <cellStyle name="40% - akcent 4 100 4" xfId="16066"/>
    <cellStyle name="40% - akcent 4 100 5" xfId="22657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3" xfId="9461"/>
    <cellStyle name="40% - akcent 4 101 4" xfId="16067"/>
    <cellStyle name="40% - akcent 4 101 5" xfId="22658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3" xfId="9462"/>
    <cellStyle name="40% - akcent 4 102 4" xfId="16068"/>
    <cellStyle name="40% - akcent 4 102 5" xfId="22659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3" xfId="9463"/>
    <cellStyle name="40% - akcent 4 103 4" xfId="16069"/>
    <cellStyle name="40% - akcent 4 103 5" xfId="22660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3" xfId="9464"/>
    <cellStyle name="40% - akcent 4 104 4" xfId="16070"/>
    <cellStyle name="40% - akcent 4 104 5" xfId="22661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3" xfId="9465"/>
    <cellStyle name="40% - akcent 4 105 4" xfId="16071"/>
    <cellStyle name="40% - akcent 4 105 5" xfId="22662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3" xfId="9466"/>
    <cellStyle name="40% - akcent 4 106 4" xfId="16072"/>
    <cellStyle name="40% - akcent 4 106 5" xfId="22663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3" xfId="9467"/>
    <cellStyle name="40% - akcent 4 107 4" xfId="16073"/>
    <cellStyle name="40% - akcent 4 107 5" xfId="22664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3" xfId="9468"/>
    <cellStyle name="40% - akcent 4 108 4" xfId="16074"/>
    <cellStyle name="40% - akcent 4 108 5" xfId="22665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3" xfId="9469"/>
    <cellStyle name="40% - akcent 4 109 4" xfId="16075"/>
    <cellStyle name="40% - akcent 4 109 5" xfId="22666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3" xfId="9471"/>
    <cellStyle name="40% - akcent 4 11 2 4" xfId="16077"/>
    <cellStyle name="40% - akcent 4 11 2 5" xfId="22668"/>
    <cellStyle name="40% - akcent 4 11 3" xfId="6125"/>
    <cellStyle name="40% - akcent 4 11 3 2" xfId="12760"/>
    <cellStyle name="40% - akcent 4 11 3 3" xfId="19364"/>
    <cellStyle name="40% - akcent 4 11 3 4" xfId="25955"/>
    <cellStyle name="40% - akcent 4 11 4" xfId="9470"/>
    <cellStyle name="40% - akcent 4 11 5" xfId="16076"/>
    <cellStyle name="40% - akcent 4 11 6" xfId="22667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3" xfId="9472"/>
    <cellStyle name="40% - akcent 4 110 4" xfId="16078"/>
    <cellStyle name="40% - akcent 4 110 5" xfId="22669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3" xfId="9473"/>
    <cellStyle name="40% - akcent 4 111 4" xfId="16079"/>
    <cellStyle name="40% - akcent 4 111 5" xfId="22670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3" xfId="9474"/>
    <cellStyle name="40% - akcent 4 112 4" xfId="16080"/>
    <cellStyle name="40% - akcent 4 112 5" xfId="22671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3" xfId="9475"/>
    <cellStyle name="40% - akcent 4 113 4" xfId="16081"/>
    <cellStyle name="40% - akcent 4 113 5" xfId="22672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3" xfId="9476"/>
    <cellStyle name="40% - akcent 4 114 4" xfId="16082"/>
    <cellStyle name="40% - akcent 4 114 5" xfId="22673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3" xfId="9477"/>
    <cellStyle name="40% - akcent 4 115 4" xfId="16083"/>
    <cellStyle name="40% - akcent 4 115 5" xfId="22674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3" xfId="9478"/>
    <cellStyle name="40% - akcent 4 116 4" xfId="16084"/>
    <cellStyle name="40% - akcent 4 116 5" xfId="22675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3" xfId="9479"/>
    <cellStyle name="40% - akcent 4 117 4" xfId="16085"/>
    <cellStyle name="40% - akcent 4 117 5" xfId="22676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3" xfId="9480"/>
    <cellStyle name="40% - akcent 4 118 4" xfId="16086"/>
    <cellStyle name="40% - akcent 4 118 5" xfId="22677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3" xfId="9481"/>
    <cellStyle name="40% - akcent 4 119 4" xfId="16087"/>
    <cellStyle name="40% - akcent 4 119 5" xfId="22678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3" xfId="9483"/>
    <cellStyle name="40% - akcent 4 12 2 4" xfId="16089"/>
    <cellStyle name="40% - akcent 4 12 2 5" xfId="22680"/>
    <cellStyle name="40% - akcent 4 12 3" xfId="6137"/>
    <cellStyle name="40% - akcent 4 12 3 2" xfId="12772"/>
    <cellStyle name="40% - akcent 4 12 3 3" xfId="19376"/>
    <cellStyle name="40% - akcent 4 12 3 4" xfId="25967"/>
    <cellStyle name="40% - akcent 4 12 4" xfId="9482"/>
    <cellStyle name="40% - akcent 4 12 5" xfId="16088"/>
    <cellStyle name="40% - akcent 4 12 6" xfId="22679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3" xfId="9484"/>
    <cellStyle name="40% - akcent 4 120 4" xfId="16090"/>
    <cellStyle name="40% - akcent 4 120 5" xfId="22681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3" xfId="9485"/>
    <cellStyle name="40% - akcent 4 121 4" xfId="16091"/>
    <cellStyle name="40% - akcent 4 121 5" xfId="22682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3" xfId="9486"/>
    <cellStyle name="40% - akcent 4 122 4" xfId="16092"/>
    <cellStyle name="40% - akcent 4 122 5" xfId="22683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3" xfId="9487"/>
    <cellStyle name="40% - akcent 4 123 4" xfId="16093"/>
    <cellStyle name="40% - akcent 4 123 5" xfId="22684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3" xfId="9488"/>
    <cellStyle name="40% - akcent 4 124 4" xfId="16094"/>
    <cellStyle name="40% - akcent 4 124 5" xfId="22685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3" xfId="9489"/>
    <cellStyle name="40% - akcent 4 125 4" xfId="16095"/>
    <cellStyle name="40% - akcent 4 125 5" xfId="22686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3" xfId="9490"/>
    <cellStyle name="40% - akcent 4 126 4" xfId="16096"/>
    <cellStyle name="40% - akcent 4 126 5" xfId="22687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3" xfId="9491"/>
    <cellStyle name="40% - akcent 4 127 4" xfId="16097"/>
    <cellStyle name="40% - akcent 4 127 5" xfId="22688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3" xfId="9492"/>
    <cellStyle name="40% - akcent 4 128 4" xfId="16098"/>
    <cellStyle name="40% - akcent 4 128 5" xfId="22689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3" xfId="9493"/>
    <cellStyle name="40% - akcent 4 129 4" xfId="16099"/>
    <cellStyle name="40% - akcent 4 129 5" xfId="22690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3" xfId="9495"/>
    <cellStyle name="40% - akcent 4 13 2 4" xfId="16101"/>
    <cellStyle name="40% - akcent 4 13 2 5" xfId="22692"/>
    <cellStyle name="40% - akcent 4 13 3" xfId="6149"/>
    <cellStyle name="40% - akcent 4 13 3 2" xfId="12784"/>
    <cellStyle name="40% - akcent 4 13 3 3" xfId="19388"/>
    <cellStyle name="40% - akcent 4 13 3 4" xfId="25979"/>
    <cellStyle name="40% - akcent 4 13 4" xfId="9494"/>
    <cellStyle name="40% - akcent 4 13 5" xfId="16100"/>
    <cellStyle name="40% - akcent 4 13 6" xfId="22691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3" xfId="9496"/>
    <cellStyle name="40% - akcent 4 130 4" xfId="16102"/>
    <cellStyle name="40% - akcent 4 130 5" xfId="22693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3" xfId="9497"/>
    <cellStyle name="40% - akcent 4 131 4" xfId="16103"/>
    <cellStyle name="40% - akcent 4 131 5" xfId="22694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3" xfId="9498"/>
    <cellStyle name="40% - akcent 4 132 4" xfId="16104"/>
    <cellStyle name="40% - akcent 4 132 5" xfId="22695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3" xfId="9499"/>
    <cellStyle name="40% - akcent 4 133 4" xfId="16105"/>
    <cellStyle name="40% - akcent 4 133 5" xfId="22696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3" xfId="9500"/>
    <cellStyle name="40% - akcent 4 134 4" xfId="16106"/>
    <cellStyle name="40% - akcent 4 134 5" xfId="22697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3" xfId="9501"/>
    <cellStyle name="40% - akcent 4 135 4" xfId="16107"/>
    <cellStyle name="40% - akcent 4 135 5" xfId="22698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3" xfId="9502"/>
    <cellStyle name="40% - akcent 4 136 4" xfId="16108"/>
    <cellStyle name="40% - akcent 4 136 5" xfId="22699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3" xfId="9503"/>
    <cellStyle name="40% - akcent 4 137 4" xfId="16109"/>
    <cellStyle name="40% - akcent 4 137 5" xfId="22700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3" xfId="9504"/>
    <cellStyle name="40% - akcent 4 138 4" xfId="16110"/>
    <cellStyle name="40% - akcent 4 138 5" xfId="22701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3" xfId="9505"/>
    <cellStyle name="40% - akcent 4 139 4" xfId="16111"/>
    <cellStyle name="40% - akcent 4 139 5" xfId="22702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3" xfId="9507"/>
    <cellStyle name="40% - akcent 4 14 2 4" xfId="16113"/>
    <cellStyle name="40% - akcent 4 14 2 5" xfId="22704"/>
    <cellStyle name="40% - akcent 4 14 3" xfId="6161"/>
    <cellStyle name="40% - akcent 4 14 3 2" xfId="12796"/>
    <cellStyle name="40% - akcent 4 14 3 3" xfId="19400"/>
    <cellStyle name="40% - akcent 4 14 3 4" xfId="25991"/>
    <cellStyle name="40% - akcent 4 14 4" xfId="9506"/>
    <cellStyle name="40% - akcent 4 14 5" xfId="16112"/>
    <cellStyle name="40% - akcent 4 14 6" xfId="22703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3" xfId="9508"/>
    <cellStyle name="40% - akcent 4 140 4" xfId="16114"/>
    <cellStyle name="40% - akcent 4 140 5" xfId="22705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3" xfId="9509"/>
    <cellStyle name="40% - akcent 4 141 4" xfId="16115"/>
    <cellStyle name="40% - akcent 4 141 5" xfId="22706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3" xfId="9510"/>
    <cellStyle name="40% - akcent 4 142 4" xfId="16116"/>
    <cellStyle name="40% - akcent 4 142 5" xfId="22707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3" xfId="9511"/>
    <cellStyle name="40% - akcent 4 143 4" xfId="16117"/>
    <cellStyle name="40% - akcent 4 143 5" xfId="22708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3" xfId="9512"/>
    <cellStyle name="40% - akcent 4 144 4" xfId="16118"/>
    <cellStyle name="40% - akcent 4 144 5" xfId="22709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3" xfId="9513"/>
    <cellStyle name="40% - akcent 4 145 4" xfId="16119"/>
    <cellStyle name="40% - akcent 4 145 5" xfId="22710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3" xfId="9514"/>
    <cellStyle name="40% - akcent 4 146 4" xfId="16120"/>
    <cellStyle name="40% - akcent 4 146 5" xfId="22711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3" xfId="9515"/>
    <cellStyle name="40% - akcent 4 147 4" xfId="16121"/>
    <cellStyle name="40% - akcent 4 147 5" xfId="22712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3" xfId="9516"/>
    <cellStyle name="40% - akcent 4 148 4" xfId="16122"/>
    <cellStyle name="40% - akcent 4 148 5" xfId="22713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3" xfId="9517"/>
    <cellStyle name="40% - akcent 4 149 4" xfId="16123"/>
    <cellStyle name="40% - akcent 4 149 5" xfId="22714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3" xfId="9519"/>
    <cellStyle name="40% - akcent 4 15 2 4" xfId="16125"/>
    <cellStyle name="40% - akcent 4 15 2 5" xfId="22716"/>
    <cellStyle name="40% - akcent 4 15 3" xfId="6173"/>
    <cellStyle name="40% - akcent 4 15 3 2" xfId="12808"/>
    <cellStyle name="40% - akcent 4 15 3 3" xfId="19412"/>
    <cellStyle name="40% - akcent 4 15 3 4" xfId="26003"/>
    <cellStyle name="40% - akcent 4 15 4" xfId="9518"/>
    <cellStyle name="40% - akcent 4 15 5" xfId="16124"/>
    <cellStyle name="40% - akcent 4 15 6" xfId="22715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3" xfId="9520"/>
    <cellStyle name="40% - akcent 4 150 4" xfId="16126"/>
    <cellStyle name="40% - akcent 4 150 5" xfId="22717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3" xfId="9521"/>
    <cellStyle name="40% - akcent 4 151 4" xfId="16127"/>
    <cellStyle name="40% - akcent 4 151 5" xfId="22718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3" xfId="9522"/>
    <cellStyle name="40% - akcent 4 152 4" xfId="16128"/>
    <cellStyle name="40% - akcent 4 152 5" xfId="22719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3" xfId="9523"/>
    <cellStyle name="40% - akcent 4 153 4" xfId="16129"/>
    <cellStyle name="40% - akcent 4 153 5" xfId="22720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3" xfId="9524"/>
    <cellStyle name="40% - akcent 4 154 4" xfId="16130"/>
    <cellStyle name="40% - akcent 4 154 5" xfId="22721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3" xfId="9525"/>
    <cellStyle name="40% - akcent 4 155 4" xfId="16131"/>
    <cellStyle name="40% - akcent 4 155 5" xfId="22722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3" xfId="9526"/>
    <cellStyle name="40% - akcent 4 156 4" xfId="16132"/>
    <cellStyle name="40% - akcent 4 156 5" xfId="22723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3" xfId="9527"/>
    <cellStyle name="40% - akcent 4 157 4" xfId="16133"/>
    <cellStyle name="40% - akcent 4 157 5" xfId="22724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3" xfId="9528"/>
    <cellStyle name="40% - akcent 4 158 4" xfId="16134"/>
    <cellStyle name="40% - akcent 4 158 5" xfId="22725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3" xfId="9529"/>
    <cellStyle name="40% - akcent 4 159 4" xfId="16135"/>
    <cellStyle name="40% - akcent 4 159 5" xfId="22726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3" xfId="9531"/>
    <cellStyle name="40% - akcent 4 16 2 4" xfId="16137"/>
    <cellStyle name="40% - akcent 4 16 2 5" xfId="22728"/>
    <cellStyle name="40% - akcent 4 16 3" xfId="6185"/>
    <cellStyle name="40% - akcent 4 16 3 2" xfId="12820"/>
    <cellStyle name="40% - akcent 4 16 3 3" xfId="19424"/>
    <cellStyle name="40% - akcent 4 16 3 4" xfId="26015"/>
    <cellStyle name="40% - akcent 4 16 4" xfId="9530"/>
    <cellStyle name="40% - akcent 4 16 5" xfId="16136"/>
    <cellStyle name="40% - akcent 4 16 6" xfId="22727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3" xfId="9532"/>
    <cellStyle name="40% - akcent 4 160 4" xfId="16138"/>
    <cellStyle name="40% - akcent 4 160 5" xfId="22729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3" xfId="9533"/>
    <cellStyle name="40% - akcent 4 161 4" xfId="16139"/>
    <cellStyle name="40% - akcent 4 161 5" xfId="22730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3" xfId="9534"/>
    <cellStyle name="40% - akcent 4 162 4" xfId="16140"/>
    <cellStyle name="40% - akcent 4 162 5" xfId="22731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3" xfId="9535"/>
    <cellStyle name="40% - akcent 4 163 4" xfId="16141"/>
    <cellStyle name="40% - akcent 4 163 5" xfId="22732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3" xfId="9536"/>
    <cellStyle name="40% - akcent 4 164 4" xfId="16142"/>
    <cellStyle name="40% - akcent 4 164 5" xfId="22733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3" xfId="9537"/>
    <cellStyle name="40% - akcent 4 165 4" xfId="16143"/>
    <cellStyle name="40% - akcent 4 165 5" xfId="22734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3" xfId="9538"/>
    <cellStyle name="40% - akcent 4 166 4" xfId="16144"/>
    <cellStyle name="40% - akcent 4 166 5" xfId="22735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3" xfId="9539"/>
    <cellStyle name="40% - akcent 4 167 4" xfId="16145"/>
    <cellStyle name="40% - akcent 4 167 5" xfId="22736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3" xfId="9540"/>
    <cellStyle name="40% - akcent 4 168 4" xfId="16146"/>
    <cellStyle name="40% - akcent 4 168 5" xfId="22737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3" xfId="9541"/>
    <cellStyle name="40% - akcent 4 169 4" xfId="16147"/>
    <cellStyle name="40% - akcent 4 169 5" xfId="22738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3" xfId="9543"/>
    <cellStyle name="40% - akcent 4 17 2 4" xfId="16149"/>
    <cellStyle name="40% - akcent 4 17 2 5" xfId="22740"/>
    <cellStyle name="40% - akcent 4 17 3" xfId="6197"/>
    <cellStyle name="40% - akcent 4 17 3 2" xfId="12832"/>
    <cellStyle name="40% - akcent 4 17 3 3" xfId="19436"/>
    <cellStyle name="40% - akcent 4 17 3 4" xfId="26027"/>
    <cellStyle name="40% - akcent 4 17 4" xfId="9542"/>
    <cellStyle name="40% - akcent 4 17 5" xfId="16148"/>
    <cellStyle name="40% - akcent 4 17 6" xfId="22739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3" xfId="9544"/>
    <cellStyle name="40% - akcent 4 170 4" xfId="16150"/>
    <cellStyle name="40% - akcent 4 170 5" xfId="22741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3" xfId="9545"/>
    <cellStyle name="40% - akcent 4 171 4" xfId="16151"/>
    <cellStyle name="40% - akcent 4 171 5" xfId="22742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3" xfId="9546"/>
    <cellStyle name="40% - akcent 4 172 4" xfId="16152"/>
    <cellStyle name="40% - akcent 4 172 5" xfId="22743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3" xfId="9547"/>
    <cellStyle name="40% - akcent 4 173 4" xfId="16153"/>
    <cellStyle name="40% - akcent 4 173 5" xfId="22744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3" xfId="9548"/>
    <cellStyle name="40% - akcent 4 174 4" xfId="16154"/>
    <cellStyle name="40% - akcent 4 174 5" xfId="22745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3" xfId="9549"/>
    <cellStyle name="40% - akcent 4 175 4" xfId="16155"/>
    <cellStyle name="40% - akcent 4 175 5" xfId="22746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3" xfId="9550"/>
    <cellStyle name="40% - akcent 4 176 4" xfId="16156"/>
    <cellStyle name="40% - akcent 4 176 5" xfId="22747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3" xfId="9551"/>
    <cellStyle name="40% - akcent 4 177 4" xfId="16157"/>
    <cellStyle name="40% - akcent 4 177 5" xfId="22748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3" xfId="9552"/>
    <cellStyle name="40% - akcent 4 178 4" xfId="16158"/>
    <cellStyle name="40% - akcent 4 178 5" xfId="22749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3" xfId="9553"/>
    <cellStyle name="40% - akcent 4 179 4" xfId="16159"/>
    <cellStyle name="40% - akcent 4 179 5" xfId="22750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3" xfId="9555"/>
    <cellStyle name="40% - akcent 4 18 2 4" xfId="16161"/>
    <cellStyle name="40% - akcent 4 18 2 5" xfId="22752"/>
    <cellStyle name="40% - akcent 4 18 3" xfId="6209"/>
    <cellStyle name="40% - akcent 4 18 3 2" xfId="12844"/>
    <cellStyle name="40% - akcent 4 18 3 3" xfId="19448"/>
    <cellStyle name="40% - akcent 4 18 3 4" xfId="26039"/>
    <cellStyle name="40% - akcent 4 18 4" xfId="9554"/>
    <cellStyle name="40% - akcent 4 18 5" xfId="16160"/>
    <cellStyle name="40% - akcent 4 18 6" xfId="22751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3" xfId="9556"/>
    <cellStyle name="40% - akcent 4 180 4" xfId="16162"/>
    <cellStyle name="40% - akcent 4 180 5" xfId="22753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3" xfId="9557"/>
    <cellStyle name="40% - akcent 4 181 4" xfId="16163"/>
    <cellStyle name="40% - akcent 4 181 5" xfId="22754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3" xfId="9558"/>
    <cellStyle name="40% - akcent 4 182 4" xfId="16164"/>
    <cellStyle name="40% - akcent 4 182 5" xfId="22755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3" xfId="9559"/>
    <cellStyle name="40% - akcent 4 183 4" xfId="16165"/>
    <cellStyle name="40% - akcent 4 183 5" xfId="22756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3" xfId="9560"/>
    <cellStyle name="40% - akcent 4 184 4" xfId="16166"/>
    <cellStyle name="40% - akcent 4 184 5" xfId="22757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3" xfId="9561"/>
    <cellStyle name="40% - akcent 4 185 4" xfId="16167"/>
    <cellStyle name="40% - akcent 4 185 5" xfId="22758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3" xfId="9562"/>
    <cellStyle name="40% - akcent 4 186 4" xfId="16168"/>
    <cellStyle name="40% - akcent 4 186 5" xfId="22759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3" xfId="9563"/>
    <cellStyle name="40% - akcent 4 187 4" xfId="16169"/>
    <cellStyle name="40% - akcent 4 187 5" xfId="22760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3" xfId="9564"/>
    <cellStyle name="40% - akcent 4 188 4" xfId="16170"/>
    <cellStyle name="40% - akcent 4 188 5" xfId="22761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3" xfId="9565"/>
    <cellStyle name="40% - akcent 4 189 4" xfId="16171"/>
    <cellStyle name="40% - akcent 4 189 5" xfId="22762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3" xfId="9567"/>
    <cellStyle name="40% - akcent 4 19 2 4" xfId="16173"/>
    <cellStyle name="40% - akcent 4 19 2 5" xfId="22764"/>
    <cellStyle name="40% - akcent 4 19 3" xfId="6221"/>
    <cellStyle name="40% - akcent 4 19 3 2" xfId="12856"/>
    <cellStyle name="40% - akcent 4 19 3 3" xfId="19460"/>
    <cellStyle name="40% - akcent 4 19 3 4" xfId="26051"/>
    <cellStyle name="40% - akcent 4 19 4" xfId="9566"/>
    <cellStyle name="40% - akcent 4 19 5" xfId="16172"/>
    <cellStyle name="40% - akcent 4 19 6" xfId="22763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3" xfId="9568"/>
    <cellStyle name="40% - akcent 4 190 4" xfId="16174"/>
    <cellStyle name="40% - akcent 4 190 5" xfId="22765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3" xfId="9569"/>
    <cellStyle name="40% - akcent 4 191 4" xfId="16175"/>
    <cellStyle name="40% - akcent 4 191 5" xfId="22766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3" xfId="9570"/>
    <cellStyle name="40% - akcent 4 192 4" xfId="16176"/>
    <cellStyle name="40% - akcent 4 192 5" xfId="22767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3" xfId="9571"/>
    <cellStyle name="40% - akcent 4 193 4" xfId="16177"/>
    <cellStyle name="40% - akcent 4 193 5" xfId="22768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3" xfId="9572"/>
    <cellStyle name="40% - akcent 4 194 4" xfId="16178"/>
    <cellStyle name="40% - akcent 4 194 5" xfId="22769"/>
    <cellStyle name="40% - akcent 4 195" xfId="3844"/>
    <cellStyle name="40% - akcent 4 195 2" xfId="10479"/>
    <cellStyle name="40% - akcent 4 195 3" xfId="17083"/>
    <cellStyle name="40% - akcent 4 195 4" xfId="23674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3" xfId="9574"/>
    <cellStyle name="40% - akcent 4 2 2 4" xfId="16180"/>
    <cellStyle name="40% - akcent 4 2 2 5" xfId="22771"/>
    <cellStyle name="40% - akcent 4 2 3" xfId="6228"/>
    <cellStyle name="40% - akcent 4 2 3 2" xfId="12863"/>
    <cellStyle name="40% - akcent 4 2 3 3" xfId="19467"/>
    <cellStyle name="40% - akcent 4 2 3 4" xfId="26058"/>
    <cellStyle name="40% - akcent 4 2 4" xfId="9573"/>
    <cellStyle name="40% - akcent 4 2 5" xfId="16179"/>
    <cellStyle name="40% - akcent 4 2 6" xfId="22770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3" xfId="9576"/>
    <cellStyle name="40% - akcent 4 20 2 4" xfId="16182"/>
    <cellStyle name="40% - akcent 4 20 2 5" xfId="22773"/>
    <cellStyle name="40% - akcent 4 20 3" xfId="6230"/>
    <cellStyle name="40% - akcent 4 20 3 2" xfId="12865"/>
    <cellStyle name="40% - akcent 4 20 3 3" xfId="19469"/>
    <cellStyle name="40% - akcent 4 20 3 4" xfId="26060"/>
    <cellStyle name="40% - akcent 4 20 4" xfId="9575"/>
    <cellStyle name="40% - akcent 4 20 5" xfId="16181"/>
    <cellStyle name="40% - akcent 4 20 6" xfId="22772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3" xfId="9578"/>
    <cellStyle name="40% - akcent 4 21 2 4" xfId="16184"/>
    <cellStyle name="40% - akcent 4 21 2 5" xfId="22775"/>
    <cellStyle name="40% - akcent 4 21 3" xfId="6232"/>
    <cellStyle name="40% - akcent 4 21 3 2" xfId="12867"/>
    <cellStyle name="40% - akcent 4 21 3 3" xfId="19471"/>
    <cellStyle name="40% - akcent 4 21 3 4" xfId="26062"/>
    <cellStyle name="40% - akcent 4 21 4" xfId="9577"/>
    <cellStyle name="40% - akcent 4 21 5" xfId="16183"/>
    <cellStyle name="40% - akcent 4 21 6" xfId="22774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3" xfId="9580"/>
    <cellStyle name="40% - akcent 4 22 2 4" xfId="16186"/>
    <cellStyle name="40% - akcent 4 22 2 5" xfId="22777"/>
    <cellStyle name="40% - akcent 4 22 3" xfId="6234"/>
    <cellStyle name="40% - akcent 4 22 3 2" xfId="12869"/>
    <cellStyle name="40% - akcent 4 22 3 3" xfId="19473"/>
    <cellStyle name="40% - akcent 4 22 3 4" xfId="26064"/>
    <cellStyle name="40% - akcent 4 22 4" xfId="9579"/>
    <cellStyle name="40% - akcent 4 22 5" xfId="16185"/>
    <cellStyle name="40% - akcent 4 22 6" xfId="22776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3" xfId="9582"/>
    <cellStyle name="40% - akcent 4 23 2 4" xfId="16188"/>
    <cellStyle name="40% - akcent 4 23 2 5" xfId="22779"/>
    <cellStyle name="40% - akcent 4 23 3" xfId="6236"/>
    <cellStyle name="40% - akcent 4 23 3 2" xfId="12871"/>
    <cellStyle name="40% - akcent 4 23 3 3" xfId="19475"/>
    <cellStyle name="40% - akcent 4 23 3 4" xfId="26066"/>
    <cellStyle name="40% - akcent 4 23 4" xfId="9581"/>
    <cellStyle name="40% - akcent 4 23 5" xfId="16187"/>
    <cellStyle name="40% - akcent 4 23 6" xfId="22778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3" xfId="9584"/>
    <cellStyle name="40% - akcent 4 24 2 4" xfId="16190"/>
    <cellStyle name="40% - akcent 4 24 2 5" xfId="22781"/>
    <cellStyle name="40% - akcent 4 24 3" xfId="6238"/>
    <cellStyle name="40% - akcent 4 24 3 2" xfId="12873"/>
    <cellStyle name="40% - akcent 4 24 3 3" xfId="19477"/>
    <cellStyle name="40% - akcent 4 24 3 4" xfId="26068"/>
    <cellStyle name="40% - akcent 4 24 4" xfId="9583"/>
    <cellStyle name="40% - akcent 4 24 5" xfId="16189"/>
    <cellStyle name="40% - akcent 4 24 6" xfId="22780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3" xfId="9586"/>
    <cellStyle name="40% - akcent 4 25 2 4" xfId="16192"/>
    <cellStyle name="40% - akcent 4 25 2 5" xfId="22783"/>
    <cellStyle name="40% - akcent 4 25 3" xfId="6240"/>
    <cellStyle name="40% - akcent 4 25 3 2" xfId="12875"/>
    <cellStyle name="40% - akcent 4 25 3 3" xfId="19479"/>
    <cellStyle name="40% - akcent 4 25 3 4" xfId="26070"/>
    <cellStyle name="40% - akcent 4 25 4" xfId="9585"/>
    <cellStyle name="40% - akcent 4 25 5" xfId="16191"/>
    <cellStyle name="40% - akcent 4 25 6" xfId="22782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3" xfId="9588"/>
    <cellStyle name="40% - akcent 4 26 2 4" xfId="16194"/>
    <cellStyle name="40% - akcent 4 26 2 5" xfId="22785"/>
    <cellStyle name="40% - akcent 4 26 3" xfId="6242"/>
    <cellStyle name="40% - akcent 4 26 3 2" xfId="12877"/>
    <cellStyle name="40% - akcent 4 26 3 3" xfId="19481"/>
    <cellStyle name="40% - akcent 4 26 3 4" xfId="26072"/>
    <cellStyle name="40% - akcent 4 26 4" xfId="9587"/>
    <cellStyle name="40% - akcent 4 26 5" xfId="16193"/>
    <cellStyle name="40% - akcent 4 26 6" xfId="22784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3" xfId="9590"/>
    <cellStyle name="40% - akcent 4 27 2 4" xfId="16196"/>
    <cellStyle name="40% - akcent 4 27 2 5" xfId="22787"/>
    <cellStyle name="40% - akcent 4 27 3" xfId="6244"/>
    <cellStyle name="40% - akcent 4 27 3 2" xfId="12879"/>
    <cellStyle name="40% - akcent 4 27 3 3" xfId="19483"/>
    <cellStyle name="40% - akcent 4 27 3 4" xfId="26074"/>
    <cellStyle name="40% - akcent 4 27 4" xfId="9589"/>
    <cellStyle name="40% - akcent 4 27 5" xfId="16195"/>
    <cellStyle name="40% - akcent 4 27 6" xfId="22786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3" xfId="9592"/>
    <cellStyle name="40% - akcent 4 28 2 4" xfId="16198"/>
    <cellStyle name="40% - akcent 4 28 2 5" xfId="22789"/>
    <cellStyle name="40% - akcent 4 28 3" xfId="6246"/>
    <cellStyle name="40% - akcent 4 28 3 2" xfId="12881"/>
    <cellStyle name="40% - akcent 4 28 3 3" xfId="19485"/>
    <cellStyle name="40% - akcent 4 28 3 4" xfId="26076"/>
    <cellStyle name="40% - akcent 4 28 4" xfId="9591"/>
    <cellStyle name="40% - akcent 4 28 5" xfId="16197"/>
    <cellStyle name="40% - akcent 4 28 6" xfId="22788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3" xfId="9594"/>
    <cellStyle name="40% - akcent 4 29 2 4" xfId="16200"/>
    <cellStyle name="40% - akcent 4 29 2 5" xfId="22791"/>
    <cellStyle name="40% - akcent 4 29 3" xfId="6248"/>
    <cellStyle name="40% - akcent 4 29 3 2" xfId="12883"/>
    <cellStyle name="40% - akcent 4 29 3 3" xfId="19487"/>
    <cellStyle name="40% - akcent 4 29 3 4" xfId="26078"/>
    <cellStyle name="40% - akcent 4 29 4" xfId="9593"/>
    <cellStyle name="40% - akcent 4 29 5" xfId="16199"/>
    <cellStyle name="40% - akcent 4 29 6" xfId="22790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3" xfId="9596"/>
    <cellStyle name="40% - akcent 4 3 2 4" xfId="16202"/>
    <cellStyle name="40% - akcent 4 3 2 5" xfId="22793"/>
    <cellStyle name="40% - akcent 4 3 3" xfId="6250"/>
    <cellStyle name="40% - akcent 4 3 3 2" xfId="12885"/>
    <cellStyle name="40% - akcent 4 3 3 3" xfId="19489"/>
    <cellStyle name="40% - akcent 4 3 3 4" xfId="26080"/>
    <cellStyle name="40% - akcent 4 3 4" xfId="9595"/>
    <cellStyle name="40% - akcent 4 3 5" xfId="16201"/>
    <cellStyle name="40% - akcent 4 3 6" xfId="22792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3" xfId="9598"/>
    <cellStyle name="40% - akcent 4 30 2 4" xfId="16204"/>
    <cellStyle name="40% - akcent 4 30 2 5" xfId="22795"/>
    <cellStyle name="40% - akcent 4 30 3" xfId="6252"/>
    <cellStyle name="40% - akcent 4 30 3 2" xfId="12887"/>
    <cellStyle name="40% - akcent 4 30 3 3" xfId="19491"/>
    <cellStyle name="40% - akcent 4 30 3 4" xfId="26082"/>
    <cellStyle name="40% - akcent 4 30 4" xfId="9597"/>
    <cellStyle name="40% - akcent 4 30 5" xfId="16203"/>
    <cellStyle name="40% - akcent 4 30 6" xfId="22794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3" xfId="9600"/>
    <cellStyle name="40% - akcent 4 31 2 4" xfId="16206"/>
    <cellStyle name="40% - akcent 4 31 2 5" xfId="22797"/>
    <cellStyle name="40% - akcent 4 31 3" xfId="6254"/>
    <cellStyle name="40% - akcent 4 31 3 2" xfId="12889"/>
    <cellStyle name="40% - akcent 4 31 3 3" xfId="19493"/>
    <cellStyle name="40% - akcent 4 31 3 4" xfId="26084"/>
    <cellStyle name="40% - akcent 4 31 4" xfId="9599"/>
    <cellStyle name="40% - akcent 4 31 5" xfId="16205"/>
    <cellStyle name="40% - akcent 4 31 6" xfId="22796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3" xfId="9602"/>
    <cellStyle name="40% - akcent 4 32 2 4" xfId="16208"/>
    <cellStyle name="40% - akcent 4 32 2 5" xfId="22799"/>
    <cellStyle name="40% - akcent 4 32 3" xfId="6256"/>
    <cellStyle name="40% - akcent 4 32 3 2" xfId="12891"/>
    <cellStyle name="40% - akcent 4 32 3 3" xfId="19495"/>
    <cellStyle name="40% - akcent 4 32 3 4" xfId="26086"/>
    <cellStyle name="40% - akcent 4 32 4" xfId="9601"/>
    <cellStyle name="40% - akcent 4 32 5" xfId="16207"/>
    <cellStyle name="40% - akcent 4 32 6" xfId="22798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3" xfId="9604"/>
    <cellStyle name="40% - akcent 4 33 2 4" xfId="16210"/>
    <cellStyle name="40% - akcent 4 33 2 5" xfId="22801"/>
    <cellStyle name="40% - akcent 4 33 3" xfId="6258"/>
    <cellStyle name="40% - akcent 4 33 3 2" xfId="12893"/>
    <cellStyle name="40% - akcent 4 33 3 3" xfId="19497"/>
    <cellStyle name="40% - akcent 4 33 3 4" xfId="26088"/>
    <cellStyle name="40% - akcent 4 33 4" xfId="9603"/>
    <cellStyle name="40% - akcent 4 33 5" xfId="16209"/>
    <cellStyle name="40% - akcent 4 33 6" xfId="22800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3" xfId="9606"/>
    <cellStyle name="40% - akcent 4 34 2 4" xfId="16212"/>
    <cellStyle name="40% - akcent 4 34 2 5" xfId="22803"/>
    <cellStyle name="40% - akcent 4 34 3" xfId="6260"/>
    <cellStyle name="40% - akcent 4 34 3 2" xfId="12895"/>
    <cellStyle name="40% - akcent 4 34 3 3" xfId="19499"/>
    <cellStyle name="40% - akcent 4 34 3 4" xfId="26090"/>
    <cellStyle name="40% - akcent 4 34 4" xfId="9605"/>
    <cellStyle name="40% - akcent 4 34 5" xfId="16211"/>
    <cellStyle name="40% - akcent 4 34 6" xfId="22802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3" xfId="9608"/>
    <cellStyle name="40% - akcent 4 35 2 4" xfId="16214"/>
    <cellStyle name="40% - akcent 4 35 2 5" xfId="22805"/>
    <cellStyle name="40% - akcent 4 35 3" xfId="6262"/>
    <cellStyle name="40% - akcent 4 35 3 2" xfId="12897"/>
    <cellStyle name="40% - akcent 4 35 3 3" xfId="19501"/>
    <cellStyle name="40% - akcent 4 35 3 4" xfId="26092"/>
    <cellStyle name="40% - akcent 4 35 4" xfId="9607"/>
    <cellStyle name="40% - akcent 4 35 5" xfId="16213"/>
    <cellStyle name="40% - akcent 4 35 6" xfId="22804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3" xfId="9610"/>
    <cellStyle name="40% - akcent 4 36 2 4" xfId="16216"/>
    <cellStyle name="40% - akcent 4 36 2 5" xfId="22807"/>
    <cellStyle name="40% - akcent 4 36 3" xfId="6264"/>
    <cellStyle name="40% - akcent 4 36 3 2" xfId="12899"/>
    <cellStyle name="40% - akcent 4 36 3 3" xfId="19503"/>
    <cellStyle name="40% - akcent 4 36 3 4" xfId="26094"/>
    <cellStyle name="40% - akcent 4 36 4" xfId="9609"/>
    <cellStyle name="40% - akcent 4 36 5" xfId="16215"/>
    <cellStyle name="40% - akcent 4 36 6" xfId="22806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3" xfId="9612"/>
    <cellStyle name="40% - akcent 4 37 2 4" xfId="16218"/>
    <cellStyle name="40% - akcent 4 37 2 5" xfId="22809"/>
    <cellStyle name="40% - akcent 4 37 3" xfId="6266"/>
    <cellStyle name="40% - akcent 4 37 3 2" xfId="12901"/>
    <cellStyle name="40% - akcent 4 37 3 3" xfId="19505"/>
    <cellStyle name="40% - akcent 4 37 3 4" xfId="26096"/>
    <cellStyle name="40% - akcent 4 37 4" xfId="9611"/>
    <cellStyle name="40% - akcent 4 37 5" xfId="16217"/>
    <cellStyle name="40% - akcent 4 37 6" xfId="22808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3" xfId="9614"/>
    <cellStyle name="40% - akcent 4 38 2 4" xfId="16220"/>
    <cellStyle name="40% - akcent 4 38 2 5" xfId="22811"/>
    <cellStyle name="40% - akcent 4 38 3" xfId="6268"/>
    <cellStyle name="40% - akcent 4 38 3 2" xfId="12903"/>
    <cellStyle name="40% - akcent 4 38 3 3" xfId="19507"/>
    <cellStyle name="40% - akcent 4 38 3 4" xfId="26098"/>
    <cellStyle name="40% - akcent 4 38 4" xfId="9613"/>
    <cellStyle name="40% - akcent 4 38 5" xfId="16219"/>
    <cellStyle name="40% - akcent 4 38 6" xfId="22810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3" xfId="9616"/>
    <cellStyle name="40% - akcent 4 39 2 4" xfId="16222"/>
    <cellStyle name="40% - akcent 4 39 2 5" xfId="22813"/>
    <cellStyle name="40% - akcent 4 39 3" xfId="6270"/>
    <cellStyle name="40% - akcent 4 39 3 2" xfId="12905"/>
    <cellStyle name="40% - akcent 4 39 3 3" xfId="19509"/>
    <cellStyle name="40% - akcent 4 39 3 4" xfId="26100"/>
    <cellStyle name="40% - akcent 4 39 4" xfId="9615"/>
    <cellStyle name="40% - akcent 4 39 5" xfId="16221"/>
    <cellStyle name="40% - akcent 4 39 6" xfId="22812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3" xfId="9618"/>
    <cellStyle name="40% - akcent 4 4 2 4" xfId="16224"/>
    <cellStyle name="40% - akcent 4 4 2 5" xfId="22815"/>
    <cellStyle name="40% - akcent 4 4 3" xfId="6272"/>
    <cellStyle name="40% - akcent 4 4 3 2" xfId="12907"/>
    <cellStyle name="40% - akcent 4 4 3 3" xfId="19511"/>
    <cellStyle name="40% - akcent 4 4 3 4" xfId="26102"/>
    <cellStyle name="40% - akcent 4 4 4" xfId="9617"/>
    <cellStyle name="40% - akcent 4 4 5" xfId="16223"/>
    <cellStyle name="40% - akcent 4 4 6" xfId="22814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3" xfId="9620"/>
    <cellStyle name="40% - akcent 4 40 2 4" xfId="16226"/>
    <cellStyle name="40% - akcent 4 40 2 5" xfId="22817"/>
    <cellStyle name="40% - akcent 4 40 3" xfId="6274"/>
    <cellStyle name="40% - akcent 4 40 3 2" xfId="12909"/>
    <cellStyle name="40% - akcent 4 40 3 3" xfId="19513"/>
    <cellStyle name="40% - akcent 4 40 3 4" xfId="26104"/>
    <cellStyle name="40% - akcent 4 40 4" xfId="9619"/>
    <cellStyle name="40% - akcent 4 40 5" xfId="16225"/>
    <cellStyle name="40% - akcent 4 40 6" xfId="22816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3" xfId="9622"/>
    <cellStyle name="40% - akcent 4 41 2 4" xfId="16228"/>
    <cellStyle name="40% - akcent 4 41 2 5" xfId="22819"/>
    <cellStyle name="40% - akcent 4 41 3" xfId="6276"/>
    <cellStyle name="40% - akcent 4 41 3 2" xfId="12911"/>
    <cellStyle name="40% - akcent 4 41 3 3" xfId="19515"/>
    <cellStyle name="40% - akcent 4 41 3 4" xfId="26106"/>
    <cellStyle name="40% - akcent 4 41 4" xfId="9621"/>
    <cellStyle name="40% - akcent 4 41 5" xfId="16227"/>
    <cellStyle name="40% - akcent 4 41 6" xfId="22818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3" xfId="9624"/>
    <cellStyle name="40% - akcent 4 42 2 4" xfId="16230"/>
    <cellStyle name="40% - akcent 4 42 2 5" xfId="22821"/>
    <cellStyle name="40% - akcent 4 42 3" xfId="6278"/>
    <cellStyle name="40% - akcent 4 42 3 2" xfId="12913"/>
    <cellStyle name="40% - akcent 4 42 3 3" xfId="19517"/>
    <cellStyle name="40% - akcent 4 42 3 4" xfId="26108"/>
    <cellStyle name="40% - akcent 4 42 4" xfId="9623"/>
    <cellStyle name="40% - akcent 4 42 5" xfId="16229"/>
    <cellStyle name="40% - akcent 4 42 6" xfId="22820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3" xfId="9626"/>
    <cellStyle name="40% - akcent 4 43 2 4" xfId="16232"/>
    <cellStyle name="40% - akcent 4 43 2 5" xfId="22823"/>
    <cellStyle name="40% - akcent 4 43 3" xfId="6280"/>
    <cellStyle name="40% - akcent 4 43 3 2" xfId="12915"/>
    <cellStyle name="40% - akcent 4 43 3 3" xfId="19519"/>
    <cellStyle name="40% - akcent 4 43 3 4" xfId="26110"/>
    <cellStyle name="40% - akcent 4 43 4" xfId="9625"/>
    <cellStyle name="40% - akcent 4 43 5" xfId="16231"/>
    <cellStyle name="40% - akcent 4 43 6" xfId="22822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3" xfId="9628"/>
    <cellStyle name="40% - akcent 4 44 2 4" xfId="16234"/>
    <cellStyle name="40% - akcent 4 44 2 5" xfId="22825"/>
    <cellStyle name="40% - akcent 4 44 3" xfId="6282"/>
    <cellStyle name="40% - akcent 4 44 3 2" xfId="12917"/>
    <cellStyle name="40% - akcent 4 44 3 3" xfId="19521"/>
    <cellStyle name="40% - akcent 4 44 3 4" xfId="26112"/>
    <cellStyle name="40% - akcent 4 44 4" xfId="9627"/>
    <cellStyle name="40% - akcent 4 44 5" xfId="16233"/>
    <cellStyle name="40% - akcent 4 44 6" xfId="22824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3" xfId="9630"/>
    <cellStyle name="40% - akcent 4 45 2 4" xfId="16236"/>
    <cellStyle name="40% - akcent 4 45 2 5" xfId="22827"/>
    <cellStyle name="40% - akcent 4 45 3" xfId="6284"/>
    <cellStyle name="40% - akcent 4 45 3 2" xfId="12919"/>
    <cellStyle name="40% - akcent 4 45 3 3" xfId="19523"/>
    <cellStyle name="40% - akcent 4 45 3 4" xfId="26114"/>
    <cellStyle name="40% - akcent 4 45 4" xfId="9629"/>
    <cellStyle name="40% - akcent 4 45 5" xfId="16235"/>
    <cellStyle name="40% - akcent 4 45 6" xfId="22826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3" xfId="9632"/>
    <cellStyle name="40% - akcent 4 46 2 4" xfId="16238"/>
    <cellStyle name="40% - akcent 4 46 2 5" xfId="22829"/>
    <cellStyle name="40% - akcent 4 46 3" xfId="6286"/>
    <cellStyle name="40% - akcent 4 46 3 2" xfId="12921"/>
    <cellStyle name="40% - akcent 4 46 3 3" xfId="19525"/>
    <cellStyle name="40% - akcent 4 46 3 4" xfId="26116"/>
    <cellStyle name="40% - akcent 4 46 4" xfId="9631"/>
    <cellStyle name="40% - akcent 4 46 5" xfId="16237"/>
    <cellStyle name="40% - akcent 4 46 6" xfId="22828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3" xfId="9634"/>
    <cellStyle name="40% - akcent 4 47 2 4" xfId="16240"/>
    <cellStyle name="40% - akcent 4 47 2 5" xfId="22831"/>
    <cellStyle name="40% - akcent 4 47 3" xfId="6288"/>
    <cellStyle name="40% - akcent 4 47 3 2" xfId="12923"/>
    <cellStyle name="40% - akcent 4 47 3 3" xfId="19527"/>
    <cellStyle name="40% - akcent 4 47 3 4" xfId="26118"/>
    <cellStyle name="40% - akcent 4 47 4" xfId="9633"/>
    <cellStyle name="40% - akcent 4 47 5" xfId="16239"/>
    <cellStyle name="40% - akcent 4 47 6" xfId="22830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3" xfId="9636"/>
    <cellStyle name="40% - akcent 4 48 2 4" xfId="16242"/>
    <cellStyle name="40% - akcent 4 48 2 5" xfId="22833"/>
    <cellStyle name="40% - akcent 4 48 3" xfId="6290"/>
    <cellStyle name="40% - akcent 4 48 3 2" xfId="12925"/>
    <cellStyle name="40% - akcent 4 48 3 3" xfId="19529"/>
    <cellStyle name="40% - akcent 4 48 3 4" xfId="26120"/>
    <cellStyle name="40% - akcent 4 48 4" xfId="9635"/>
    <cellStyle name="40% - akcent 4 48 5" xfId="16241"/>
    <cellStyle name="40% - akcent 4 48 6" xfId="22832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3" xfId="9638"/>
    <cellStyle name="40% - akcent 4 49 2 4" xfId="16244"/>
    <cellStyle name="40% - akcent 4 49 2 5" xfId="22835"/>
    <cellStyle name="40% - akcent 4 49 3" xfId="6292"/>
    <cellStyle name="40% - akcent 4 49 3 2" xfId="12927"/>
    <cellStyle name="40% - akcent 4 49 3 3" xfId="19531"/>
    <cellStyle name="40% - akcent 4 49 3 4" xfId="26122"/>
    <cellStyle name="40% - akcent 4 49 4" xfId="9637"/>
    <cellStyle name="40% - akcent 4 49 5" xfId="16243"/>
    <cellStyle name="40% - akcent 4 49 6" xfId="22834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3" xfId="9640"/>
    <cellStyle name="40% - akcent 4 5 2 4" xfId="16246"/>
    <cellStyle name="40% - akcent 4 5 2 5" xfId="22837"/>
    <cellStyle name="40% - akcent 4 5 3" xfId="6294"/>
    <cellStyle name="40% - akcent 4 5 3 2" xfId="12929"/>
    <cellStyle name="40% - akcent 4 5 3 3" xfId="19533"/>
    <cellStyle name="40% - akcent 4 5 3 4" xfId="26124"/>
    <cellStyle name="40% - akcent 4 5 4" xfId="9639"/>
    <cellStyle name="40% - akcent 4 5 5" xfId="16245"/>
    <cellStyle name="40% - akcent 4 5 6" xfId="22836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3" xfId="9642"/>
    <cellStyle name="40% - akcent 4 50 2 4" xfId="16248"/>
    <cellStyle name="40% - akcent 4 50 2 5" xfId="22839"/>
    <cellStyle name="40% - akcent 4 50 3" xfId="6296"/>
    <cellStyle name="40% - akcent 4 50 3 2" xfId="12931"/>
    <cellStyle name="40% - akcent 4 50 3 3" xfId="19535"/>
    <cellStyle name="40% - akcent 4 50 3 4" xfId="26126"/>
    <cellStyle name="40% - akcent 4 50 4" xfId="9641"/>
    <cellStyle name="40% - akcent 4 50 5" xfId="16247"/>
    <cellStyle name="40% - akcent 4 50 6" xfId="22838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3" xfId="9644"/>
    <cellStyle name="40% - akcent 4 51 2 4" xfId="16250"/>
    <cellStyle name="40% - akcent 4 51 2 5" xfId="22841"/>
    <cellStyle name="40% - akcent 4 51 3" xfId="6298"/>
    <cellStyle name="40% - akcent 4 51 3 2" xfId="12933"/>
    <cellStyle name="40% - akcent 4 51 3 3" xfId="19537"/>
    <cellStyle name="40% - akcent 4 51 3 4" xfId="26128"/>
    <cellStyle name="40% - akcent 4 51 4" xfId="9643"/>
    <cellStyle name="40% - akcent 4 51 5" xfId="16249"/>
    <cellStyle name="40% - akcent 4 51 6" xfId="22840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3" xfId="9646"/>
    <cellStyle name="40% - akcent 4 52 2 4" xfId="16252"/>
    <cellStyle name="40% - akcent 4 52 2 5" xfId="22843"/>
    <cellStyle name="40% - akcent 4 52 3" xfId="6300"/>
    <cellStyle name="40% - akcent 4 52 3 2" xfId="12935"/>
    <cellStyle name="40% - akcent 4 52 3 3" xfId="19539"/>
    <cellStyle name="40% - akcent 4 52 3 4" xfId="26130"/>
    <cellStyle name="40% - akcent 4 52 4" xfId="9645"/>
    <cellStyle name="40% - akcent 4 52 5" xfId="16251"/>
    <cellStyle name="40% - akcent 4 52 6" xfId="22842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3" xfId="9648"/>
    <cellStyle name="40% - akcent 4 53 2 4" xfId="16254"/>
    <cellStyle name="40% - akcent 4 53 2 5" xfId="22845"/>
    <cellStyle name="40% - akcent 4 53 3" xfId="6302"/>
    <cellStyle name="40% - akcent 4 53 3 2" xfId="12937"/>
    <cellStyle name="40% - akcent 4 53 3 3" xfId="19541"/>
    <cellStyle name="40% - akcent 4 53 3 4" xfId="26132"/>
    <cellStyle name="40% - akcent 4 53 4" xfId="9647"/>
    <cellStyle name="40% - akcent 4 53 5" xfId="16253"/>
    <cellStyle name="40% - akcent 4 53 6" xfId="22844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3" xfId="9650"/>
    <cellStyle name="40% - akcent 4 54 2 4" xfId="16256"/>
    <cellStyle name="40% - akcent 4 54 2 5" xfId="22847"/>
    <cellStyle name="40% - akcent 4 54 3" xfId="6304"/>
    <cellStyle name="40% - akcent 4 54 3 2" xfId="12939"/>
    <cellStyle name="40% - akcent 4 54 3 3" xfId="19543"/>
    <cellStyle name="40% - akcent 4 54 3 4" xfId="26134"/>
    <cellStyle name="40% - akcent 4 54 4" xfId="9649"/>
    <cellStyle name="40% - akcent 4 54 5" xfId="16255"/>
    <cellStyle name="40% - akcent 4 54 6" xfId="22846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3" xfId="9652"/>
    <cellStyle name="40% - akcent 4 55 2 4" xfId="16258"/>
    <cellStyle name="40% - akcent 4 55 2 5" xfId="22849"/>
    <cellStyle name="40% - akcent 4 55 3" xfId="6306"/>
    <cellStyle name="40% - akcent 4 55 3 2" xfId="12941"/>
    <cellStyle name="40% - akcent 4 55 3 3" xfId="19545"/>
    <cellStyle name="40% - akcent 4 55 3 4" xfId="26136"/>
    <cellStyle name="40% - akcent 4 55 4" xfId="9651"/>
    <cellStyle name="40% - akcent 4 55 5" xfId="16257"/>
    <cellStyle name="40% - akcent 4 55 6" xfId="22848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3" xfId="9654"/>
    <cellStyle name="40% - akcent 4 56 2 4" xfId="16260"/>
    <cellStyle name="40% - akcent 4 56 2 5" xfId="22851"/>
    <cellStyle name="40% - akcent 4 56 3" xfId="6308"/>
    <cellStyle name="40% - akcent 4 56 3 2" xfId="12943"/>
    <cellStyle name="40% - akcent 4 56 3 3" xfId="19547"/>
    <cellStyle name="40% - akcent 4 56 3 4" xfId="26138"/>
    <cellStyle name="40% - akcent 4 56 4" xfId="9653"/>
    <cellStyle name="40% - akcent 4 56 5" xfId="16259"/>
    <cellStyle name="40% - akcent 4 56 6" xfId="22850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3" xfId="9656"/>
    <cellStyle name="40% - akcent 4 57 2 4" xfId="16262"/>
    <cellStyle name="40% - akcent 4 57 2 5" xfId="22853"/>
    <cellStyle name="40% - akcent 4 57 3" xfId="6310"/>
    <cellStyle name="40% - akcent 4 57 3 2" xfId="12945"/>
    <cellStyle name="40% - akcent 4 57 3 3" xfId="19549"/>
    <cellStyle name="40% - akcent 4 57 3 4" xfId="26140"/>
    <cellStyle name="40% - akcent 4 57 4" xfId="9655"/>
    <cellStyle name="40% - akcent 4 57 5" xfId="16261"/>
    <cellStyle name="40% - akcent 4 57 6" xfId="22852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3" xfId="9658"/>
    <cellStyle name="40% - akcent 4 58 2 4" xfId="16264"/>
    <cellStyle name="40% - akcent 4 58 2 5" xfId="22855"/>
    <cellStyle name="40% - akcent 4 58 3" xfId="6312"/>
    <cellStyle name="40% - akcent 4 58 3 2" xfId="12947"/>
    <cellStyle name="40% - akcent 4 58 3 3" xfId="19551"/>
    <cellStyle name="40% - akcent 4 58 3 4" xfId="26142"/>
    <cellStyle name="40% - akcent 4 58 4" xfId="9657"/>
    <cellStyle name="40% - akcent 4 58 5" xfId="16263"/>
    <cellStyle name="40% - akcent 4 58 6" xfId="22854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3" xfId="9660"/>
    <cellStyle name="40% - akcent 4 59 2 4" xfId="16266"/>
    <cellStyle name="40% - akcent 4 59 2 5" xfId="22857"/>
    <cellStyle name="40% - akcent 4 59 3" xfId="6314"/>
    <cellStyle name="40% - akcent 4 59 3 2" xfId="12949"/>
    <cellStyle name="40% - akcent 4 59 3 3" xfId="19553"/>
    <cellStyle name="40% - akcent 4 59 3 4" xfId="26144"/>
    <cellStyle name="40% - akcent 4 59 4" xfId="9659"/>
    <cellStyle name="40% - akcent 4 59 5" xfId="16265"/>
    <cellStyle name="40% - akcent 4 59 6" xfId="22856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3" xfId="9662"/>
    <cellStyle name="40% - akcent 4 6 2 4" xfId="16268"/>
    <cellStyle name="40% - akcent 4 6 2 5" xfId="22859"/>
    <cellStyle name="40% - akcent 4 6 3" xfId="6316"/>
    <cellStyle name="40% - akcent 4 6 3 2" xfId="12951"/>
    <cellStyle name="40% - akcent 4 6 3 3" xfId="19555"/>
    <cellStyle name="40% - akcent 4 6 3 4" xfId="26146"/>
    <cellStyle name="40% - akcent 4 6 4" xfId="9661"/>
    <cellStyle name="40% - akcent 4 6 5" xfId="16267"/>
    <cellStyle name="40% - akcent 4 6 6" xfId="22858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3" xfId="9663"/>
    <cellStyle name="40% - akcent 4 60 4" xfId="16269"/>
    <cellStyle name="40% - akcent 4 60 5" xfId="22860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3" xfId="9664"/>
    <cellStyle name="40% - akcent 4 61 4" xfId="16270"/>
    <cellStyle name="40% - akcent 4 61 5" xfId="22861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3" xfId="9665"/>
    <cellStyle name="40% - akcent 4 62 4" xfId="16271"/>
    <cellStyle name="40% - akcent 4 62 5" xfId="22862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3" xfId="9666"/>
    <cellStyle name="40% - akcent 4 63 4" xfId="16272"/>
    <cellStyle name="40% - akcent 4 63 5" xfId="22863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3" xfId="9667"/>
    <cellStyle name="40% - akcent 4 64 4" xfId="16273"/>
    <cellStyle name="40% - akcent 4 64 5" xfId="22864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3" xfId="9668"/>
    <cellStyle name="40% - akcent 4 65 4" xfId="16274"/>
    <cellStyle name="40% - akcent 4 65 5" xfId="22865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3" xfId="9669"/>
    <cellStyle name="40% - akcent 4 66 4" xfId="16275"/>
    <cellStyle name="40% - akcent 4 66 5" xfId="22866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3" xfId="9670"/>
    <cellStyle name="40% - akcent 4 67 4" xfId="16276"/>
    <cellStyle name="40% - akcent 4 67 5" xfId="22867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3" xfId="9671"/>
    <cellStyle name="40% - akcent 4 68 4" xfId="16277"/>
    <cellStyle name="40% - akcent 4 68 5" xfId="22868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3" xfId="9672"/>
    <cellStyle name="40% - akcent 4 69 4" xfId="16278"/>
    <cellStyle name="40% - akcent 4 69 5" xfId="22869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3" xfId="9674"/>
    <cellStyle name="40% - akcent 4 7 2 4" xfId="16280"/>
    <cellStyle name="40% - akcent 4 7 2 5" xfId="22871"/>
    <cellStyle name="40% - akcent 4 7 3" xfId="6328"/>
    <cellStyle name="40% - akcent 4 7 3 2" xfId="12963"/>
    <cellStyle name="40% - akcent 4 7 3 3" xfId="19567"/>
    <cellStyle name="40% - akcent 4 7 3 4" xfId="26158"/>
    <cellStyle name="40% - akcent 4 7 4" xfId="9673"/>
    <cellStyle name="40% - akcent 4 7 5" xfId="16279"/>
    <cellStyle name="40% - akcent 4 7 6" xfId="22870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3" xfId="9675"/>
    <cellStyle name="40% - akcent 4 70 4" xfId="16281"/>
    <cellStyle name="40% - akcent 4 70 5" xfId="22872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3" xfId="9676"/>
    <cellStyle name="40% - akcent 4 71 4" xfId="16282"/>
    <cellStyle name="40% - akcent 4 71 5" xfId="22873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3" xfId="9677"/>
    <cellStyle name="40% - akcent 4 72 4" xfId="16283"/>
    <cellStyle name="40% - akcent 4 72 5" xfId="22874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3" xfId="9678"/>
    <cellStyle name="40% - akcent 4 73 4" xfId="16284"/>
    <cellStyle name="40% - akcent 4 73 5" xfId="22875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3" xfId="9679"/>
    <cellStyle name="40% - akcent 4 74 4" xfId="16285"/>
    <cellStyle name="40% - akcent 4 74 5" xfId="22876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3" xfId="9680"/>
    <cellStyle name="40% - akcent 4 75 4" xfId="16286"/>
    <cellStyle name="40% - akcent 4 75 5" xfId="22877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3" xfId="9681"/>
    <cellStyle name="40% - akcent 4 76 4" xfId="16287"/>
    <cellStyle name="40% - akcent 4 76 5" xfId="22878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3" xfId="9682"/>
    <cellStyle name="40% - akcent 4 77 4" xfId="16288"/>
    <cellStyle name="40% - akcent 4 77 5" xfId="22879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3" xfId="9683"/>
    <cellStyle name="40% - akcent 4 78 4" xfId="16289"/>
    <cellStyle name="40% - akcent 4 78 5" xfId="22880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3" xfId="9684"/>
    <cellStyle name="40% - akcent 4 79 4" xfId="16290"/>
    <cellStyle name="40% - akcent 4 79 5" xfId="22881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3" xfId="9686"/>
    <cellStyle name="40% - akcent 4 8 2 4" xfId="16292"/>
    <cellStyle name="40% - akcent 4 8 2 5" xfId="22883"/>
    <cellStyle name="40% - akcent 4 8 3" xfId="6340"/>
    <cellStyle name="40% - akcent 4 8 3 2" xfId="12975"/>
    <cellStyle name="40% - akcent 4 8 3 3" xfId="19579"/>
    <cellStyle name="40% - akcent 4 8 3 4" xfId="26170"/>
    <cellStyle name="40% - akcent 4 8 4" xfId="9685"/>
    <cellStyle name="40% - akcent 4 8 5" xfId="16291"/>
    <cellStyle name="40% - akcent 4 8 6" xfId="22882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3" xfId="9687"/>
    <cellStyle name="40% - akcent 4 80 4" xfId="16293"/>
    <cellStyle name="40% - akcent 4 80 5" xfId="22884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3" xfId="9688"/>
    <cellStyle name="40% - akcent 4 81 4" xfId="16294"/>
    <cellStyle name="40% - akcent 4 81 5" xfId="22885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3" xfId="9689"/>
    <cellStyle name="40% - akcent 4 82 4" xfId="16295"/>
    <cellStyle name="40% - akcent 4 82 5" xfId="22886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3" xfId="9690"/>
    <cellStyle name="40% - akcent 4 83 4" xfId="16296"/>
    <cellStyle name="40% - akcent 4 83 5" xfId="22887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3" xfId="9691"/>
    <cellStyle name="40% - akcent 4 84 4" xfId="16297"/>
    <cellStyle name="40% - akcent 4 84 5" xfId="22888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3" xfId="9692"/>
    <cellStyle name="40% - akcent 4 85 4" xfId="16298"/>
    <cellStyle name="40% - akcent 4 85 5" xfId="22889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3" xfId="9693"/>
    <cellStyle name="40% - akcent 4 86 4" xfId="16299"/>
    <cellStyle name="40% - akcent 4 86 5" xfId="22890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3" xfId="9694"/>
    <cellStyle name="40% - akcent 4 87 4" xfId="16300"/>
    <cellStyle name="40% - akcent 4 87 5" xfId="22891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3" xfId="9695"/>
    <cellStyle name="40% - akcent 4 88 4" xfId="16301"/>
    <cellStyle name="40% - akcent 4 88 5" xfId="22892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3" xfId="9696"/>
    <cellStyle name="40% - akcent 4 89 4" xfId="16302"/>
    <cellStyle name="40% - akcent 4 89 5" xfId="22893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3" xfId="9698"/>
    <cellStyle name="40% - akcent 4 9 2 4" xfId="16304"/>
    <cellStyle name="40% - akcent 4 9 2 5" xfId="22895"/>
    <cellStyle name="40% - akcent 4 9 3" xfId="6352"/>
    <cellStyle name="40% - akcent 4 9 3 2" xfId="12987"/>
    <cellStyle name="40% - akcent 4 9 3 3" xfId="19591"/>
    <cellStyle name="40% - akcent 4 9 3 4" xfId="26182"/>
    <cellStyle name="40% - akcent 4 9 4" xfId="9697"/>
    <cellStyle name="40% - akcent 4 9 5" xfId="16303"/>
    <cellStyle name="40% - akcent 4 9 6" xfId="22894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3" xfId="9699"/>
    <cellStyle name="40% - akcent 4 90 4" xfId="16305"/>
    <cellStyle name="40% - akcent 4 90 5" xfId="22896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3" xfId="9700"/>
    <cellStyle name="40% - akcent 4 91 4" xfId="16306"/>
    <cellStyle name="40% - akcent 4 91 5" xfId="22897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3" xfId="9701"/>
    <cellStyle name="40% - akcent 4 92 4" xfId="16307"/>
    <cellStyle name="40% - akcent 4 92 5" xfId="22898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3" xfId="9702"/>
    <cellStyle name="40% - akcent 4 93 4" xfId="16308"/>
    <cellStyle name="40% - akcent 4 93 5" xfId="22899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3" xfId="9703"/>
    <cellStyle name="40% - akcent 4 94 4" xfId="16309"/>
    <cellStyle name="40% - akcent 4 94 5" xfId="22900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3" xfId="9704"/>
    <cellStyle name="40% - akcent 4 95 4" xfId="16310"/>
    <cellStyle name="40% - akcent 4 95 5" xfId="22901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3" xfId="9705"/>
    <cellStyle name="40% - akcent 4 96 4" xfId="16311"/>
    <cellStyle name="40% - akcent 4 96 5" xfId="22902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3" xfId="9706"/>
    <cellStyle name="40% - akcent 4 97 4" xfId="16312"/>
    <cellStyle name="40% - akcent 4 97 5" xfId="22903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3" xfId="9707"/>
    <cellStyle name="40% - akcent 4 98 4" xfId="16313"/>
    <cellStyle name="40% - akcent 4 98 5" xfId="22904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3" xfId="9708"/>
    <cellStyle name="40% - akcent 4 99 4" xfId="16314"/>
    <cellStyle name="40% - akcent 4 99 5" xfId="22905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3" xfId="9710"/>
    <cellStyle name="40% - akcent 5 10 2 4" xfId="16316"/>
    <cellStyle name="40% - akcent 5 10 2 5" xfId="22907"/>
    <cellStyle name="40% - akcent 5 10 3" xfId="6364"/>
    <cellStyle name="40% - akcent 5 10 3 2" xfId="12999"/>
    <cellStyle name="40% - akcent 5 10 3 3" xfId="19603"/>
    <cellStyle name="40% - akcent 5 10 3 4" xfId="26194"/>
    <cellStyle name="40% - akcent 5 10 4" xfId="9709"/>
    <cellStyle name="40% - akcent 5 10 5" xfId="16315"/>
    <cellStyle name="40% - akcent 5 10 6" xfId="22906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3" xfId="9711"/>
    <cellStyle name="40% - akcent 5 100 4" xfId="16317"/>
    <cellStyle name="40% - akcent 5 100 5" xfId="22908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3" xfId="9712"/>
    <cellStyle name="40% - akcent 5 101 4" xfId="16318"/>
    <cellStyle name="40% - akcent 5 101 5" xfId="22909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3" xfId="9713"/>
    <cellStyle name="40% - akcent 5 102 4" xfId="16319"/>
    <cellStyle name="40% - akcent 5 102 5" xfId="22910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3" xfId="9714"/>
    <cellStyle name="40% - akcent 5 103 4" xfId="16320"/>
    <cellStyle name="40% - akcent 5 103 5" xfId="22911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3" xfId="9715"/>
    <cellStyle name="40% - akcent 5 104 4" xfId="16321"/>
    <cellStyle name="40% - akcent 5 104 5" xfId="22912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3" xfId="9716"/>
    <cellStyle name="40% - akcent 5 105 4" xfId="16322"/>
    <cellStyle name="40% - akcent 5 105 5" xfId="22913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3" xfId="9717"/>
    <cellStyle name="40% - akcent 5 106 4" xfId="16323"/>
    <cellStyle name="40% - akcent 5 106 5" xfId="22914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3" xfId="9718"/>
    <cellStyle name="40% - akcent 5 107 4" xfId="16324"/>
    <cellStyle name="40% - akcent 5 107 5" xfId="22915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3" xfId="9719"/>
    <cellStyle name="40% - akcent 5 108 4" xfId="16325"/>
    <cellStyle name="40% - akcent 5 108 5" xfId="22916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3" xfId="9720"/>
    <cellStyle name="40% - akcent 5 109 4" xfId="16326"/>
    <cellStyle name="40% - akcent 5 109 5" xfId="22917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3" xfId="9722"/>
    <cellStyle name="40% - akcent 5 11 2 4" xfId="16328"/>
    <cellStyle name="40% - akcent 5 11 2 5" xfId="22919"/>
    <cellStyle name="40% - akcent 5 11 3" xfId="6376"/>
    <cellStyle name="40% - akcent 5 11 3 2" xfId="13011"/>
    <cellStyle name="40% - akcent 5 11 3 3" xfId="19615"/>
    <cellStyle name="40% - akcent 5 11 3 4" xfId="26206"/>
    <cellStyle name="40% - akcent 5 11 4" xfId="9721"/>
    <cellStyle name="40% - akcent 5 11 5" xfId="16327"/>
    <cellStyle name="40% - akcent 5 11 6" xfId="22918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3" xfId="9723"/>
    <cellStyle name="40% - akcent 5 110 4" xfId="16329"/>
    <cellStyle name="40% - akcent 5 110 5" xfId="22920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3" xfId="9724"/>
    <cellStyle name="40% - akcent 5 111 4" xfId="16330"/>
    <cellStyle name="40% - akcent 5 111 5" xfId="22921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3" xfId="9725"/>
    <cellStyle name="40% - akcent 5 112 4" xfId="16331"/>
    <cellStyle name="40% - akcent 5 112 5" xfId="22922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3" xfId="9726"/>
    <cellStyle name="40% - akcent 5 113 4" xfId="16332"/>
    <cellStyle name="40% - akcent 5 113 5" xfId="22923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3" xfId="9727"/>
    <cellStyle name="40% - akcent 5 114 4" xfId="16333"/>
    <cellStyle name="40% - akcent 5 114 5" xfId="22924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3" xfId="9728"/>
    <cellStyle name="40% - akcent 5 115 4" xfId="16334"/>
    <cellStyle name="40% - akcent 5 115 5" xfId="22925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3" xfId="9729"/>
    <cellStyle name="40% - akcent 5 116 4" xfId="16335"/>
    <cellStyle name="40% - akcent 5 116 5" xfId="22926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3" xfId="9730"/>
    <cellStyle name="40% - akcent 5 117 4" xfId="16336"/>
    <cellStyle name="40% - akcent 5 117 5" xfId="22927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3" xfId="9731"/>
    <cellStyle name="40% - akcent 5 118 4" xfId="16337"/>
    <cellStyle name="40% - akcent 5 118 5" xfId="22928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3" xfId="9732"/>
    <cellStyle name="40% - akcent 5 119 4" xfId="16338"/>
    <cellStyle name="40% - akcent 5 119 5" xfId="22929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3" xfId="9734"/>
    <cellStyle name="40% - akcent 5 12 2 4" xfId="16340"/>
    <cellStyle name="40% - akcent 5 12 2 5" xfId="22931"/>
    <cellStyle name="40% - akcent 5 12 3" xfId="6388"/>
    <cellStyle name="40% - akcent 5 12 3 2" xfId="13023"/>
    <cellStyle name="40% - akcent 5 12 3 3" xfId="19627"/>
    <cellStyle name="40% - akcent 5 12 3 4" xfId="26218"/>
    <cellStyle name="40% - akcent 5 12 4" xfId="9733"/>
    <cellStyle name="40% - akcent 5 12 5" xfId="16339"/>
    <cellStyle name="40% - akcent 5 12 6" xfId="22930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3" xfId="9735"/>
    <cellStyle name="40% - akcent 5 120 4" xfId="16341"/>
    <cellStyle name="40% - akcent 5 120 5" xfId="22932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3" xfId="9736"/>
    <cellStyle name="40% - akcent 5 121 4" xfId="16342"/>
    <cellStyle name="40% - akcent 5 121 5" xfId="22933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3" xfId="9737"/>
    <cellStyle name="40% - akcent 5 122 4" xfId="16343"/>
    <cellStyle name="40% - akcent 5 122 5" xfId="22934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3" xfId="9738"/>
    <cellStyle name="40% - akcent 5 123 4" xfId="16344"/>
    <cellStyle name="40% - akcent 5 123 5" xfId="22935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3" xfId="9739"/>
    <cellStyle name="40% - akcent 5 124 4" xfId="16345"/>
    <cellStyle name="40% - akcent 5 124 5" xfId="22936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3" xfId="9740"/>
    <cellStyle name="40% - akcent 5 125 4" xfId="16346"/>
    <cellStyle name="40% - akcent 5 125 5" xfId="22937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3" xfId="9741"/>
    <cellStyle name="40% - akcent 5 126 4" xfId="16347"/>
    <cellStyle name="40% - akcent 5 126 5" xfId="22938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3" xfId="9742"/>
    <cellStyle name="40% - akcent 5 127 4" xfId="16348"/>
    <cellStyle name="40% - akcent 5 127 5" xfId="22939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3" xfId="9743"/>
    <cellStyle name="40% - akcent 5 128 4" xfId="16349"/>
    <cellStyle name="40% - akcent 5 128 5" xfId="22940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3" xfId="9744"/>
    <cellStyle name="40% - akcent 5 129 4" xfId="16350"/>
    <cellStyle name="40% - akcent 5 129 5" xfId="22941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3" xfId="9746"/>
    <cellStyle name="40% - akcent 5 13 2 4" xfId="16352"/>
    <cellStyle name="40% - akcent 5 13 2 5" xfId="22943"/>
    <cellStyle name="40% - akcent 5 13 3" xfId="6400"/>
    <cellStyle name="40% - akcent 5 13 3 2" xfId="13035"/>
    <cellStyle name="40% - akcent 5 13 3 3" xfId="19639"/>
    <cellStyle name="40% - akcent 5 13 3 4" xfId="26230"/>
    <cellStyle name="40% - akcent 5 13 4" xfId="9745"/>
    <cellStyle name="40% - akcent 5 13 5" xfId="16351"/>
    <cellStyle name="40% - akcent 5 13 6" xfId="22942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3" xfId="9747"/>
    <cellStyle name="40% - akcent 5 130 4" xfId="16353"/>
    <cellStyle name="40% - akcent 5 130 5" xfId="22944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3" xfId="9748"/>
    <cellStyle name="40% - akcent 5 131 4" xfId="16354"/>
    <cellStyle name="40% - akcent 5 131 5" xfId="22945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3" xfId="9749"/>
    <cellStyle name="40% - akcent 5 132 4" xfId="16355"/>
    <cellStyle name="40% - akcent 5 132 5" xfId="22946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3" xfId="9750"/>
    <cellStyle name="40% - akcent 5 133 4" xfId="16356"/>
    <cellStyle name="40% - akcent 5 133 5" xfId="22947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3" xfId="9751"/>
    <cellStyle name="40% - akcent 5 134 4" xfId="16357"/>
    <cellStyle name="40% - akcent 5 134 5" xfId="22948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3" xfId="9752"/>
    <cellStyle name="40% - akcent 5 135 4" xfId="16358"/>
    <cellStyle name="40% - akcent 5 135 5" xfId="22949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3" xfId="9753"/>
    <cellStyle name="40% - akcent 5 136 4" xfId="16359"/>
    <cellStyle name="40% - akcent 5 136 5" xfId="22950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3" xfId="9754"/>
    <cellStyle name="40% - akcent 5 137 4" xfId="16360"/>
    <cellStyle name="40% - akcent 5 137 5" xfId="22951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3" xfId="9755"/>
    <cellStyle name="40% - akcent 5 138 4" xfId="16361"/>
    <cellStyle name="40% - akcent 5 138 5" xfId="22952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3" xfId="9756"/>
    <cellStyle name="40% - akcent 5 139 4" xfId="16362"/>
    <cellStyle name="40% - akcent 5 139 5" xfId="22953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3" xfId="9758"/>
    <cellStyle name="40% - akcent 5 14 2 4" xfId="16364"/>
    <cellStyle name="40% - akcent 5 14 2 5" xfId="22955"/>
    <cellStyle name="40% - akcent 5 14 3" xfId="6412"/>
    <cellStyle name="40% - akcent 5 14 3 2" xfId="13047"/>
    <cellStyle name="40% - akcent 5 14 3 3" xfId="19651"/>
    <cellStyle name="40% - akcent 5 14 3 4" xfId="26242"/>
    <cellStyle name="40% - akcent 5 14 4" xfId="9757"/>
    <cellStyle name="40% - akcent 5 14 5" xfId="16363"/>
    <cellStyle name="40% - akcent 5 14 6" xfId="22954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3" xfId="9759"/>
    <cellStyle name="40% - akcent 5 140 4" xfId="16365"/>
    <cellStyle name="40% - akcent 5 140 5" xfId="22956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3" xfId="9760"/>
    <cellStyle name="40% - akcent 5 141 4" xfId="16366"/>
    <cellStyle name="40% - akcent 5 141 5" xfId="22957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3" xfId="9761"/>
    <cellStyle name="40% - akcent 5 142 4" xfId="16367"/>
    <cellStyle name="40% - akcent 5 142 5" xfId="22958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3" xfId="9762"/>
    <cellStyle name="40% - akcent 5 143 4" xfId="16368"/>
    <cellStyle name="40% - akcent 5 143 5" xfId="22959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3" xfId="9763"/>
    <cellStyle name="40% - akcent 5 144 4" xfId="16369"/>
    <cellStyle name="40% - akcent 5 144 5" xfId="22960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3" xfId="9764"/>
    <cellStyle name="40% - akcent 5 145 4" xfId="16370"/>
    <cellStyle name="40% - akcent 5 145 5" xfId="22961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3" xfId="9765"/>
    <cellStyle name="40% - akcent 5 146 4" xfId="16371"/>
    <cellStyle name="40% - akcent 5 146 5" xfId="22962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3" xfId="9766"/>
    <cellStyle name="40% - akcent 5 147 4" xfId="16372"/>
    <cellStyle name="40% - akcent 5 147 5" xfId="22963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3" xfId="9767"/>
    <cellStyle name="40% - akcent 5 148 4" xfId="16373"/>
    <cellStyle name="40% - akcent 5 148 5" xfId="22964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3" xfId="9768"/>
    <cellStyle name="40% - akcent 5 149 4" xfId="16374"/>
    <cellStyle name="40% - akcent 5 149 5" xfId="22965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3" xfId="9770"/>
    <cellStyle name="40% - akcent 5 15 2 4" xfId="16376"/>
    <cellStyle name="40% - akcent 5 15 2 5" xfId="22967"/>
    <cellStyle name="40% - akcent 5 15 3" xfId="6424"/>
    <cellStyle name="40% - akcent 5 15 3 2" xfId="13059"/>
    <cellStyle name="40% - akcent 5 15 3 3" xfId="19663"/>
    <cellStyle name="40% - akcent 5 15 3 4" xfId="26254"/>
    <cellStyle name="40% - akcent 5 15 4" xfId="9769"/>
    <cellStyle name="40% - akcent 5 15 5" xfId="16375"/>
    <cellStyle name="40% - akcent 5 15 6" xfId="22966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3" xfId="9771"/>
    <cellStyle name="40% - akcent 5 150 4" xfId="16377"/>
    <cellStyle name="40% - akcent 5 150 5" xfId="22968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3" xfId="9772"/>
    <cellStyle name="40% - akcent 5 151 4" xfId="16378"/>
    <cellStyle name="40% - akcent 5 151 5" xfId="22969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3" xfId="9773"/>
    <cellStyle name="40% - akcent 5 152 4" xfId="16379"/>
    <cellStyle name="40% - akcent 5 152 5" xfId="22970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3" xfId="9774"/>
    <cellStyle name="40% - akcent 5 153 4" xfId="16380"/>
    <cellStyle name="40% - akcent 5 153 5" xfId="22971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3" xfId="9775"/>
    <cellStyle name="40% - akcent 5 154 4" xfId="16381"/>
    <cellStyle name="40% - akcent 5 154 5" xfId="22972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3" xfId="9776"/>
    <cellStyle name="40% - akcent 5 155 4" xfId="16382"/>
    <cellStyle name="40% - akcent 5 155 5" xfId="22973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3" xfId="9777"/>
    <cellStyle name="40% - akcent 5 156 4" xfId="16383"/>
    <cellStyle name="40% - akcent 5 156 5" xfId="22974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3" xfId="9778"/>
    <cellStyle name="40% - akcent 5 157 4" xfId="16384"/>
    <cellStyle name="40% - akcent 5 157 5" xfId="22975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3" xfId="9779"/>
    <cellStyle name="40% - akcent 5 158 4" xfId="16385"/>
    <cellStyle name="40% - akcent 5 158 5" xfId="22976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3" xfId="9780"/>
    <cellStyle name="40% - akcent 5 159 4" xfId="16386"/>
    <cellStyle name="40% - akcent 5 159 5" xfId="22977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3" xfId="9782"/>
    <cellStyle name="40% - akcent 5 16 2 4" xfId="16388"/>
    <cellStyle name="40% - akcent 5 16 2 5" xfId="22979"/>
    <cellStyle name="40% - akcent 5 16 3" xfId="6436"/>
    <cellStyle name="40% - akcent 5 16 3 2" xfId="13071"/>
    <cellStyle name="40% - akcent 5 16 3 3" xfId="19675"/>
    <cellStyle name="40% - akcent 5 16 3 4" xfId="26266"/>
    <cellStyle name="40% - akcent 5 16 4" xfId="9781"/>
    <cellStyle name="40% - akcent 5 16 5" xfId="16387"/>
    <cellStyle name="40% - akcent 5 16 6" xfId="22978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3" xfId="9783"/>
    <cellStyle name="40% - akcent 5 160 4" xfId="16389"/>
    <cellStyle name="40% - akcent 5 160 5" xfId="22980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3" xfId="9784"/>
    <cellStyle name="40% - akcent 5 161 4" xfId="16390"/>
    <cellStyle name="40% - akcent 5 161 5" xfId="22981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3" xfId="9785"/>
    <cellStyle name="40% - akcent 5 162 4" xfId="16391"/>
    <cellStyle name="40% - akcent 5 162 5" xfId="22982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3" xfId="9786"/>
    <cellStyle name="40% - akcent 5 163 4" xfId="16392"/>
    <cellStyle name="40% - akcent 5 163 5" xfId="22983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3" xfId="9787"/>
    <cellStyle name="40% - akcent 5 164 4" xfId="16393"/>
    <cellStyle name="40% - akcent 5 164 5" xfId="22984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3" xfId="9788"/>
    <cellStyle name="40% - akcent 5 165 4" xfId="16394"/>
    <cellStyle name="40% - akcent 5 165 5" xfId="22985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3" xfId="9789"/>
    <cellStyle name="40% - akcent 5 166 4" xfId="16395"/>
    <cellStyle name="40% - akcent 5 166 5" xfId="22986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3" xfId="9790"/>
    <cellStyle name="40% - akcent 5 167 4" xfId="16396"/>
    <cellStyle name="40% - akcent 5 167 5" xfId="22987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3" xfId="9791"/>
    <cellStyle name="40% - akcent 5 168 4" xfId="16397"/>
    <cellStyle name="40% - akcent 5 168 5" xfId="22988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3" xfId="9792"/>
    <cellStyle name="40% - akcent 5 169 4" xfId="16398"/>
    <cellStyle name="40% - akcent 5 169 5" xfId="22989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3" xfId="9794"/>
    <cellStyle name="40% - akcent 5 17 2 4" xfId="16400"/>
    <cellStyle name="40% - akcent 5 17 2 5" xfId="22991"/>
    <cellStyle name="40% - akcent 5 17 3" xfId="6448"/>
    <cellStyle name="40% - akcent 5 17 3 2" xfId="13083"/>
    <cellStyle name="40% - akcent 5 17 3 3" xfId="19687"/>
    <cellStyle name="40% - akcent 5 17 3 4" xfId="26278"/>
    <cellStyle name="40% - akcent 5 17 4" xfId="9793"/>
    <cellStyle name="40% - akcent 5 17 5" xfId="16399"/>
    <cellStyle name="40% - akcent 5 17 6" xfId="22990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3" xfId="9795"/>
    <cellStyle name="40% - akcent 5 170 4" xfId="16401"/>
    <cellStyle name="40% - akcent 5 170 5" xfId="22992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3" xfId="9796"/>
    <cellStyle name="40% - akcent 5 171 4" xfId="16402"/>
    <cellStyle name="40% - akcent 5 171 5" xfId="22993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3" xfId="9797"/>
    <cellStyle name="40% - akcent 5 172 4" xfId="16403"/>
    <cellStyle name="40% - akcent 5 172 5" xfId="22994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3" xfId="9798"/>
    <cellStyle name="40% - akcent 5 173 4" xfId="16404"/>
    <cellStyle name="40% - akcent 5 173 5" xfId="22995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3" xfId="9799"/>
    <cellStyle name="40% - akcent 5 174 4" xfId="16405"/>
    <cellStyle name="40% - akcent 5 174 5" xfId="22996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3" xfId="9800"/>
    <cellStyle name="40% - akcent 5 175 4" xfId="16406"/>
    <cellStyle name="40% - akcent 5 175 5" xfId="22997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3" xfId="9801"/>
    <cellStyle name="40% - akcent 5 176 4" xfId="16407"/>
    <cellStyle name="40% - akcent 5 176 5" xfId="22998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3" xfId="9802"/>
    <cellStyle name="40% - akcent 5 177 4" xfId="16408"/>
    <cellStyle name="40% - akcent 5 177 5" xfId="22999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3" xfId="9803"/>
    <cellStyle name="40% - akcent 5 178 4" xfId="16409"/>
    <cellStyle name="40% - akcent 5 178 5" xfId="23000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3" xfId="9804"/>
    <cellStyle name="40% - akcent 5 179 4" xfId="16410"/>
    <cellStyle name="40% - akcent 5 179 5" xfId="23001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3" xfId="9806"/>
    <cellStyle name="40% - akcent 5 18 2 4" xfId="16412"/>
    <cellStyle name="40% - akcent 5 18 2 5" xfId="23003"/>
    <cellStyle name="40% - akcent 5 18 3" xfId="6460"/>
    <cellStyle name="40% - akcent 5 18 3 2" xfId="13095"/>
    <cellStyle name="40% - akcent 5 18 3 3" xfId="19699"/>
    <cellStyle name="40% - akcent 5 18 3 4" xfId="26290"/>
    <cellStyle name="40% - akcent 5 18 4" xfId="9805"/>
    <cellStyle name="40% - akcent 5 18 5" xfId="16411"/>
    <cellStyle name="40% - akcent 5 18 6" xfId="23002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3" xfId="9807"/>
    <cellStyle name="40% - akcent 5 180 4" xfId="16413"/>
    <cellStyle name="40% - akcent 5 180 5" xfId="23004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3" xfId="9808"/>
    <cellStyle name="40% - akcent 5 181 4" xfId="16414"/>
    <cellStyle name="40% - akcent 5 181 5" xfId="23005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3" xfId="9809"/>
    <cellStyle name="40% - akcent 5 182 4" xfId="16415"/>
    <cellStyle name="40% - akcent 5 182 5" xfId="23006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3" xfId="9810"/>
    <cellStyle name="40% - akcent 5 183 4" xfId="16416"/>
    <cellStyle name="40% - akcent 5 183 5" xfId="23007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3" xfId="9811"/>
    <cellStyle name="40% - akcent 5 184 4" xfId="16417"/>
    <cellStyle name="40% - akcent 5 184 5" xfId="23008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3" xfId="9812"/>
    <cellStyle name="40% - akcent 5 185 4" xfId="16418"/>
    <cellStyle name="40% - akcent 5 185 5" xfId="23009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3" xfId="9813"/>
    <cellStyle name="40% - akcent 5 186 4" xfId="16419"/>
    <cellStyle name="40% - akcent 5 186 5" xfId="23010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3" xfId="9814"/>
    <cellStyle name="40% - akcent 5 187 4" xfId="16420"/>
    <cellStyle name="40% - akcent 5 187 5" xfId="23011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3" xfId="9815"/>
    <cellStyle name="40% - akcent 5 188 4" xfId="16421"/>
    <cellStyle name="40% - akcent 5 188 5" xfId="23012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3" xfId="9816"/>
    <cellStyle name="40% - akcent 5 189 4" xfId="16422"/>
    <cellStyle name="40% - akcent 5 189 5" xfId="23013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3" xfId="9818"/>
    <cellStyle name="40% - akcent 5 19 2 4" xfId="16424"/>
    <cellStyle name="40% - akcent 5 19 2 5" xfId="23015"/>
    <cellStyle name="40% - akcent 5 19 3" xfId="6472"/>
    <cellStyle name="40% - akcent 5 19 3 2" xfId="13107"/>
    <cellStyle name="40% - akcent 5 19 3 3" xfId="19711"/>
    <cellStyle name="40% - akcent 5 19 3 4" xfId="26302"/>
    <cellStyle name="40% - akcent 5 19 4" xfId="9817"/>
    <cellStyle name="40% - akcent 5 19 5" xfId="16423"/>
    <cellStyle name="40% - akcent 5 19 6" xfId="23014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3" xfId="9819"/>
    <cellStyle name="40% - akcent 5 190 4" xfId="16425"/>
    <cellStyle name="40% - akcent 5 190 5" xfId="23016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3" xfId="9820"/>
    <cellStyle name="40% - akcent 5 191 4" xfId="16426"/>
    <cellStyle name="40% - akcent 5 191 5" xfId="23017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3" xfId="9821"/>
    <cellStyle name="40% - akcent 5 192 4" xfId="16427"/>
    <cellStyle name="40% - akcent 5 192 5" xfId="23018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3" xfId="9822"/>
    <cellStyle name="40% - akcent 5 193 4" xfId="16428"/>
    <cellStyle name="40% - akcent 5 193 5" xfId="23019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3" xfId="9823"/>
    <cellStyle name="40% - akcent 5 194 4" xfId="16429"/>
    <cellStyle name="40% - akcent 5 194 5" xfId="23020"/>
    <cellStyle name="40% - akcent 5 195" xfId="3846"/>
    <cellStyle name="40% - akcent 5 195 2" xfId="10481"/>
    <cellStyle name="40% - akcent 5 195 3" xfId="17085"/>
    <cellStyle name="40% - akcent 5 195 4" xfId="23676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3" xfId="9825"/>
    <cellStyle name="40% - akcent 5 2 2 4" xfId="16431"/>
    <cellStyle name="40% - akcent 5 2 2 5" xfId="23022"/>
    <cellStyle name="40% - akcent 5 2 3" xfId="6479"/>
    <cellStyle name="40% - akcent 5 2 3 2" xfId="13114"/>
    <cellStyle name="40% - akcent 5 2 3 3" xfId="19718"/>
    <cellStyle name="40% - akcent 5 2 3 4" xfId="26309"/>
    <cellStyle name="40% - akcent 5 2 4" xfId="9824"/>
    <cellStyle name="40% - akcent 5 2 5" xfId="16430"/>
    <cellStyle name="40% - akcent 5 2 6" xfId="23021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3" xfId="9827"/>
    <cellStyle name="40% - akcent 5 20 2 4" xfId="16433"/>
    <cellStyle name="40% - akcent 5 20 2 5" xfId="23024"/>
    <cellStyle name="40% - akcent 5 20 3" xfId="6481"/>
    <cellStyle name="40% - akcent 5 20 3 2" xfId="13116"/>
    <cellStyle name="40% - akcent 5 20 3 3" xfId="19720"/>
    <cellStyle name="40% - akcent 5 20 3 4" xfId="26311"/>
    <cellStyle name="40% - akcent 5 20 4" xfId="9826"/>
    <cellStyle name="40% - akcent 5 20 5" xfId="16432"/>
    <cellStyle name="40% - akcent 5 20 6" xfId="23023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3" xfId="9829"/>
    <cellStyle name="40% - akcent 5 21 2 4" xfId="16435"/>
    <cellStyle name="40% - akcent 5 21 2 5" xfId="23026"/>
    <cellStyle name="40% - akcent 5 21 3" xfId="6483"/>
    <cellStyle name="40% - akcent 5 21 3 2" xfId="13118"/>
    <cellStyle name="40% - akcent 5 21 3 3" xfId="19722"/>
    <cellStyle name="40% - akcent 5 21 3 4" xfId="26313"/>
    <cellStyle name="40% - akcent 5 21 4" xfId="9828"/>
    <cellStyle name="40% - akcent 5 21 5" xfId="16434"/>
    <cellStyle name="40% - akcent 5 21 6" xfId="23025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3" xfId="9831"/>
    <cellStyle name="40% - akcent 5 22 2 4" xfId="16437"/>
    <cellStyle name="40% - akcent 5 22 2 5" xfId="23028"/>
    <cellStyle name="40% - akcent 5 22 3" xfId="6485"/>
    <cellStyle name="40% - akcent 5 22 3 2" xfId="13120"/>
    <cellStyle name="40% - akcent 5 22 3 3" xfId="19724"/>
    <cellStyle name="40% - akcent 5 22 3 4" xfId="26315"/>
    <cellStyle name="40% - akcent 5 22 4" xfId="9830"/>
    <cellStyle name="40% - akcent 5 22 5" xfId="16436"/>
    <cellStyle name="40% - akcent 5 22 6" xfId="23027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3" xfId="9833"/>
    <cellStyle name="40% - akcent 5 23 2 4" xfId="16439"/>
    <cellStyle name="40% - akcent 5 23 2 5" xfId="23030"/>
    <cellStyle name="40% - akcent 5 23 3" xfId="6487"/>
    <cellStyle name="40% - akcent 5 23 3 2" xfId="13122"/>
    <cellStyle name="40% - akcent 5 23 3 3" xfId="19726"/>
    <cellStyle name="40% - akcent 5 23 3 4" xfId="26317"/>
    <cellStyle name="40% - akcent 5 23 4" xfId="9832"/>
    <cellStyle name="40% - akcent 5 23 5" xfId="16438"/>
    <cellStyle name="40% - akcent 5 23 6" xfId="23029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3" xfId="9835"/>
    <cellStyle name="40% - akcent 5 24 2 4" xfId="16441"/>
    <cellStyle name="40% - akcent 5 24 2 5" xfId="23032"/>
    <cellStyle name="40% - akcent 5 24 3" xfId="6489"/>
    <cellStyle name="40% - akcent 5 24 3 2" xfId="13124"/>
    <cellStyle name="40% - akcent 5 24 3 3" xfId="19728"/>
    <cellStyle name="40% - akcent 5 24 3 4" xfId="26319"/>
    <cellStyle name="40% - akcent 5 24 4" xfId="9834"/>
    <cellStyle name="40% - akcent 5 24 5" xfId="16440"/>
    <cellStyle name="40% - akcent 5 24 6" xfId="23031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3" xfId="9837"/>
    <cellStyle name="40% - akcent 5 25 2 4" xfId="16443"/>
    <cellStyle name="40% - akcent 5 25 2 5" xfId="23034"/>
    <cellStyle name="40% - akcent 5 25 3" xfId="6491"/>
    <cellStyle name="40% - akcent 5 25 3 2" xfId="13126"/>
    <cellStyle name="40% - akcent 5 25 3 3" xfId="19730"/>
    <cellStyle name="40% - akcent 5 25 3 4" xfId="26321"/>
    <cellStyle name="40% - akcent 5 25 4" xfId="9836"/>
    <cellStyle name="40% - akcent 5 25 5" xfId="16442"/>
    <cellStyle name="40% - akcent 5 25 6" xfId="23033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3" xfId="9839"/>
    <cellStyle name="40% - akcent 5 26 2 4" xfId="16445"/>
    <cellStyle name="40% - akcent 5 26 2 5" xfId="23036"/>
    <cellStyle name="40% - akcent 5 26 3" xfId="6493"/>
    <cellStyle name="40% - akcent 5 26 3 2" xfId="13128"/>
    <cellStyle name="40% - akcent 5 26 3 3" xfId="19732"/>
    <cellStyle name="40% - akcent 5 26 3 4" xfId="26323"/>
    <cellStyle name="40% - akcent 5 26 4" xfId="9838"/>
    <cellStyle name="40% - akcent 5 26 5" xfId="16444"/>
    <cellStyle name="40% - akcent 5 26 6" xfId="23035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3" xfId="9841"/>
    <cellStyle name="40% - akcent 5 27 2 4" xfId="16447"/>
    <cellStyle name="40% - akcent 5 27 2 5" xfId="23038"/>
    <cellStyle name="40% - akcent 5 27 3" xfId="6495"/>
    <cellStyle name="40% - akcent 5 27 3 2" xfId="13130"/>
    <cellStyle name="40% - akcent 5 27 3 3" xfId="19734"/>
    <cellStyle name="40% - akcent 5 27 3 4" xfId="26325"/>
    <cellStyle name="40% - akcent 5 27 4" xfId="9840"/>
    <cellStyle name="40% - akcent 5 27 5" xfId="16446"/>
    <cellStyle name="40% - akcent 5 27 6" xfId="23037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3" xfId="9843"/>
    <cellStyle name="40% - akcent 5 28 2 4" xfId="16449"/>
    <cellStyle name="40% - akcent 5 28 2 5" xfId="23040"/>
    <cellStyle name="40% - akcent 5 28 3" xfId="6497"/>
    <cellStyle name="40% - akcent 5 28 3 2" xfId="13132"/>
    <cellStyle name="40% - akcent 5 28 3 3" xfId="19736"/>
    <cellStyle name="40% - akcent 5 28 3 4" xfId="26327"/>
    <cellStyle name="40% - akcent 5 28 4" xfId="9842"/>
    <cellStyle name="40% - akcent 5 28 5" xfId="16448"/>
    <cellStyle name="40% - akcent 5 28 6" xfId="23039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3" xfId="9845"/>
    <cellStyle name="40% - akcent 5 29 2 4" xfId="16451"/>
    <cellStyle name="40% - akcent 5 29 2 5" xfId="23042"/>
    <cellStyle name="40% - akcent 5 29 3" xfId="6499"/>
    <cellStyle name="40% - akcent 5 29 3 2" xfId="13134"/>
    <cellStyle name="40% - akcent 5 29 3 3" xfId="19738"/>
    <cellStyle name="40% - akcent 5 29 3 4" xfId="26329"/>
    <cellStyle name="40% - akcent 5 29 4" xfId="9844"/>
    <cellStyle name="40% - akcent 5 29 5" xfId="16450"/>
    <cellStyle name="40% - akcent 5 29 6" xfId="23041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3" xfId="9847"/>
    <cellStyle name="40% - akcent 5 3 2 4" xfId="16453"/>
    <cellStyle name="40% - akcent 5 3 2 5" xfId="23044"/>
    <cellStyle name="40% - akcent 5 3 3" xfId="6501"/>
    <cellStyle name="40% - akcent 5 3 3 2" xfId="13136"/>
    <cellStyle name="40% - akcent 5 3 3 3" xfId="19740"/>
    <cellStyle name="40% - akcent 5 3 3 4" xfId="26331"/>
    <cellStyle name="40% - akcent 5 3 4" xfId="9846"/>
    <cellStyle name="40% - akcent 5 3 5" xfId="16452"/>
    <cellStyle name="40% - akcent 5 3 6" xfId="23043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3" xfId="9849"/>
    <cellStyle name="40% - akcent 5 30 2 4" xfId="16455"/>
    <cellStyle name="40% - akcent 5 30 2 5" xfId="23046"/>
    <cellStyle name="40% - akcent 5 30 3" xfId="6503"/>
    <cellStyle name="40% - akcent 5 30 3 2" xfId="13138"/>
    <cellStyle name="40% - akcent 5 30 3 3" xfId="19742"/>
    <cellStyle name="40% - akcent 5 30 3 4" xfId="26333"/>
    <cellStyle name="40% - akcent 5 30 4" xfId="9848"/>
    <cellStyle name="40% - akcent 5 30 5" xfId="16454"/>
    <cellStyle name="40% - akcent 5 30 6" xfId="23045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3" xfId="9851"/>
    <cellStyle name="40% - akcent 5 31 2 4" xfId="16457"/>
    <cellStyle name="40% - akcent 5 31 2 5" xfId="23048"/>
    <cellStyle name="40% - akcent 5 31 3" xfId="6505"/>
    <cellStyle name="40% - akcent 5 31 3 2" xfId="13140"/>
    <cellStyle name="40% - akcent 5 31 3 3" xfId="19744"/>
    <cellStyle name="40% - akcent 5 31 3 4" xfId="26335"/>
    <cellStyle name="40% - akcent 5 31 4" xfId="9850"/>
    <cellStyle name="40% - akcent 5 31 5" xfId="16456"/>
    <cellStyle name="40% - akcent 5 31 6" xfId="23047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3" xfId="9853"/>
    <cellStyle name="40% - akcent 5 32 2 4" xfId="16459"/>
    <cellStyle name="40% - akcent 5 32 2 5" xfId="23050"/>
    <cellStyle name="40% - akcent 5 32 3" xfId="6507"/>
    <cellStyle name="40% - akcent 5 32 3 2" xfId="13142"/>
    <cellStyle name="40% - akcent 5 32 3 3" xfId="19746"/>
    <cellStyle name="40% - akcent 5 32 3 4" xfId="26337"/>
    <cellStyle name="40% - akcent 5 32 4" xfId="9852"/>
    <cellStyle name="40% - akcent 5 32 5" xfId="16458"/>
    <cellStyle name="40% - akcent 5 32 6" xfId="23049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3" xfId="9855"/>
    <cellStyle name="40% - akcent 5 33 2 4" xfId="16461"/>
    <cellStyle name="40% - akcent 5 33 2 5" xfId="23052"/>
    <cellStyle name="40% - akcent 5 33 3" xfId="6509"/>
    <cellStyle name="40% - akcent 5 33 3 2" xfId="13144"/>
    <cellStyle name="40% - akcent 5 33 3 3" xfId="19748"/>
    <cellStyle name="40% - akcent 5 33 3 4" xfId="26339"/>
    <cellStyle name="40% - akcent 5 33 4" xfId="9854"/>
    <cellStyle name="40% - akcent 5 33 5" xfId="16460"/>
    <cellStyle name="40% - akcent 5 33 6" xfId="23051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3" xfId="9857"/>
    <cellStyle name="40% - akcent 5 34 2 4" xfId="16463"/>
    <cellStyle name="40% - akcent 5 34 2 5" xfId="23054"/>
    <cellStyle name="40% - akcent 5 34 3" xfId="6511"/>
    <cellStyle name="40% - akcent 5 34 3 2" xfId="13146"/>
    <cellStyle name="40% - akcent 5 34 3 3" xfId="19750"/>
    <cellStyle name="40% - akcent 5 34 3 4" xfId="26341"/>
    <cellStyle name="40% - akcent 5 34 4" xfId="9856"/>
    <cellStyle name="40% - akcent 5 34 5" xfId="16462"/>
    <cellStyle name="40% - akcent 5 34 6" xfId="23053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3" xfId="9859"/>
    <cellStyle name="40% - akcent 5 35 2 4" xfId="16465"/>
    <cellStyle name="40% - akcent 5 35 2 5" xfId="23056"/>
    <cellStyle name="40% - akcent 5 35 3" xfId="6513"/>
    <cellStyle name="40% - akcent 5 35 3 2" xfId="13148"/>
    <cellStyle name="40% - akcent 5 35 3 3" xfId="19752"/>
    <cellStyle name="40% - akcent 5 35 3 4" xfId="26343"/>
    <cellStyle name="40% - akcent 5 35 4" xfId="9858"/>
    <cellStyle name="40% - akcent 5 35 5" xfId="16464"/>
    <cellStyle name="40% - akcent 5 35 6" xfId="23055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3" xfId="9861"/>
    <cellStyle name="40% - akcent 5 36 2 4" xfId="16467"/>
    <cellStyle name="40% - akcent 5 36 2 5" xfId="23058"/>
    <cellStyle name="40% - akcent 5 36 3" xfId="6515"/>
    <cellStyle name="40% - akcent 5 36 3 2" xfId="13150"/>
    <cellStyle name="40% - akcent 5 36 3 3" xfId="19754"/>
    <cellStyle name="40% - akcent 5 36 3 4" xfId="26345"/>
    <cellStyle name="40% - akcent 5 36 4" xfId="9860"/>
    <cellStyle name="40% - akcent 5 36 5" xfId="16466"/>
    <cellStyle name="40% - akcent 5 36 6" xfId="23057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3" xfId="9863"/>
    <cellStyle name="40% - akcent 5 37 2 4" xfId="16469"/>
    <cellStyle name="40% - akcent 5 37 2 5" xfId="23060"/>
    <cellStyle name="40% - akcent 5 37 3" xfId="6517"/>
    <cellStyle name="40% - akcent 5 37 3 2" xfId="13152"/>
    <cellStyle name="40% - akcent 5 37 3 3" xfId="19756"/>
    <cellStyle name="40% - akcent 5 37 3 4" xfId="26347"/>
    <cellStyle name="40% - akcent 5 37 4" xfId="9862"/>
    <cellStyle name="40% - akcent 5 37 5" xfId="16468"/>
    <cellStyle name="40% - akcent 5 37 6" xfId="23059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3" xfId="9865"/>
    <cellStyle name="40% - akcent 5 38 2 4" xfId="16471"/>
    <cellStyle name="40% - akcent 5 38 2 5" xfId="23062"/>
    <cellStyle name="40% - akcent 5 38 3" xfId="6519"/>
    <cellStyle name="40% - akcent 5 38 3 2" xfId="13154"/>
    <cellStyle name="40% - akcent 5 38 3 3" xfId="19758"/>
    <cellStyle name="40% - akcent 5 38 3 4" xfId="26349"/>
    <cellStyle name="40% - akcent 5 38 4" xfId="9864"/>
    <cellStyle name="40% - akcent 5 38 5" xfId="16470"/>
    <cellStyle name="40% - akcent 5 38 6" xfId="23061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3" xfId="9867"/>
    <cellStyle name="40% - akcent 5 39 2 4" xfId="16473"/>
    <cellStyle name="40% - akcent 5 39 2 5" xfId="23064"/>
    <cellStyle name="40% - akcent 5 39 3" xfId="6521"/>
    <cellStyle name="40% - akcent 5 39 3 2" xfId="13156"/>
    <cellStyle name="40% - akcent 5 39 3 3" xfId="19760"/>
    <cellStyle name="40% - akcent 5 39 3 4" xfId="26351"/>
    <cellStyle name="40% - akcent 5 39 4" xfId="9866"/>
    <cellStyle name="40% - akcent 5 39 5" xfId="16472"/>
    <cellStyle name="40% - akcent 5 39 6" xfId="23063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3" xfId="9869"/>
    <cellStyle name="40% - akcent 5 4 2 4" xfId="16475"/>
    <cellStyle name="40% - akcent 5 4 2 5" xfId="23066"/>
    <cellStyle name="40% - akcent 5 4 3" xfId="6523"/>
    <cellStyle name="40% - akcent 5 4 3 2" xfId="13158"/>
    <cellStyle name="40% - akcent 5 4 3 3" xfId="19762"/>
    <cellStyle name="40% - akcent 5 4 3 4" xfId="26353"/>
    <cellStyle name="40% - akcent 5 4 4" xfId="9868"/>
    <cellStyle name="40% - akcent 5 4 5" xfId="16474"/>
    <cellStyle name="40% - akcent 5 4 6" xfId="23065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3" xfId="9871"/>
    <cellStyle name="40% - akcent 5 40 2 4" xfId="16477"/>
    <cellStyle name="40% - akcent 5 40 2 5" xfId="23068"/>
    <cellStyle name="40% - akcent 5 40 3" xfId="6525"/>
    <cellStyle name="40% - akcent 5 40 3 2" xfId="13160"/>
    <cellStyle name="40% - akcent 5 40 3 3" xfId="19764"/>
    <cellStyle name="40% - akcent 5 40 3 4" xfId="26355"/>
    <cellStyle name="40% - akcent 5 40 4" xfId="9870"/>
    <cellStyle name="40% - akcent 5 40 5" xfId="16476"/>
    <cellStyle name="40% - akcent 5 40 6" xfId="23067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3" xfId="9873"/>
    <cellStyle name="40% - akcent 5 41 2 4" xfId="16479"/>
    <cellStyle name="40% - akcent 5 41 2 5" xfId="23070"/>
    <cellStyle name="40% - akcent 5 41 3" xfId="6527"/>
    <cellStyle name="40% - akcent 5 41 3 2" xfId="13162"/>
    <cellStyle name="40% - akcent 5 41 3 3" xfId="19766"/>
    <cellStyle name="40% - akcent 5 41 3 4" xfId="26357"/>
    <cellStyle name="40% - akcent 5 41 4" xfId="9872"/>
    <cellStyle name="40% - akcent 5 41 5" xfId="16478"/>
    <cellStyle name="40% - akcent 5 41 6" xfId="23069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3" xfId="9875"/>
    <cellStyle name="40% - akcent 5 42 2 4" xfId="16481"/>
    <cellStyle name="40% - akcent 5 42 2 5" xfId="23072"/>
    <cellStyle name="40% - akcent 5 42 3" xfId="6529"/>
    <cellStyle name="40% - akcent 5 42 3 2" xfId="13164"/>
    <cellStyle name="40% - akcent 5 42 3 3" xfId="19768"/>
    <cellStyle name="40% - akcent 5 42 3 4" xfId="26359"/>
    <cellStyle name="40% - akcent 5 42 4" xfId="9874"/>
    <cellStyle name="40% - akcent 5 42 5" xfId="16480"/>
    <cellStyle name="40% - akcent 5 42 6" xfId="23071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3" xfId="9877"/>
    <cellStyle name="40% - akcent 5 43 2 4" xfId="16483"/>
    <cellStyle name="40% - akcent 5 43 2 5" xfId="23074"/>
    <cellStyle name="40% - akcent 5 43 3" xfId="6531"/>
    <cellStyle name="40% - akcent 5 43 3 2" xfId="13166"/>
    <cellStyle name="40% - akcent 5 43 3 3" xfId="19770"/>
    <cellStyle name="40% - akcent 5 43 3 4" xfId="26361"/>
    <cellStyle name="40% - akcent 5 43 4" xfId="9876"/>
    <cellStyle name="40% - akcent 5 43 5" xfId="16482"/>
    <cellStyle name="40% - akcent 5 43 6" xfId="23073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3" xfId="9879"/>
    <cellStyle name="40% - akcent 5 44 2 4" xfId="16485"/>
    <cellStyle name="40% - akcent 5 44 2 5" xfId="23076"/>
    <cellStyle name="40% - akcent 5 44 3" xfId="6533"/>
    <cellStyle name="40% - akcent 5 44 3 2" xfId="13168"/>
    <cellStyle name="40% - akcent 5 44 3 3" xfId="19772"/>
    <cellStyle name="40% - akcent 5 44 3 4" xfId="26363"/>
    <cellStyle name="40% - akcent 5 44 4" xfId="9878"/>
    <cellStyle name="40% - akcent 5 44 5" xfId="16484"/>
    <cellStyle name="40% - akcent 5 44 6" xfId="23075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3" xfId="9881"/>
    <cellStyle name="40% - akcent 5 45 2 4" xfId="16487"/>
    <cellStyle name="40% - akcent 5 45 2 5" xfId="23078"/>
    <cellStyle name="40% - akcent 5 45 3" xfId="6535"/>
    <cellStyle name="40% - akcent 5 45 3 2" xfId="13170"/>
    <cellStyle name="40% - akcent 5 45 3 3" xfId="19774"/>
    <cellStyle name="40% - akcent 5 45 3 4" xfId="26365"/>
    <cellStyle name="40% - akcent 5 45 4" xfId="9880"/>
    <cellStyle name="40% - akcent 5 45 5" xfId="16486"/>
    <cellStyle name="40% - akcent 5 45 6" xfId="23077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3" xfId="9883"/>
    <cellStyle name="40% - akcent 5 46 2 4" xfId="16489"/>
    <cellStyle name="40% - akcent 5 46 2 5" xfId="23080"/>
    <cellStyle name="40% - akcent 5 46 3" xfId="6537"/>
    <cellStyle name="40% - akcent 5 46 3 2" xfId="13172"/>
    <cellStyle name="40% - akcent 5 46 3 3" xfId="19776"/>
    <cellStyle name="40% - akcent 5 46 3 4" xfId="26367"/>
    <cellStyle name="40% - akcent 5 46 4" xfId="9882"/>
    <cellStyle name="40% - akcent 5 46 5" xfId="16488"/>
    <cellStyle name="40% - akcent 5 46 6" xfId="23079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3" xfId="9885"/>
    <cellStyle name="40% - akcent 5 47 2 4" xfId="16491"/>
    <cellStyle name="40% - akcent 5 47 2 5" xfId="23082"/>
    <cellStyle name="40% - akcent 5 47 3" xfId="6539"/>
    <cellStyle name="40% - akcent 5 47 3 2" xfId="13174"/>
    <cellStyle name="40% - akcent 5 47 3 3" xfId="19778"/>
    <cellStyle name="40% - akcent 5 47 3 4" xfId="26369"/>
    <cellStyle name="40% - akcent 5 47 4" xfId="9884"/>
    <cellStyle name="40% - akcent 5 47 5" xfId="16490"/>
    <cellStyle name="40% - akcent 5 47 6" xfId="23081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3" xfId="9887"/>
    <cellStyle name="40% - akcent 5 48 2 4" xfId="16493"/>
    <cellStyle name="40% - akcent 5 48 2 5" xfId="23084"/>
    <cellStyle name="40% - akcent 5 48 3" xfId="6541"/>
    <cellStyle name="40% - akcent 5 48 3 2" xfId="13176"/>
    <cellStyle name="40% - akcent 5 48 3 3" xfId="19780"/>
    <cellStyle name="40% - akcent 5 48 3 4" xfId="26371"/>
    <cellStyle name="40% - akcent 5 48 4" xfId="9886"/>
    <cellStyle name="40% - akcent 5 48 5" xfId="16492"/>
    <cellStyle name="40% - akcent 5 48 6" xfId="23083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3" xfId="9889"/>
    <cellStyle name="40% - akcent 5 49 2 4" xfId="16495"/>
    <cellStyle name="40% - akcent 5 49 2 5" xfId="23086"/>
    <cellStyle name="40% - akcent 5 49 3" xfId="6543"/>
    <cellStyle name="40% - akcent 5 49 3 2" xfId="13178"/>
    <cellStyle name="40% - akcent 5 49 3 3" xfId="19782"/>
    <cellStyle name="40% - akcent 5 49 3 4" xfId="26373"/>
    <cellStyle name="40% - akcent 5 49 4" xfId="9888"/>
    <cellStyle name="40% - akcent 5 49 5" xfId="16494"/>
    <cellStyle name="40% - akcent 5 49 6" xfId="23085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3" xfId="9891"/>
    <cellStyle name="40% - akcent 5 5 2 4" xfId="16497"/>
    <cellStyle name="40% - akcent 5 5 2 5" xfId="23088"/>
    <cellStyle name="40% - akcent 5 5 3" xfId="6545"/>
    <cellStyle name="40% - akcent 5 5 3 2" xfId="13180"/>
    <cellStyle name="40% - akcent 5 5 3 3" xfId="19784"/>
    <cellStyle name="40% - akcent 5 5 3 4" xfId="26375"/>
    <cellStyle name="40% - akcent 5 5 4" xfId="9890"/>
    <cellStyle name="40% - akcent 5 5 5" xfId="16496"/>
    <cellStyle name="40% - akcent 5 5 6" xfId="23087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3" xfId="9893"/>
    <cellStyle name="40% - akcent 5 50 2 4" xfId="16499"/>
    <cellStyle name="40% - akcent 5 50 2 5" xfId="23090"/>
    <cellStyle name="40% - akcent 5 50 3" xfId="6547"/>
    <cellStyle name="40% - akcent 5 50 3 2" xfId="13182"/>
    <cellStyle name="40% - akcent 5 50 3 3" xfId="19786"/>
    <cellStyle name="40% - akcent 5 50 3 4" xfId="26377"/>
    <cellStyle name="40% - akcent 5 50 4" xfId="9892"/>
    <cellStyle name="40% - akcent 5 50 5" xfId="16498"/>
    <cellStyle name="40% - akcent 5 50 6" xfId="23089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3" xfId="9895"/>
    <cellStyle name="40% - akcent 5 51 2 4" xfId="16501"/>
    <cellStyle name="40% - akcent 5 51 2 5" xfId="23092"/>
    <cellStyle name="40% - akcent 5 51 3" xfId="6549"/>
    <cellStyle name="40% - akcent 5 51 3 2" xfId="13184"/>
    <cellStyle name="40% - akcent 5 51 3 3" xfId="19788"/>
    <cellStyle name="40% - akcent 5 51 3 4" xfId="26379"/>
    <cellStyle name="40% - akcent 5 51 4" xfId="9894"/>
    <cellStyle name="40% - akcent 5 51 5" xfId="16500"/>
    <cellStyle name="40% - akcent 5 51 6" xfId="23091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3" xfId="9897"/>
    <cellStyle name="40% - akcent 5 52 2 4" xfId="16503"/>
    <cellStyle name="40% - akcent 5 52 2 5" xfId="23094"/>
    <cellStyle name="40% - akcent 5 52 3" xfId="6551"/>
    <cellStyle name="40% - akcent 5 52 3 2" xfId="13186"/>
    <cellStyle name="40% - akcent 5 52 3 3" xfId="19790"/>
    <cellStyle name="40% - akcent 5 52 3 4" xfId="26381"/>
    <cellStyle name="40% - akcent 5 52 4" xfId="9896"/>
    <cellStyle name="40% - akcent 5 52 5" xfId="16502"/>
    <cellStyle name="40% - akcent 5 52 6" xfId="23093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3" xfId="9899"/>
    <cellStyle name="40% - akcent 5 53 2 4" xfId="16505"/>
    <cellStyle name="40% - akcent 5 53 2 5" xfId="23096"/>
    <cellStyle name="40% - akcent 5 53 3" xfId="6553"/>
    <cellStyle name="40% - akcent 5 53 3 2" xfId="13188"/>
    <cellStyle name="40% - akcent 5 53 3 3" xfId="19792"/>
    <cellStyle name="40% - akcent 5 53 3 4" xfId="26383"/>
    <cellStyle name="40% - akcent 5 53 4" xfId="9898"/>
    <cellStyle name="40% - akcent 5 53 5" xfId="16504"/>
    <cellStyle name="40% - akcent 5 53 6" xfId="23095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3" xfId="9901"/>
    <cellStyle name="40% - akcent 5 54 2 4" xfId="16507"/>
    <cellStyle name="40% - akcent 5 54 2 5" xfId="23098"/>
    <cellStyle name="40% - akcent 5 54 3" xfId="6555"/>
    <cellStyle name="40% - akcent 5 54 3 2" xfId="13190"/>
    <cellStyle name="40% - akcent 5 54 3 3" xfId="19794"/>
    <cellStyle name="40% - akcent 5 54 3 4" xfId="26385"/>
    <cellStyle name="40% - akcent 5 54 4" xfId="9900"/>
    <cellStyle name="40% - akcent 5 54 5" xfId="16506"/>
    <cellStyle name="40% - akcent 5 54 6" xfId="23097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3" xfId="9903"/>
    <cellStyle name="40% - akcent 5 55 2 4" xfId="16509"/>
    <cellStyle name="40% - akcent 5 55 2 5" xfId="23100"/>
    <cellStyle name="40% - akcent 5 55 3" xfId="6557"/>
    <cellStyle name="40% - akcent 5 55 3 2" xfId="13192"/>
    <cellStyle name="40% - akcent 5 55 3 3" xfId="19796"/>
    <cellStyle name="40% - akcent 5 55 3 4" xfId="26387"/>
    <cellStyle name="40% - akcent 5 55 4" xfId="9902"/>
    <cellStyle name="40% - akcent 5 55 5" xfId="16508"/>
    <cellStyle name="40% - akcent 5 55 6" xfId="23099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3" xfId="9905"/>
    <cellStyle name="40% - akcent 5 56 2 4" xfId="16511"/>
    <cellStyle name="40% - akcent 5 56 2 5" xfId="23102"/>
    <cellStyle name="40% - akcent 5 56 3" xfId="6559"/>
    <cellStyle name="40% - akcent 5 56 3 2" xfId="13194"/>
    <cellStyle name="40% - akcent 5 56 3 3" xfId="19798"/>
    <cellStyle name="40% - akcent 5 56 3 4" xfId="26389"/>
    <cellStyle name="40% - akcent 5 56 4" xfId="9904"/>
    <cellStyle name="40% - akcent 5 56 5" xfId="16510"/>
    <cellStyle name="40% - akcent 5 56 6" xfId="23101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3" xfId="9907"/>
    <cellStyle name="40% - akcent 5 57 2 4" xfId="16513"/>
    <cellStyle name="40% - akcent 5 57 2 5" xfId="23104"/>
    <cellStyle name="40% - akcent 5 57 3" xfId="6561"/>
    <cellStyle name="40% - akcent 5 57 3 2" xfId="13196"/>
    <cellStyle name="40% - akcent 5 57 3 3" xfId="19800"/>
    <cellStyle name="40% - akcent 5 57 3 4" xfId="26391"/>
    <cellStyle name="40% - akcent 5 57 4" xfId="9906"/>
    <cellStyle name="40% - akcent 5 57 5" xfId="16512"/>
    <cellStyle name="40% - akcent 5 57 6" xfId="23103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3" xfId="9909"/>
    <cellStyle name="40% - akcent 5 58 2 4" xfId="16515"/>
    <cellStyle name="40% - akcent 5 58 2 5" xfId="23106"/>
    <cellStyle name="40% - akcent 5 58 3" xfId="6563"/>
    <cellStyle name="40% - akcent 5 58 3 2" xfId="13198"/>
    <cellStyle name="40% - akcent 5 58 3 3" xfId="19802"/>
    <cellStyle name="40% - akcent 5 58 3 4" xfId="26393"/>
    <cellStyle name="40% - akcent 5 58 4" xfId="9908"/>
    <cellStyle name="40% - akcent 5 58 5" xfId="16514"/>
    <cellStyle name="40% - akcent 5 58 6" xfId="23105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3" xfId="9911"/>
    <cellStyle name="40% - akcent 5 59 2 4" xfId="16517"/>
    <cellStyle name="40% - akcent 5 59 2 5" xfId="23108"/>
    <cellStyle name="40% - akcent 5 59 3" xfId="6565"/>
    <cellStyle name="40% - akcent 5 59 3 2" xfId="13200"/>
    <cellStyle name="40% - akcent 5 59 3 3" xfId="19804"/>
    <cellStyle name="40% - akcent 5 59 3 4" xfId="26395"/>
    <cellStyle name="40% - akcent 5 59 4" xfId="9910"/>
    <cellStyle name="40% - akcent 5 59 5" xfId="16516"/>
    <cellStyle name="40% - akcent 5 59 6" xfId="23107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3" xfId="9913"/>
    <cellStyle name="40% - akcent 5 6 2 4" xfId="16519"/>
    <cellStyle name="40% - akcent 5 6 2 5" xfId="23110"/>
    <cellStyle name="40% - akcent 5 6 3" xfId="6567"/>
    <cellStyle name="40% - akcent 5 6 3 2" xfId="13202"/>
    <cellStyle name="40% - akcent 5 6 3 3" xfId="19806"/>
    <cellStyle name="40% - akcent 5 6 3 4" xfId="26397"/>
    <cellStyle name="40% - akcent 5 6 4" xfId="9912"/>
    <cellStyle name="40% - akcent 5 6 5" xfId="16518"/>
    <cellStyle name="40% - akcent 5 6 6" xfId="23109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3" xfId="9914"/>
    <cellStyle name="40% - akcent 5 60 4" xfId="16520"/>
    <cellStyle name="40% - akcent 5 60 5" xfId="23111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3" xfId="9915"/>
    <cellStyle name="40% - akcent 5 61 4" xfId="16521"/>
    <cellStyle name="40% - akcent 5 61 5" xfId="23112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3" xfId="9916"/>
    <cellStyle name="40% - akcent 5 62 4" xfId="16522"/>
    <cellStyle name="40% - akcent 5 62 5" xfId="23113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3" xfId="9917"/>
    <cellStyle name="40% - akcent 5 63 4" xfId="16523"/>
    <cellStyle name="40% - akcent 5 63 5" xfId="23114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3" xfId="9918"/>
    <cellStyle name="40% - akcent 5 64 4" xfId="16524"/>
    <cellStyle name="40% - akcent 5 64 5" xfId="23115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3" xfId="9919"/>
    <cellStyle name="40% - akcent 5 65 4" xfId="16525"/>
    <cellStyle name="40% - akcent 5 65 5" xfId="23116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3" xfId="9920"/>
    <cellStyle name="40% - akcent 5 66 4" xfId="16526"/>
    <cellStyle name="40% - akcent 5 66 5" xfId="23117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3" xfId="9921"/>
    <cellStyle name="40% - akcent 5 67 4" xfId="16527"/>
    <cellStyle name="40% - akcent 5 67 5" xfId="23118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3" xfId="9922"/>
    <cellStyle name="40% - akcent 5 68 4" xfId="16528"/>
    <cellStyle name="40% - akcent 5 68 5" xfId="23119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3" xfId="9923"/>
    <cellStyle name="40% - akcent 5 69 4" xfId="16529"/>
    <cellStyle name="40% - akcent 5 69 5" xfId="23120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3" xfId="9925"/>
    <cellStyle name="40% - akcent 5 7 2 4" xfId="16531"/>
    <cellStyle name="40% - akcent 5 7 2 5" xfId="23122"/>
    <cellStyle name="40% - akcent 5 7 3" xfId="6579"/>
    <cellStyle name="40% - akcent 5 7 3 2" xfId="13214"/>
    <cellStyle name="40% - akcent 5 7 3 3" xfId="19818"/>
    <cellStyle name="40% - akcent 5 7 3 4" xfId="26409"/>
    <cellStyle name="40% - akcent 5 7 4" xfId="9924"/>
    <cellStyle name="40% - akcent 5 7 5" xfId="16530"/>
    <cellStyle name="40% - akcent 5 7 6" xfId="23121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3" xfId="9926"/>
    <cellStyle name="40% - akcent 5 70 4" xfId="16532"/>
    <cellStyle name="40% - akcent 5 70 5" xfId="23123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3" xfId="9927"/>
    <cellStyle name="40% - akcent 5 71 4" xfId="16533"/>
    <cellStyle name="40% - akcent 5 71 5" xfId="23124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3" xfId="9928"/>
    <cellStyle name="40% - akcent 5 72 4" xfId="16534"/>
    <cellStyle name="40% - akcent 5 72 5" xfId="23125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3" xfId="9929"/>
    <cellStyle name="40% - akcent 5 73 4" xfId="16535"/>
    <cellStyle name="40% - akcent 5 73 5" xfId="23126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3" xfId="9930"/>
    <cellStyle name="40% - akcent 5 74 4" xfId="16536"/>
    <cellStyle name="40% - akcent 5 74 5" xfId="23127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3" xfId="9931"/>
    <cellStyle name="40% - akcent 5 75 4" xfId="16537"/>
    <cellStyle name="40% - akcent 5 75 5" xfId="23128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3" xfId="9932"/>
    <cellStyle name="40% - akcent 5 76 4" xfId="16538"/>
    <cellStyle name="40% - akcent 5 76 5" xfId="23129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3" xfId="9933"/>
    <cellStyle name="40% - akcent 5 77 4" xfId="16539"/>
    <cellStyle name="40% - akcent 5 77 5" xfId="23130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3" xfId="9934"/>
    <cellStyle name="40% - akcent 5 78 4" xfId="16540"/>
    <cellStyle name="40% - akcent 5 78 5" xfId="23131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3" xfId="9935"/>
    <cellStyle name="40% - akcent 5 79 4" xfId="16541"/>
    <cellStyle name="40% - akcent 5 79 5" xfId="23132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3" xfId="9937"/>
    <cellStyle name="40% - akcent 5 8 2 4" xfId="16543"/>
    <cellStyle name="40% - akcent 5 8 2 5" xfId="23134"/>
    <cellStyle name="40% - akcent 5 8 3" xfId="6591"/>
    <cellStyle name="40% - akcent 5 8 3 2" xfId="13226"/>
    <cellStyle name="40% - akcent 5 8 3 3" xfId="19830"/>
    <cellStyle name="40% - akcent 5 8 3 4" xfId="26421"/>
    <cellStyle name="40% - akcent 5 8 4" xfId="9936"/>
    <cellStyle name="40% - akcent 5 8 5" xfId="16542"/>
    <cellStyle name="40% - akcent 5 8 6" xfId="23133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3" xfId="9938"/>
    <cellStyle name="40% - akcent 5 80 4" xfId="16544"/>
    <cellStyle name="40% - akcent 5 80 5" xfId="23135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3" xfId="9939"/>
    <cellStyle name="40% - akcent 5 81 4" xfId="16545"/>
    <cellStyle name="40% - akcent 5 81 5" xfId="23136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3" xfId="9940"/>
    <cellStyle name="40% - akcent 5 82 4" xfId="16546"/>
    <cellStyle name="40% - akcent 5 82 5" xfId="23137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3" xfId="9941"/>
    <cellStyle name="40% - akcent 5 83 4" xfId="16547"/>
    <cellStyle name="40% - akcent 5 83 5" xfId="23138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3" xfId="9942"/>
    <cellStyle name="40% - akcent 5 84 4" xfId="16548"/>
    <cellStyle name="40% - akcent 5 84 5" xfId="23139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3" xfId="9943"/>
    <cellStyle name="40% - akcent 5 85 4" xfId="16549"/>
    <cellStyle name="40% - akcent 5 85 5" xfId="23140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3" xfId="9944"/>
    <cellStyle name="40% - akcent 5 86 4" xfId="16550"/>
    <cellStyle name="40% - akcent 5 86 5" xfId="23141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3" xfId="9945"/>
    <cellStyle name="40% - akcent 5 87 4" xfId="16551"/>
    <cellStyle name="40% - akcent 5 87 5" xfId="23142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3" xfId="9946"/>
    <cellStyle name="40% - akcent 5 88 4" xfId="16552"/>
    <cellStyle name="40% - akcent 5 88 5" xfId="23143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3" xfId="9947"/>
    <cellStyle name="40% - akcent 5 89 4" xfId="16553"/>
    <cellStyle name="40% - akcent 5 89 5" xfId="23144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3" xfId="9949"/>
    <cellStyle name="40% - akcent 5 9 2 4" xfId="16555"/>
    <cellStyle name="40% - akcent 5 9 2 5" xfId="23146"/>
    <cellStyle name="40% - akcent 5 9 3" xfId="6603"/>
    <cellStyle name="40% - akcent 5 9 3 2" xfId="13238"/>
    <cellStyle name="40% - akcent 5 9 3 3" xfId="19842"/>
    <cellStyle name="40% - akcent 5 9 3 4" xfId="26433"/>
    <cellStyle name="40% - akcent 5 9 4" xfId="9948"/>
    <cellStyle name="40% - akcent 5 9 5" xfId="16554"/>
    <cellStyle name="40% - akcent 5 9 6" xfId="23145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3" xfId="9950"/>
    <cellStyle name="40% - akcent 5 90 4" xfId="16556"/>
    <cellStyle name="40% - akcent 5 90 5" xfId="23147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3" xfId="9951"/>
    <cellStyle name="40% - akcent 5 91 4" xfId="16557"/>
    <cellStyle name="40% - akcent 5 91 5" xfId="23148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3" xfId="9952"/>
    <cellStyle name="40% - akcent 5 92 4" xfId="16558"/>
    <cellStyle name="40% - akcent 5 92 5" xfId="23149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3" xfId="9953"/>
    <cellStyle name="40% - akcent 5 93 4" xfId="16559"/>
    <cellStyle name="40% - akcent 5 93 5" xfId="23150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3" xfId="9954"/>
    <cellStyle name="40% - akcent 5 94 4" xfId="16560"/>
    <cellStyle name="40% - akcent 5 94 5" xfId="23151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3" xfId="9955"/>
    <cellStyle name="40% - akcent 5 95 4" xfId="16561"/>
    <cellStyle name="40% - akcent 5 95 5" xfId="23152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3" xfId="9956"/>
    <cellStyle name="40% - akcent 5 96 4" xfId="16562"/>
    <cellStyle name="40% - akcent 5 96 5" xfId="23153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3" xfId="9957"/>
    <cellStyle name="40% - akcent 5 97 4" xfId="16563"/>
    <cellStyle name="40% - akcent 5 97 5" xfId="23154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3" xfId="9958"/>
    <cellStyle name="40% - akcent 5 98 4" xfId="16564"/>
    <cellStyle name="40% - akcent 5 98 5" xfId="23155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3" xfId="9959"/>
    <cellStyle name="40% - akcent 5 99 4" xfId="16565"/>
    <cellStyle name="40% - akcent 5 99 5" xfId="23156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3" xfId="9961"/>
    <cellStyle name="40% - akcent 6 10 2 4" xfId="16567"/>
    <cellStyle name="40% - akcent 6 10 2 5" xfId="23158"/>
    <cellStyle name="40% - akcent 6 10 3" xfId="6615"/>
    <cellStyle name="40% - akcent 6 10 3 2" xfId="13250"/>
    <cellStyle name="40% - akcent 6 10 3 3" xfId="19854"/>
    <cellStyle name="40% - akcent 6 10 3 4" xfId="26445"/>
    <cellStyle name="40% - akcent 6 10 4" xfId="9960"/>
    <cellStyle name="40% - akcent 6 10 5" xfId="16566"/>
    <cellStyle name="40% - akcent 6 10 6" xfId="23157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3" xfId="9962"/>
    <cellStyle name="40% - akcent 6 100 4" xfId="16568"/>
    <cellStyle name="40% - akcent 6 100 5" xfId="23159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3" xfId="9963"/>
    <cellStyle name="40% - akcent 6 101 4" xfId="16569"/>
    <cellStyle name="40% - akcent 6 101 5" xfId="23160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3" xfId="9964"/>
    <cellStyle name="40% - akcent 6 102 4" xfId="16570"/>
    <cellStyle name="40% - akcent 6 102 5" xfId="23161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3" xfId="9965"/>
    <cellStyle name="40% - akcent 6 103 4" xfId="16571"/>
    <cellStyle name="40% - akcent 6 103 5" xfId="23162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3" xfId="9966"/>
    <cellStyle name="40% - akcent 6 104 4" xfId="16572"/>
    <cellStyle name="40% - akcent 6 104 5" xfId="23163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3" xfId="9967"/>
    <cellStyle name="40% - akcent 6 105 4" xfId="16573"/>
    <cellStyle name="40% - akcent 6 105 5" xfId="23164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3" xfId="9968"/>
    <cellStyle name="40% - akcent 6 106 4" xfId="16574"/>
    <cellStyle name="40% - akcent 6 106 5" xfId="23165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3" xfId="9969"/>
    <cellStyle name="40% - akcent 6 107 4" xfId="16575"/>
    <cellStyle name="40% - akcent 6 107 5" xfId="23166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3" xfId="9970"/>
    <cellStyle name="40% - akcent 6 108 4" xfId="16576"/>
    <cellStyle name="40% - akcent 6 108 5" xfId="23167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3" xfId="9971"/>
    <cellStyle name="40% - akcent 6 109 4" xfId="16577"/>
    <cellStyle name="40% - akcent 6 109 5" xfId="23168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3" xfId="9973"/>
    <cellStyle name="40% - akcent 6 11 2 4" xfId="16579"/>
    <cellStyle name="40% - akcent 6 11 2 5" xfId="23170"/>
    <cellStyle name="40% - akcent 6 11 3" xfId="6627"/>
    <cellStyle name="40% - akcent 6 11 3 2" xfId="13262"/>
    <cellStyle name="40% - akcent 6 11 3 3" xfId="19866"/>
    <cellStyle name="40% - akcent 6 11 3 4" xfId="26457"/>
    <cellStyle name="40% - akcent 6 11 4" xfId="9972"/>
    <cellStyle name="40% - akcent 6 11 5" xfId="16578"/>
    <cellStyle name="40% - akcent 6 11 6" xfId="23169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3" xfId="9974"/>
    <cellStyle name="40% - akcent 6 110 4" xfId="16580"/>
    <cellStyle name="40% - akcent 6 110 5" xfId="23171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3" xfId="9975"/>
    <cellStyle name="40% - akcent 6 111 4" xfId="16581"/>
    <cellStyle name="40% - akcent 6 111 5" xfId="23172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3" xfId="9976"/>
    <cellStyle name="40% - akcent 6 112 4" xfId="16582"/>
    <cellStyle name="40% - akcent 6 112 5" xfId="23173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3" xfId="9977"/>
    <cellStyle name="40% - akcent 6 113 4" xfId="16583"/>
    <cellStyle name="40% - akcent 6 113 5" xfId="23174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3" xfId="9978"/>
    <cellStyle name="40% - akcent 6 114 4" xfId="16584"/>
    <cellStyle name="40% - akcent 6 114 5" xfId="23175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3" xfId="9979"/>
    <cellStyle name="40% - akcent 6 115 4" xfId="16585"/>
    <cellStyle name="40% - akcent 6 115 5" xfId="23176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3" xfId="9980"/>
    <cellStyle name="40% - akcent 6 116 4" xfId="16586"/>
    <cellStyle name="40% - akcent 6 116 5" xfId="23177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3" xfId="9981"/>
    <cellStyle name="40% - akcent 6 117 4" xfId="16587"/>
    <cellStyle name="40% - akcent 6 117 5" xfId="23178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3" xfId="9982"/>
    <cellStyle name="40% - akcent 6 118 4" xfId="16588"/>
    <cellStyle name="40% - akcent 6 118 5" xfId="23179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3" xfId="9983"/>
    <cellStyle name="40% - akcent 6 119 4" xfId="16589"/>
    <cellStyle name="40% - akcent 6 119 5" xfId="23180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3" xfId="9985"/>
    <cellStyle name="40% - akcent 6 12 2 4" xfId="16591"/>
    <cellStyle name="40% - akcent 6 12 2 5" xfId="23182"/>
    <cellStyle name="40% - akcent 6 12 3" xfId="6639"/>
    <cellStyle name="40% - akcent 6 12 3 2" xfId="13274"/>
    <cellStyle name="40% - akcent 6 12 3 3" xfId="19878"/>
    <cellStyle name="40% - akcent 6 12 3 4" xfId="26469"/>
    <cellStyle name="40% - akcent 6 12 4" xfId="9984"/>
    <cellStyle name="40% - akcent 6 12 5" xfId="16590"/>
    <cellStyle name="40% - akcent 6 12 6" xfId="23181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3" xfId="9986"/>
    <cellStyle name="40% - akcent 6 120 4" xfId="16592"/>
    <cellStyle name="40% - akcent 6 120 5" xfId="23183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3" xfId="9987"/>
    <cellStyle name="40% - akcent 6 121 4" xfId="16593"/>
    <cellStyle name="40% - akcent 6 121 5" xfId="23184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3" xfId="9988"/>
    <cellStyle name="40% - akcent 6 122 4" xfId="16594"/>
    <cellStyle name="40% - akcent 6 122 5" xfId="23185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3" xfId="9989"/>
    <cellStyle name="40% - akcent 6 123 4" xfId="16595"/>
    <cellStyle name="40% - akcent 6 123 5" xfId="23186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3" xfId="9990"/>
    <cellStyle name="40% - akcent 6 124 4" xfId="16596"/>
    <cellStyle name="40% - akcent 6 124 5" xfId="23187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3" xfId="9991"/>
    <cellStyle name="40% - akcent 6 125 4" xfId="16597"/>
    <cellStyle name="40% - akcent 6 125 5" xfId="23188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3" xfId="9992"/>
    <cellStyle name="40% - akcent 6 126 4" xfId="16598"/>
    <cellStyle name="40% - akcent 6 126 5" xfId="23189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3" xfId="9993"/>
    <cellStyle name="40% - akcent 6 127 4" xfId="16599"/>
    <cellStyle name="40% - akcent 6 127 5" xfId="23190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3" xfId="9994"/>
    <cellStyle name="40% - akcent 6 128 4" xfId="16600"/>
    <cellStyle name="40% - akcent 6 128 5" xfId="23191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3" xfId="9995"/>
    <cellStyle name="40% - akcent 6 129 4" xfId="16601"/>
    <cellStyle name="40% - akcent 6 129 5" xfId="23192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3" xfId="9997"/>
    <cellStyle name="40% - akcent 6 13 2 4" xfId="16603"/>
    <cellStyle name="40% - akcent 6 13 2 5" xfId="23194"/>
    <cellStyle name="40% - akcent 6 13 3" xfId="6651"/>
    <cellStyle name="40% - akcent 6 13 3 2" xfId="13286"/>
    <cellStyle name="40% - akcent 6 13 3 3" xfId="19890"/>
    <cellStyle name="40% - akcent 6 13 3 4" xfId="26481"/>
    <cellStyle name="40% - akcent 6 13 4" xfId="9996"/>
    <cellStyle name="40% - akcent 6 13 5" xfId="16602"/>
    <cellStyle name="40% - akcent 6 13 6" xfId="23193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3" xfId="9998"/>
    <cellStyle name="40% - akcent 6 130 4" xfId="16604"/>
    <cellStyle name="40% - akcent 6 130 5" xfId="23195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3" xfId="9999"/>
    <cellStyle name="40% - akcent 6 131 4" xfId="16605"/>
    <cellStyle name="40% - akcent 6 131 5" xfId="23196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3" xfId="10000"/>
    <cellStyle name="40% - akcent 6 132 4" xfId="16606"/>
    <cellStyle name="40% - akcent 6 132 5" xfId="23197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3" xfId="10001"/>
    <cellStyle name="40% - akcent 6 133 4" xfId="16607"/>
    <cellStyle name="40% - akcent 6 133 5" xfId="23198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3" xfId="10002"/>
    <cellStyle name="40% - akcent 6 134 4" xfId="16608"/>
    <cellStyle name="40% - akcent 6 134 5" xfId="23199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3" xfId="10003"/>
    <cellStyle name="40% - akcent 6 135 4" xfId="16609"/>
    <cellStyle name="40% - akcent 6 135 5" xfId="23200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3" xfId="10004"/>
    <cellStyle name="40% - akcent 6 136 4" xfId="16610"/>
    <cellStyle name="40% - akcent 6 136 5" xfId="23201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3" xfId="10005"/>
    <cellStyle name="40% - akcent 6 137 4" xfId="16611"/>
    <cellStyle name="40% - akcent 6 137 5" xfId="23202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3" xfId="10006"/>
    <cellStyle name="40% - akcent 6 138 4" xfId="16612"/>
    <cellStyle name="40% - akcent 6 138 5" xfId="23203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3" xfId="10007"/>
    <cellStyle name="40% - akcent 6 139 4" xfId="16613"/>
    <cellStyle name="40% - akcent 6 139 5" xfId="23204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3" xfId="10009"/>
    <cellStyle name="40% - akcent 6 14 2 4" xfId="16615"/>
    <cellStyle name="40% - akcent 6 14 2 5" xfId="23206"/>
    <cellStyle name="40% - akcent 6 14 3" xfId="6663"/>
    <cellStyle name="40% - akcent 6 14 3 2" xfId="13298"/>
    <cellStyle name="40% - akcent 6 14 3 3" xfId="19902"/>
    <cellStyle name="40% - akcent 6 14 3 4" xfId="26493"/>
    <cellStyle name="40% - akcent 6 14 4" xfId="10008"/>
    <cellStyle name="40% - akcent 6 14 5" xfId="16614"/>
    <cellStyle name="40% - akcent 6 14 6" xfId="23205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3" xfId="10010"/>
    <cellStyle name="40% - akcent 6 140 4" xfId="16616"/>
    <cellStyle name="40% - akcent 6 140 5" xfId="23207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3" xfId="10011"/>
    <cellStyle name="40% - akcent 6 141 4" xfId="16617"/>
    <cellStyle name="40% - akcent 6 141 5" xfId="23208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3" xfId="10012"/>
    <cellStyle name="40% - akcent 6 142 4" xfId="16618"/>
    <cellStyle name="40% - akcent 6 142 5" xfId="23209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3" xfId="10013"/>
    <cellStyle name="40% - akcent 6 143 4" xfId="16619"/>
    <cellStyle name="40% - akcent 6 143 5" xfId="23210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3" xfId="10014"/>
    <cellStyle name="40% - akcent 6 144 4" xfId="16620"/>
    <cellStyle name="40% - akcent 6 144 5" xfId="23211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3" xfId="10015"/>
    <cellStyle name="40% - akcent 6 145 4" xfId="16621"/>
    <cellStyle name="40% - akcent 6 145 5" xfId="23212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3" xfId="10016"/>
    <cellStyle name="40% - akcent 6 146 4" xfId="16622"/>
    <cellStyle name="40% - akcent 6 146 5" xfId="23213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3" xfId="10017"/>
    <cellStyle name="40% - akcent 6 147 4" xfId="16623"/>
    <cellStyle name="40% - akcent 6 147 5" xfId="23214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3" xfId="10018"/>
    <cellStyle name="40% - akcent 6 148 4" xfId="16624"/>
    <cellStyle name="40% - akcent 6 148 5" xfId="23215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3" xfId="10019"/>
    <cellStyle name="40% - akcent 6 149 4" xfId="16625"/>
    <cellStyle name="40% - akcent 6 149 5" xfId="23216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3" xfId="10021"/>
    <cellStyle name="40% - akcent 6 15 2 4" xfId="16627"/>
    <cellStyle name="40% - akcent 6 15 2 5" xfId="23218"/>
    <cellStyle name="40% - akcent 6 15 3" xfId="6675"/>
    <cellStyle name="40% - akcent 6 15 3 2" xfId="13310"/>
    <cellStyle name="40% - akcent 6 15 3 3" xfId="19914"/>
    <cellStyle name="40% - akcent 6 15 3 4" xfId="26505"/>
    <cellStyle name="40% - akcent 6 15 4" xfId="10020"/>
    <cellStyle name="40% - akcent 6 15 5" xfId="16626"/>
    <cellStyle name="40% - akcent 6 15 6" xfId="23217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3" xfId="10022"/>
    <cellStyle name="40% - akcent 6 150 4" xfId="16628"/>
    <cellStyle name="40% - akcent 6 150 5" xfId="23219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3" xfId="10023"/>
    <cellStyle name="40% - akcent 6 151 4" xfId="16629"/>
    <cellStyle name="40% - akcent 6 151 5" xfId="23220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3" xfId="10024"/>
    <cellStyle name="40% - akcent 6 152 4" xfId="16630"/>
    <cellStyle name="40% - akcent 6 152 5" xfId="23221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3" xfId="10025"/>
    <cellStyle name="40% - akcent 6 153 4" xfId="16631"/>
    <cellStyle name="40% - akcent 6 153 5" xfId="23222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3" xfId="10026"/>
    <cellStyle name="40% - akcent 6 154 4" xfId="16632"/>
    <cellStyle name="40% - akcent 6 154 5" xfId="23223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3" xfId="10027"/>
    <cellStyle name="40% - akcent 6 155 4" xfId="16633"/>
    <cellStyle name="40% - akcent 6 155 5" xfId="23224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3" xfId="10028"/>
    <cellStyle name="40% - akcent 6 156 4" xfId="16634"/>
    <cellStyle name="40% - akcent 6 156 5" xfId="23225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3" xfId="10029"/>
    <cellStyle name="40% - akcent 6 157 4" xfId="16635"/>
    <cellStyle name="40% - akcent 6 157 5" xfId="23226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3" xfId="10030"/>
    <cellStyle name="40% - akcent 6 158 4" xfId="16636"/>
    <cellStyle name="40% - akcent 6 158 5" xfId="23227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3" xfId="10031"/>
    <cellStyle name="40% - akcent 6 159 4" xfId="16637"/>
    <cellStyle name="40% - akcent 6 159 5" xfId="23228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3" xfId="10033"/>
    <cellStyle name="40% - akcent 6 16 2 4" xfId="16639"/>
    <cellStyle name="40% - akcent 6 16 2 5" xfId="23230"/>
    <cellStyle name="40% - akcent 6 16 3" xfId="6687"/>
    <cellStyle name="40% - akcent 6 16 3 2" xfId="13322"/>
    <cellStyle name="40% - akcent 6 16 3 3" xfId="19926"/>
    <cellStyle name="40% - akcent 6 16 3 4" xfId="26517"/>
    <cellStyle name="40% - akcent 6 16 4" xfId="10032"/>
    <cellStyle name="40% - akcent 6 16 5" xfId="16638"/>
    <cellStyle name="40% - akcent 6 16 6" xfId="23229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3" xfId="10034"/>
    <cellStyle name="40% - akcent 6 160 4" xfId="16640"/>
    <cellStyle name="40% - akcent 6 160 5" xfId="23231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3" xfId="10035"/>
    <cellStyle name="40% - akcent 6 161 4" xfId="16641"/>
    <cellStyle name="40% - akcent 6 161 5" xfId="23232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3" xfId="10036"/>
    <cellStyle name="40% - akcent 6 162 4" xfId="16642"/>
    <cellStyle name="40% - akcent 6 162 5" xfId="23233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3" xfId="10037"/>
    <cellStyle name="40% - akcent 6 163 4" xfId="16643"/>
    <cellStyle name="40% - akcent 6 163 5" xfId="23234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3" xfId="10038"/>
    <cellStyle name="40% - akcent 6 164 4" xfId="16644"/>
    <cellStyle name="40% - akcent 6 164 5" xfId="23235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3" xfId="10039"/>
    <cellStyle name="40% - akcent 6 165 4" xfId="16645"/>
    <cellStyle name="40% - akcent 6 165 5" xfId="23236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3" xfId="10040"/>
    <cellStyle name="40% - akcent 6 166 4" xfId="16646"/>
    <cellStyle name="40% - akcent 6 166 5" xfId="23237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3" xfId="10041"/>
    <cellStyle name="40% - akcent 6 167 4" xfId="16647"/>
    <cellStyle name="40% - akcent 6 167 5" xfId="23238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3" xfId="10042"/>
    <cellStyle name="40% - akcent 6 168 4" xfId="16648"/>
    <cellStyle name="40% - akcent 6 168 5" xfId="23239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3" xfId="10043"/>
    <cellStyle name="40% - akcent 6 169 4" xfId="16649"/>
    <cellStyle name="40% - akcent 6 169 5" xfId="23240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3" xfId="10045"/>
    <cellStyle name="40% - akcent 6 17 2 4" xfId="16651"/>
    <cellStyle name="40% - akcent 6 17 2 5" xfId="23242"/>
    <cellStyle name="40% - akcent 6 17 3" xfId="6699"/>
    <cellStyle name="40% - akcent 6 17 3 2" xfId="13334"/>
    <cellStyle name="40% - akcent 6 17 3 3" xfId="19938"/>
    <cellStyle name="40% - akcent 6 17 3 4" xfId="26529"/>
    <cellStyle name="40% - akcent 6 17 4" xfId="10044"/>
    <cellStyle name="40% - akcent 6 17 5" xfId="16650"/>
    <cellStyle name="40% - akcent 6 17 6" xfId="23241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3" xfId="10046"/>
    <cellStyle name="40% - akcent 6 170 4" xfId="16652"/>
    <cellStyle name="40% - akcent 6 170 5" xfId="23243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3" xfId="10047"/>
    <cellStyle name="40% - akcent 6 171 4" xfId="16653"/>
    <cellStyle name="40% - akcent 6 171 5" xfId="23244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3" xfId="10048"/>
    <cellStyle name="40% - akcent 6 172 4" xfId="16654"/>
    <cellStyle name="40% - akcent 6 172 5" xfId="23245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3" xfId="10049"/>
    <cellStyle name="40% - akcent 6 173 4" xfId="16655"/>
    <cellStyle name="40% - akcent 6 173 5" xfId="23246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3" xfId="10050"/>
    <cellStyle name="40% - akcent 6 174 4" xfId="16656"/>
    <cellStyle name="40% - akcent 6 174 5" xfId="23247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3" xfId="10051"/>
    <cellStyle name="40% - akcent 6 175 4" xfId="16657"/>
    <cellStyle name="40% - akcent 6 175 5" xfId="23248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3" xfId="10052"/>
    <cellStyle name="40% - akcent 6 176 4" xfId="16658"/>
    <cellStyle name="40% - akcent 6 176 5" xfId="23249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3" xfId="10053"/>
    <cellStyle name="40% - akcent 6 177 4" xfId="16659"/>
    <cellStyle name="40% - akcent 6 177 5" xfId="23250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3" xfId="10054"/>
    <cellStyle name="40% - akcent 6 178 4" xfId="16660"/>
    <cellStyle name="40% - akcent 6 178 5" xfId="23251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3" xfId="10055"/>
    <cellStyle name="40% - akcent 6 179 4" xfId="16661"/>
    <cellStyle name="40% - akcent 6 179 5" xfId="23252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3" xfId="10057"/>
    <cellStyle name="40% - akcent 6 18 2 4" xfId="16663"/>
    <cellStyle name="40% - akcent 6 18 2 5" xfId="23254"/>
    <cellStyle name="40% - akcent 6 18 3" xfId="6711"/>
    <cellStyle name="40% - akcent 6 18 3 2" xfId="13346"/>
    <cellStyle name="40% - akcent 6 18 3 3" xfId="19950"/>
    <cellStyle name="40% - akcent 6 18 3 4" xfId="26541"/>
    <cellStyle name="40% - akcent 6 18 4" xfId="10056"/>
    <cellStyle name="40% - akcent 6 18 5" xfId="16662"/>
    <cellStyle name="40% - akcent 6 18 6" xfId="23253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3" xfId="10058"/>
    <cellStyle name="40% - akcent 6 180 4" xfId="16664"/>
    <cellStyle name="40% - akcent 6 180 5" xfId="23255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3" xfId="10059"/>
    <cellStyle name="40% - akcent 6 181 4" xfId="16665"/>
    <cellStyle name="40% - akcent 6 181 5" xfId="23256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3" xfId="10060"/>
    <cellStyle name="40% - akcent 6 182 4" xfId="16666"/>
    <cellStyle name="40% - akcent 6 182 5" xfId="23257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3" xfId="10061"/>
    <cellStyle name="40% - akcent 6 183 4" xfId="16667"/>
    <cellStyle name="40% - akcent 6 183 5" xfId="23258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3" xfId="10062"/>
    <cellStyle name="40% - akcent 6 184 4" xfId="16668"/>
    <cellStyle name="40% - akcent 6 184 5" xfId="23259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3" xfId="10063"/>
    <cellStyle name="40% - akcent 6 185 4" xfId="16669"/>
    <cellStyle name="40% - akcent 6 185 5" xfId="23260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3" xfId="10064"/>
    <cellStyle name="40% - akcent 6 186 4" xfId="16670"/>
    <cellStyle name="40% - akcent 6 186 5" xfId="23261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3" xfId="10065"/>
    <cellStyle name="40% - akcent 6 187 4" xfId="16671"/>
    <cellStyle name="40% - akcent 6 187 5" xfId="23262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3" xfId="10066"/>
    <cellStyle name="40% - akcent 6 188 4" xfId="16672"/>
    <cellStyle name="40% - akcent 6 188 5" xfId="23263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3" xfId="10067"/>
    <cellStyle name="40% - akcent 6 189 4" xfId="16673"/>
    <cellStyle name="40% - akcent 6 189 5" xfId="23264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3" xfId="10069"/>
    <cellStyle name="40% - akcent 6 19 2 4" xfId="16675"/>
    <cellStyle name="40% - akcent 6 19 2 5" xfId="23266"/>
    <cellStyle name="40% - akcent 6 19 3" xfId="6723"/>
    <cellStyle name="40% - akcent 6 19 3 2" xfId="13358"/>
    <cellStyle name="40% - akcent 6 19 3 3" xfId="19962"/>
    <cellStyle name="40% - akcent 6 19 3 4" xfId="26553"/>
    <cellStyle name="40% - akcent 6 19 4" xfId="10068"/>
    <cellStyle name="40% - akcent 6 19 5" xfId="16674"/>
    <cellStyle name="40% - akcent 6 19 6" xfId="23265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3" xfId="10070"/>
    <cellStyle name="40% - akcent 6 190 4" xfId="16676"/>
    <cellStyle name="40% - akcent 6 190 5" xfId="23267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3" xfId="10071"/>
    <cellStyle name="40% - akcent 6 191 4" xfId="16677"/>
    <cellStyle name="40% - akcent 6 191 5" xfId="23268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3" xfId="10072"/>
    <cellStyle name="40% - akcent 6 192 4" xfId="16678"/>
    <cellStyle name="40% - akcent 6 192 5" xfId="23269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3" xfId="10073"/>
    <cellStyle name="40% - akcent 6 193 4" xfId="16679"/>
    <cellStyle name="40% - akcent 6 193 5" xfId="23270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3" xfId="10074"/>
    <cellStyle name="40% - akcent 6 194 4" xfId="16680"/>
    <cellStyle name="40% - akcent 6 194 5" xfId="23271"/>
    <cellStyle name="40% - akcent 6 195" xfId="3848"/>
    <cellStyle name="40% - akcent 6 195 2" xfId="10483"/>
    <cellStyle name="40% - akcent 6 195 3" xfId="17087"/>
    <cellStyle name="40% - akcent 6 195 4" xfId="23678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3" xfId="10076"/>
    <cellStyle name="40% - akcent 6 2 2 4" xfId="16682"/>
    <cellStyle name="40% - akcent 6 2 2 5" xfId="23273"/>
    <cellStyle name="40% - akcent 6 2 3" xfId="6730"/>
    <cellStyle name="40% - akcent 6 2 3 2" xfId="13365"/>
    <cellStyle name="40% - akcent 6 2 3 3" xfId="19969"/>
    <cellStyle name="40% - akcent 6 2 3 4" xfId="26560"/>
    <cellStyle name="40% - akcent 6 2 4" xfId="10075"/>
    <cellStyle name="40% - akcent 6 2 5" xfId="16681"/>
    <cellStyle name="40% - akcent 6 2 6" xfId="23272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3" xfId="10078"/>
    <cellStyle name="40% - akcent 6 20 2 4" xfId="16684"/>
    <cellStyle name="40% - akcent 6 20 2 5" xfId="23275"/>
    <cellStyle name="40% - akcent 6 20 3" xfId="6732"/>
    <cellStyle name="40% - akcent 6 20 3 2" xfId="13367"/>
    <cellStyle name="40% - akcent 6 20 3 3" xfId="19971"/>
    <cellStyle name="40% - akcent 6 20 3 4" xfId="26562"/>
    <cellStyle name="40% - akcent 6 20 4" xfId="10077"/>
    <cellStyle name="40% - akcent 6 20 5" xfId="16683"/>
    <cellStyle name="40% - akcent 6 20 6" xfId="23274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3" xfId="10080"/>
    <cellStyle name="40% - akcent 6 21 2 4" xfId="16686"/>
    <cellStyle name="40% - akcent 6 21 2 5" xfId="23277"/>
    <cellStyle name="40% - akcent 6 21 3" xfId="6734"/>
    <cellStyle name="40% - akcent 6 21 3 2" xfId="13369"/>
    <cellStyle name="40% - akcent 6 21 3 3" xfId="19973"/>
    <cellStyle name="40% - akcent 6 21 3 4" xfId="26564"/>
    <cellStyle name="40% - akcent 6 21 4" xfId="10079"/>
    <cellStyle name="40% - akcent 6 21 5" xfId="16685"/>
    <cellStyle name="40% - akcent 6 21 6" xfId="23276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3" xfId="10082"/>
    <cellStyle name="40% - akcent 6 22 2 4" xfId="16688"/>
    <cellStyle name="40% - akcent 6 22 2 5" xfId="23279"/>
    <cellStyle name="40% - akcent 6 22 3" xfId="6736"/>
    <cellStyle name="40% - akcent 6 22 3 2" xfId="13371"/>
    <cellStyle name="40% - akcent 6 22 3 3" xfId="19975"/>
    <cellStyle name="40% - akcent 6 22 3 4" xfId="26566"/>
    <cellStyle name="40% - akcent 6 22 4" xfId="10081"/>
    <cellStyle name="40% - akcent 6 22 5" xfId="16687"/>
    <cellStyle name="40% - akcent 6 22 6" xfId="23278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3" xfId="10084"/>
    <cellStyle name="40% - akcent 6 23 2 4" xfId="16690"/>
    <cellStyle name="40% - akcent 6 23 2 5" xfId="23281"/>
    <cellStyle name="40% - akcent 6 23 3" xfId="6738"/>
    <cellStyle name="40% - akcent 6 23 3 2" xfId="13373"/>
    <cellStyle name="40% - akcent 6 23 3 3" xfId="19977"/>
    <cellStyle name="40% - akcent 6 23 3 4" xfId="26568"/>
    <cellStyle name="40% - akcent 6 23 4" xfId="10083"/>
    <cellStyle name="40% - akcent 6 23 5" xfId="16689"/>
    <cellStyle name="40% - akcent 6 23 6" xfId="23280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3" xfId="10086"/>
    <cellStyle name="40% - akcent 6 24 2 4" xfId="16692"/>
    <cellStyle name="40% - akcent 6 24 2 5" xfId="23283"/>
    <cellStyle name="40% - akcent 6 24 3" xfId="6740"/>
    <cellStyle name="40% - akcent 6 24 3 2" xfId="13375"/>
    <cellStyle name="40% - akcent 6 24 3 3" xfId="19979"/>
    <cellStyle name="40% - akcent 6 24 3 4" xfId="26570"/>
    <cellStyle name="40% - akcent 6 24 4" xfId="10085"/>
    <cellStyle name="40% - akcent 6 24 5" xfId="16691"/>
    <cellStyle name="40% - akcent 6 24 6" xfId="23282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3" xfId="10088"/>
    <cellStyle name="40% - akcent 6 25 2 4" xfId="16694"/>
    <cellStyle name="40% - akcent 6 25 2 5" xfId="23285"/>
    <cellStyle name="40% - akcent 6 25 3" xfId="6742"/>
    <cellStyle name="40% - akcent 6 25 3 2" xfId="13377"/>
    <cellStyle name="40% - akcent 6 25 3 3" xfId="19981"/>
    <cellStyle name="40% - akcent 6 25 3 4" xfId="26572"/>
    <cellStyle name="40% - akcent 6 25 4" xfId="10087"/>
    <cellStyle name="40% - akcent 6 25 5" xfId="16693"/>
    <cellStyle name="40% - akcent 6 25 6" xfId="23284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3" xfId="10090"/>
    <cellStyle name="40% - akcent 6 26 2 4" xfId="16696"/>
    <cellStyle name="40% - akcent 6 26 2 5" xfId="23287"/>
    <cellStyle name="40% - akcent 6 26 3" xfId="6744"/>
    <cellStyle name="40% - akcent 6 26 3 2" xfId="13379"/>
    <cellStyle name="40% - akcent 6 26 3 3" xfId="19983"/>
    <cellStyle name="40% - akcent 6 26 3 4" xfId="26574"/>
    <cellStyle name="40% - akcent 6 26 4" xfId="10089"/>
    <cellStyle name="40% - akcent 6 26 5" xfId="16695"/>
    <cellStyle name="40% - akcent 6 26 6" xfId="23286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3" xfId="10092"/>
    <cellStyle name="40% - akcent 6 27 2 4" xfId="16698"/>
    <cellStyle name="40% - akcent 6 27 2 5" xfId="23289"/>
    <cellStyle name="40% - akcent 6 27 3" xfId="6746"/>
    <cellStyle name="40% - akcent 6 27 3 2" xfId="13381"/>
    <cellStyle name="40% - akcent 6 27 3 3" xfId="19985"/>
    <cellStyle name="40% - akcent 6 27 3 4" xfId="26576"/>
    <cellStyle name="40% - akcent 6 27 4" xfId="10091"/>
    <cellStyle name="40% - akcent 6 27 5" xfId="16697"/>
    <cellStyle name="40% - akcent 6 27 6" xfId="23288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3" xfId="10094"/>
    <cellStyle name="40% - akcent 6 28 2 4" xfId="16700"/>
    <cellStyle name="40% - akcent 6 28 2 5" xfId="23291"/>
    <cellStyle name="40% - akcent 6 28 3" xfId="6748"/>
    <cellStyle name="40% - akcent 6 28 3 2" xfId="13383"/>
    <cellStyle name="40% - akcent 6 28 3 3" xfId="19987"/>
    <cellStyle name="40% - akcent 6 28 3 4" xfId="26578"/>
    <cellStyle name="40% - akcent 6 28 4" xfId="10093"/>
    <cellStyle name="40% - akcent 6 28 5" xfId="16699"/>
    <cellStyle name="40% - akcent 6 28 6" xfId="23290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3" xfId="10096"/>
    <cellStyle name="40% - akcent 6 29 2 4" xfId="16702"/>
    <cellStyle name="40% - akcent 6 29 2 5" xfId="23293"/>
    <cellStyle name="40% - akcent 6 29 3" xfId="6750"/>
    <cellStyle name="40% - akcent 6 29 3 2" xfId="13385"/>
    <cellStyle name="40% - akcent 6 29 3 3" xfId="19989"/>
    <cellStyle name="40% - akcent 6 29 3 4" xfId="26580"/>
    <cellStyle name="40% - akcent 6 29 4" xfId="10095"/>
    <cellStyle name="40% - akcent 6 29 5" xfId="16701"/>
    <cellStyle name="40% - akcent 6 29 6" xfId="23292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3" xfId="10098"/>
    <cellStyle name="40% - akcent 6 3 2 4" xfId="16704"/>
    <cellStyle name="40% - akcent 6 3 2 5" xfId="23295"/>
    <cellStyle name="40% - akcent 6 3 3" xfId="6752"/>
    <cellStyle name="40% - akcent 6 3 3 2" xfId="13387"/>
    <cellStyle name="40% - akcent 6 3 3 3" xfId="19991"/>
    <cellStyle name="40% - akcent 6 3 3 4" xfId="26582"/>
    <cellStyle name="40% - akcent 6 3 4" xfId="10097"/>
    <cellStyle name="40% - akcent 6 3 5" xfId="16703"/>
    <cellStyle name="40% - akcent 6 3 6" xfId="23294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3" xfId="10100"/>
    <cellStyle name="40% - akcent 6 30 2 4" xfId="16706"/>
    <cellStyle name="40% - akcent 6 30 2 5" xfId="23297"/>
    <cellStyle name="40% - akcent 6 30 3" xfId="6754"/>
    <cellStyle name="40% - akcent 6 30 3 2" xfId="13389"/>
    <cellStyle name="40% - akcent 6 30 3 3" xfId="19993"/>
    <cellStyle name="40% - akcent 6 30 3 4" xfId="26584"/>
    <cellStyle name="40% - akcent 6 30 4" xfId="10099"/>
    <cellStyle name="40% - akcent 6 30 5" xfId="16705"/>
    <cellStyle name="40% - akcent 6 30 6" xfId="23296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3" xfId="10102"/>
    <cellStyle name="40% - akcent 6 31 2 4" xfId="16708"/>
    <cellStyle name="40% - akcent 6 31 2 5" xfId="23299"/>
    <cellStyle name="40% - akcent 6 31 3" xfId="6756"/>
    <cellStyle name="40% - akcent 6 31 3 2" xfId="13391"/>
    <cellStyle name="40% - akcent 6 31 3 3" xfId="19995"/>
    <cellStyle name="40% - akcent 6 31 3 4" xfId="26586"/>
    <cellStyle name="40% - akcent 6 31 4" xfId="10101"/>
    <cellStyle name="40% - akcent 6 31 5" xfId="16707"/>
    <cellStyle name="40% - akcent 6 31 6" xfId="23298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3" xfId="10104"/>
    <cellStyle name="40% - akcent 6 32 2 4" xfId="16710"/>
    <cellStyle name="40% - akcent 6 32 2 5" xfId="23301"/>
    <cellStyle name="40% - akcent 6 32 3" xfId="6758"/>
    <cellStyle name="40% - akcent 6 32 3 2" xfId="13393"/>
    <cellStyle name="40% - akcent 6 32 3 3" xfId="19997"/>
    <cellStyle name="40% - akcent 6 32 3 4" xfId="26588"/>
    <cellStyle name="40% - akcent 6 32 4" xfId="10103"/>
    <cellStyle name="40% - akcent 6 32 5" xfId="16709"/>
    <cellStyle name="40% - akcent 6 32 6" xfId="23300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3" xfId="10106"/>
    <cellStyle name="40% - akcent 6 33 2 4" xfId="16712"/>
    <cellStyle name="40% - akcent 6 33 2 5" xfId="23303"/>
    <cellStyle name="40% - akcent 6 33 3" xfId="6760"/>
    <cellStyle name="40% - akcent 6 33 3 2" xfId="13395"/>
    <cellStyle name="40% - akcent 6 33 3 3" xfId="19999"/>
    <cellStyle name="40% - akcent 6 33 3 4" xfId="26590"/>
    <cellStyle name="40% - akcent 6 33 4" xfId="10105"/>
    <cellStyle name="40% - akcent 6 33 5" xfId="16711"/>
    <cellStyle name="40% - akcent 6 33 6" xfId="23302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3" xfId="10108"/>
    <cellStyle name="40% - akcent 6 34 2 4" xfId="16714"/>
    <cellStyle name="40% - akcent 6 34 2 5" xfId="23305"/>
    <cellStyle name="40% - akcent 6 34 3" xfId="6762"/>
    <cellStyle name="40% - akcent 6 34 3 2" xfId="13397"/>
    <cellStyle name="40% - akcent 6 34 3 3" xfId="20001"/>
    <cellStyle name="40% - akcent 6 34 3 4" xfId="26592"/>
    <cellStyle name="40% - akcent 6 34 4" xfId="10107"/>
    <cellStyle name="40% - akcent 6 34 5" xfId="16713"/>
    <cellStyle name="40% - akcent 6 34 6" xfId="23304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3" xfId="10110"/>
    <cellStyle name="40% - akcent 6 35 2 4" xfId="16716"/>
    <cellStyle name="40% - akcent 6 35 2 5" xfId="23307"/>
    <cellStyle name="40% - akcent 6 35 3" xfId="6764"/>
    <cellStyle name="40% - akcent 6 35 3 2" xfId="13399"/>
    <cellStyle name="40% - akcent 6 35 3 3" xfId="20003"/>
    <cellStyle name="40% - akcent 6 35 3 4" xfId="26594"/>
    <cellStyle name="40% - akcent 6 35 4" xfId="10109"/>
    <cellStyle name="40% - akcent 6 35 5" xfId="16715"/>
    <cellStyle name="40% - akcent 6 35 6" xfId="23306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3" xfId="10112"/>
    <cellStyle name="40% - akcent 6 36 2 4" xfId="16718"/>
    <cellStyle name="40% - akcent 6 36 2 5" xfId="23309"/>
    <cellStyle name="40% - akcent 6 36 3" xfId="6766"/>
    <cellStyle name="40% - akcent 6 36 3 2" xfId="13401"/>
    <cellStyle name="40% - akcent 6 36 3 3" xfId="20005"/>
    <cellStyle name="40% - akcent 6 36 3 4" xfId="26596"/>
    <cellStyle name="40% - akcent 6 36 4" xfId="10111"/>
    <cellStyle name="40% - akcent 6 36 5" xfId="16717"/>
    <cellStyle name="40% - akcent 6 36 6" xfId="23308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3" xfId="10114"/>
    <cellStyle name="40% - akcent 6 37 2 4" xfId="16720"/>
    <cellStyle name="40% - akcent 6 37 2 5" xfId="23311"/>
    <cellStyle name="40% - akcent 6 37 3" xfId="6768"/>
    <cellStyle name="40% - akcent 6 37 3 2" xfId="13403"/>
    <cellStyle name="40% - akcent 6 37 3 3" xfId="20007"/>
    <cellStyle name="40% - akcent 6 37 3 4" xfId="26598"/>
    <cellStyle name="40% - akcent 6 37 4" xfId="10113"/>
    <cellStyle name="40% - akcent 6 37 5" xfId="16719"/>
    <cellStyle name="40% - akcent 6 37 6" xfId="23310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3" xfId="10116"/>
    <cellStyle name="40% - akcent 6 38 2 4" xfId="16722"/>
    <cellStyle name="40% - akcent 6 38 2 5" xfId="23313"/>
    <cellStyle name="40% - akcent 6 38 3" xfId="6770"/>
    <cellStyle name="40% - akcent 6 38 3 2" xfId="13405"/>
    <cellStyle name="40% - akcent 6 38 3 3" xfId="20009"/>
    <cellStyle name="40% - akcent 6 38 3 4" xfId="26600"/>
    <cellStyle name="40% - akcent 6 38 4" xfId="10115"/>
    <cellStyle name="40% - akcent 6 38 5" xfId="16721"/>
    <cellStyle name="40% - akcent 6 38 6" xfId="23312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3" xfId="10118"/>
    <cellStyle name="40% - akcent 6 39 2 4" xfId="16724"/>
    <cellStyle name="40% - akcent 6 39 2 5" xfId="23315"/>
    <cellStyle name="40% - akcent 6 39 3" xfId="6772"/>
    <cellStyle name="40% - akcent 6 39 3 2" xfId="13407"/>
    <cellStyle name="40% - akcent 6 39 3 3" xfId="20011"/>
    <cellStyle name="40% - akcent 6 39 3 4" xfId="26602"/>
    <cellStyle name="40% - akcent 6 39 4" xfId="10117"/>
    <cellStyle name="40% - akcent 6 39 5" xfId="16723"/>
    <cellStyle name="40% - akcent 6 39 6" xfId="23314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3" xfId="10120"/>
    <cellStyle name="40% - akcent 6 4 2 4" xfId="16726"/>
    <cellStyle name="40% - akcent 6 4 2 5" xfId="23317"/>
    <cellStyle name="40% - akcent 6 4 3" xfId="6774"/>
    <cellStyle name="40% - akcent 6 4 3 2" xfId="13409"/>
    <cellStyle name="40% - akcent 6 4 3 3" xfId="20013"/>
    <cellStyle name="40% - akcent 6 4 3 4" xfId="26604"/>
    <cellStyle name="40% - akcent 6 4 4" xfId="10119"/>
    <cellStyle name="40% - akcent 6 4 5" xfId="16725"/>
    <cellStyle name="40% - akcent 6 4 6" xfId="23316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3" xfId="10122"/>
    <cellStyle name="40% - akcent 6 40 2 4" xfId="16728"/>
    <cellStyle name="40% - akcent 6 40 2 5" xfId="23319"/>
    <cellStyle name="40% - akcent 6 40 3" xfId="6776"/>
    <cellStyle name="40% - akcent 6 40 3 2" xfId="13411"/>
    <cellStyle name="40% - akcent 6 40 3 3" xfId="20015"/>
    <cellStyle name="40% - akcent 6 40 3 4" xfId="26606"/>
    <cellStyle name="40% - akcent 6 40 4" xfId="10121"/>
    <cellStyle name="40% - akcent 6 40 5" xfId="16727"/>
    <cellStyle name="40% - akcent 6 40 6" xfId="23318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3" xfId="10124"/>
    <cellStyle name="40% - akcent 6 41 2 4" xfId="16730"/>
    <cellStyle name="40% - akcent 6 41 2 5" xfId="23321"/>
    <cellStyle name="40% - akcent 6 41 3" xfId="6778"/>
    <cellStyle name="40% - akcent 6 41 3 2" xfId="13413"/>
    <cellStyle name="40% - akcent 6 41 3 3" xfId="20017"/>
    <cellStyle name="40% - akcent 6 41 3 4" xfId="26608"/>
    <cellStyle name="40% - akcent 6 41 4" xfId="10123"/>
    <cellStyle name="40% - akcent 6 41 5" xfId="16729"/>
    <cellStyle name="40% - akcent 6 41 6" xfId="23320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3" xfId="10126"/>
    <cellStyle name="40% - akcent 6 42 2 4" xfId="16732"/>
    <cellStyle name="40% - akcent 6 42 2 5" xfId="23323"/>
    <cellStyle name="40% - akcent 6 42 3" xfId="6780"/>
    <cellStyle name="40% - akcent 6 42 3 2" xfId="13415"/>
    <cellStyle name="40% - akcent 6 42 3 3" xfId="20019"/>
    <cellStyle name="40% - akcent 6 42 3 4" xfId="26610"/>
    <cellStyle name="40% - akcent 6 42 4" xfId="10125"/>
    <cellStyle name="40% - akcent 6 42 5" xfId="16731"/>
    <cellStyle name="40% - akcent 6 42 6" xfId="23322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3" xfId="10128"/>
    <cellStyle name="40% - akcent 6 43 2 4" xfId="16734"/>
    <cellStyle name="40% - akcent 6 43 2 5" xfId="23325"/>
    <cellStyle name="40% - akcent 6 43 3" xfId="6782"/>
    <cellStyle name="40% - akcent 6 43 3 2" xfId="13417"/>
    <cellStyle name="40% - akcent 6 43 3 3" xfId="20021"/>
    <cellStyle name="40% - akcent 6 43 3 4" xfId="26612"/>
    <cellStyle name="40% - akcent 6 43 4" xfId="10127"/>
    <cellStyle name="40% - akcent 6 43 5" xfId="16733"/>
    <cellStyle name="40% - akcent 6 43 6" xfId="23324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3" xfId="10130"/>
    <cellStyle name="40% - akcent 6 44 2 4" xfId="16736"/>
    <cellStyle name="40% - akcent 6 44 2 5" xfId="23327"/>
    <cellStyle name="40% - akcent 6 44 3" xfId="6784"/>
    <cellStyle name="40% - akcent 6 44 3 2" xfId="13419"/>
    <cellStyle name="40% - akcent 6 44 3 3" xfId="20023"/>
    <cellStyle name="40% - akcent 6 44 3 4" xfId="26614"/>
    <cellStyle name="40% - akcent 6 44 4" xfId="10129"/>
    <cellStyle name="40% - akcent 6 44 5" xfId="16735"/>
    <cellStyle name="40% - akcent 6 44 6" xfId="23326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3" xfId="10132"/>
    <cellStyle name="40% - akcent 6 45 2 4" xfId="16738"/>
    <cellStyle name="40% - akcent 6 45 2 5" xfId="23329"/>
    <cellStyle name="40% - akcent 6 45 3" xfId="6786"/>
    <cellStyle name="40% - akcent 6 45 3 2" xfId="13421"/>
    <cellStyle name="40% - akcent 6 45 3 3" xfId="20025"/>
    <cellStyle name="40% - akcent 6 45 3 4" xfId="26616"/>
    <cellStyle name="40% - akcent 6 45 4" xfId="10131"/>
    <cellStyle name="40% - akcent 6 45 5" xfId="16737"/>
    <cellStyle name="40% - akcent 6 45 6" xfId="23328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3" xfId="10134"/>
    <cellStyle name="40% - akcent 6 46 2 4" xfId="16740"/>
    <cellStyle name="40% - akcent 6 46 2 5" xfId="23331"/>
    <cellStyle name="40% - akcent 6 46 3" xfId="6788"/>
    <cellStyle name="40% - akcent 6 46 3 2" xfId="13423"/>
    <cellStyle name="40% - akcent 6 46 3 3" xfId="20027"/>
    <cellStyle name="40% - akcent 6 46 3 4" xfId="26618"/>
    <cellStyle name="40% - akcent 6 46 4" xfId="10133"/>
    <cellStyle name="40% - akcent 6 46 5" xfId="16739"/>
    <cellStyle name="40% - akcent 6 46 6" xfId="23330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3" xfId="10136"/>
    <cellStyle name="40% - akcent 6 47 2 4" xfId="16742"/>
    <cellStyle name="40% - akcent 6 47 2 5" xfId="23333"/>
    <cellStyle name="40% - akcent 6 47 3" xfId="6790"/>
    <cellStyle name="40% - akcent 6 47 3 2" xfId="13425"/>
    <cellStyle name="40% - akcent 6 47 3 3" xfId="20029"/>
    <cellStyle name="40% - akcent 6 47 3 4" xfId="26620"/>
    <cellStyle name="40% - akcent 6 47 4" xfId="10135"/>
    <cellStyle name="40% - akcent 6 47 5" xfId="16741"/>
    <cellStyle name="40% - akcent 6 47 6" xfId="23332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3" xfId="10138"/>
    <cellStyle name="40% - akcent 6 48 2 4" xfId="16744"/>
    <cellStyle name="40% - akcent 6 48 2 5" xfId="23335"/>
    <cellStyle name="40% - akcent 6 48 3" xfId="6792"/>
    <cellStyle name="40% - akcent 6 48 3 2" xfId="13427"/>
    <cellStyle name="40% - akcent 6 48 3 3" xfId="20031"/>
    <cellStyle name="40% - akcent 6 48 3 4" xfId="26622"/>
    <cellStyle name="40% - akcent 6 48 4" xfId="10137"/>
    <cellStyle name="40% - akcent 6 48 5" xfId="16743"/>
    <cellStyle name="40% - akcent 6 48 6" xfId="23334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3" xfId="10140"/>
    <cellStyle name="40% - akcent 6 49 2 4" xfId="16746"/>
    <cellStyle name="40% - akcent 6 49 2 5" xfId="23337"/>
    <cellStyle name="40% - akcent 6 49 3" xfId="6794"/>
    <cellStyle name="40% - akcent 6 49 3 2" xfId="13429"/>
    <cellStyle name="40% - akcent 6 49 3 3" xfId="20033"/>
    <cellStyle name="40% - akcent 6 49 3 4" xfId="26624"/>
    <cellStyle name="40% - akcent 6 49 4" xfId="10139"/>
    <cellStyle name="40% - akcent 6 49 5" xfId="16745"/>
    <cellStyle name="40% - akcent 6 49 6" xfId="23336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3" xfId="10142"/>
    <cellStyle name="40% - akcent 6 5 2 4" xfId="16748"/>
    <cellStyle name="40% - akcent 6 5 2 5" xfId="23339"/>
    <cellStyle name="40% - akcent 6 5 3" xfId="6796"/>
    <cellStyle name="40% - akcent 6 5 3 2" xfId="13431"/>
    <cellStyle name="40% - akcent 6 5 3 3" xfId="20035"/>
    <cellStyle name="40% - akcent 6 5 3 4" xfId="26626"/>
    <cellStyle name="40% - akcent 6 5 4" xfId="10141"/>
    <cellStyle name="40% - akcent 6 5 5" xfId="16747"/>
    <cellStyle name="40% - akcent 6 5 6" xfId="23338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3" xfId="10144"/>
    <cellStyle name="40% - akcent 6 50 2 4" xfId="16750"/>
    <cellStyle name="40% - akcent 6 50 2 5" xfId="23341"/>
    <cellStyle name="40% - akcent 6 50 3" xfId="6798"/>
    <cellStyle name="40% - akcent 6 50 3 2" xfId="13433"/>
    <cellStyle name="40% - akcent 6 50 3 3" xfId="20037"/>
    <cellStyle name="40% - akcent 6 50 3 4" xfId="26628"/>
    <cellStyle name="40% - akcent 6 50 4" xfId="10143"/>
    <cellStyle name="40% - akcent 6 50 5" xfId="16749"/>
    <cellStyle name="40% - akcent 6 50 6" xfId="23340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3" xfId="10146"/>
    <cellStyle name="40% - akcent 6 51 2 4" xfId="16752"/>
    <cellStyle name="40% - akcent 6 51 2 5" xfId="23343"/>
    <cellStyle name="40% - akcent 6 51 3" xfId="6800"/>
    <cellStyle name="40% - akcent 6 51 3 2" xfId="13435"/>
    <cellStyle name="40% - akcent 6 51 3 3" xfId="20039"/>
    <cellStyle name="40% - akcent 6 51 3 4" xfId="26630"/>
    <cellStyle name="40% - akcent 6 51 4" xfId="10145"/>
    <cellStyle name="40% - akcent 6 51 5" xfId="16751"/>
    <cellStyle name="40% - akcent 6 51 6" xfId="23342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3" xfId="10148"/>
    <cellStyle name="40% - akcent 6 52 2 4" xfId="16754"/>
    <cellStyle name="40% - akcent 6 52 2 5" xfId="23345"/>
    <cellStyle name="40% - akcent 6 52 3" xfId="6802"/>
    <cellStyle name="40% - akcent 6 52 3 2" xfId="13437"/>
    <cellStyle name="40% - akcent 6 52 3 3" xfId="20041"/>
    <cellStyle name="40% - akcent 6 52 3 4" xfId="26632"/>
    <cellStyle name="40% - akcent 6 52 4" xfId="10147"/>
    <cellStyle name="40% - akcent 6 52 5" xfId="16753"/>
    <cellStyle name="40% - akcent 6 52 6" xfId="23344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3" xfId="10150"/>
    <cellStyle name="40% - akcent 6 53 2 4" xfId="16756"/>
    <cellStyle name="40% - akcent 6 53 2 5" xfId="23347"/>
    <cellStyle name="40% - akcent 6 53 3" xfId="6804"/>
    <cellStyle name="40% - akcent 6 53 3 2" xfId="13439"/>
    <cellStyle name="40% - akcent 6 53 3 3" xfId="20043"/>
    <cellStyle name="40% - akcent 6 53 3 4" xfId="26634"/>
    <cellStyle name="40% - akcent 6 53 4" xfId="10149"/>
    <cellStyle name="40% - akcent 6 53 5" xfId="16755"/>
    <cellStyle name="40% - akcent 6 53 6" xfId="23346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3" xfId="10152"/>
    <cellStyle name="40% - akcent 6 54 2 4" xfId="16758"/>
    <cellStyle name="40% - akcent 6 54 2 5" xfId="23349"/>
    <cellStyle name="40% - akcent 6 54 3" xfId="6806"/>
    <cellStyle name="40% - akcent 6 54 3 2" xfId="13441"/>
    <cellStyle name="40% - akcent 6 54 3 3" xfId="20045"/>
    <cellStyle name="40% - akcent 6 54 3 4" xfId="26636"/>
    <cellStyle name="40% - akcent 6 54 4" xfId="10151"/>
    <cellStyle name="40% - akcent 6 54 5" xfId="16757"/>
    <cellStyle name="40% - akcent 6 54 6" xfId="23348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3" xfId="10154"/>
    <cellStyle name="40% - akcent 6 55 2 4" xfId="16760"/>
    <cellStyle name="40% - akcent 6 55 2 5" xfId="23351"/>
    <cellStyle name="40% - akcent 6 55 3" xfId="6808"/>
    <cellStyle name="40% - akcent 6 55 3 2" xfId="13443"/>
    <cellStyle name="40% - akcent 6 55 3 3" xfId="20047"/>
    <cellStyle name="40% - akcent 6 55 3 4" xfId="26638"/>
    <cellStyle name="40% - akcent 6 55 4" xfId="10153"/>
    <cellStyle name="40% - akcent 6 55 5" xfId="16759"/>
    <cellStyle name="40% - akcent 6 55 6" xfId="23350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3" xfId="10156"/>
    <cellStyle name="40% - akcent 6 56 2 4" xfId="16762"/>
    <cellStyle name="40% - akcent 6 56 2 5" xfId="23353"/>
    <cellStyle name="40% - akcent 6 56 3" xfId="6810"/>
    <cellStyle name="40% - akcent 6 56 3 2" xfId="13445"/>
    <cellStyle name="40% - akcent 6 56 3 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3" xfId="10158"/>
    <cellStyle name="40% - akcent 6 57 2 4" xfId="16764"/>
    <cellStyle name="40% - akcent 6 57 2 5" xfId="23355"/>
    <cellStyle name="40% - akcent 6 57 3" xfId="6812"/>
    <cellStyle name="40% - akcent 6 57 3 2" xfId="13447"/>
    <cellStyle name="40% - akcent 6 57 3 3" xfId="20051"/>
    <cellStyle name="40% - akcent 6 57 3 4" xfId="26642"/>
    <cellStyle name="40% - akcent 6 57 4" xfId="10157"/>
    <cellStyle name="40% - akcent 6 57 5" xfId="16763"/>
    <cellStyle name="40% - akcent 6 57 6" xfId="23354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3" xfId="10160"/>
    <cellStyle name="40% - akcent 6 58 2 4" xfId="16766"/>
    <cellStyle name="40% - akcent 6 58 2 5" xfId="23357"/>
    <cellStyle name="40% - akcent 6 58 3" xfId="6814"/>
    <cellStyle name="40% - akcent 6 58 3 2" xfId="13449"/>
    <cellStyle name="40% - akcent 6 58 3 3" xfId="20053"/>
    <cellStyle name="40% - akcent 6 58 3 4" xfId="26644"/>
    <cellStyle name="40% - akcent 6 58 4" xfId="10159"/>
    <cellStyle name="40% - akcent 6 58 5" xfId="16765"/>
    <cellStyle name="40% - akcent 6 58 6" xfId="23356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3" xfId="10162"/>
    <cellStyle name="40% - akcent 6 59 2 4" xfId="16768"/>
    <cellStyle name="40% - akcent 6 59 2 5" xfId="23359"/>
    <cellStyle name="40% - akcent 6 59 3" xfId="6816"/>
    <cellStyle name="40% - akcent 6 59 3 2" xfId="13451"/>
    <cellStyle name="40% - akcent 6 59 3 3" xfId="20055"/>
    <cellStyle name="40% - akcent 6 59 3 4" xfId="26646"/>
    <cellStyle name="40% - akcent 6 59 4" xfId="10161"/>
    <cellStyle name="40% - akcent 6 59 5" xfId="16767"/>
    <cellStyle name="40% - akcent 6 59 6" xfId="23358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3" xfId="10164"/>
    <cellStyle name="40% - akcent 6 6 2 4" xfId="16770"/>
    <cellStyle name="40% - akcent 6 6 2 5" xfId="23361"/>
    <cellStyle name="40% - akcent 6 6 3" xfId="6818"/>
    <cellStyle name="40% - akcent 6 6 3 2" xfId="13453"/>
    <cellStyle name="40% - akcent 6 6 3 3" xfId="20057"/>
    <cellStyle name="40% - akcent 6 6 3 4" xfId="26648"/>
    <cellStyle name="40% - akcent 6 6 4" xfId="10163"/>
    <cellStyle name="40% - akcent 6 6 5" xfId="16769"/>
    <cellStyle name="40% - akcent 6 6 6" xfId="23360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3" xfId="10165"/>
    <cellStyle name="40% - akcent 6 60 4" xfId="16771"/>
    <cellStyle name="40% - akcent 6 60 5" xfId="23362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3" xfId="10166"/>
    <cellStyle name="40% - akcent 6 61 4" xfId="16772"/>
    <cellStyle name="40% - akcent 6 61 5" xfId="23363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3" xfId="10167"/>
    <cellStyle name="40% - akcent 6 62 4" xfId="16773"/>
    <cellStyle name="40% - akcent 6 62 5" xfId="23364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3" xfId="10168"/>
    <cellStyle name="40% - akcent 6 63 4" xfId="16774"/>
    <cellStyle name="40% - akcent 6 63 5" xfId="23365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3" xfId="10169"/>
    <cellStyle name="40% - akcent 6 64 4" xfId="16775"/>
    <cellStyle name="40% - akcent 6 64 5" xfId="23366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3" xfId="10170"/>
    <cellStyle name="40% - akcent 6 65 4" xfId="16776"/>
    <cellStyle name="40% - akcent 6 65 5" xfId="23367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3" xfId="10171"/>
    <cellStyle name="40% - akcent 6 66 4" xfId="16777"/>
    <cellStyle name="40% - akcent 6 66 5" xfId="23368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3" xfId="10172"/>
    <cellStyle name="40% - akcent 6 67 4" xfId="16778"/>
    <cellStyle name="40% - akcent 6 67 5" xfId="23369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3" xfId="10173"/>
    <cellStyle name="40% - akcent 6 68 4" xfId="16779"/>
    <cellStyle name="40% - akcent 6 68 5" xfId="23370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3" xfId="10174"/>
    <cellStyle name="40% - akcent 6 69 4" xfId="16780"/>
    <cellStyle name="40% - akcent 6 69 5" xfId="23371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3" xfId="10176"/>
    <cellStyle name="40% - akcent 6 7 2 4" xfId="16782"/>
    <cellStyle name="40% - akcent 6 7 2 5" xfId="23373"/>
    <cellStyle name="40% - akcent 6 7 3" xfId="6830"/>
    <cellStyle name="40% - akcent 6 7 3 2" xfId="13465"/>
    <cellStyle name="40% - akcent 6 7 3 3" xfId="20069"/>
    <cellStyle name="40% - akcent 6 7 3 4" xfId="26660"/>
    <cellStyle name="40% - akcent 6 7 4" xfId="10175"/>
    <cellStyle name="40% - akcent 6 7 5" xfId="16781"/>
    <cellStyle name="40% - akcent 6 7 6" xfId="23372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3" xfId="10177"/>
    <cellStyle name="40% - akcent 6 70 4" xfId="16783"/>
    <cellStyle name="40% - akcent 6 70 5" xfId="23374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3" xfId="10178"/>
    <cellStyle name="40% - akcent 6 71 4" xfId="16784"/>
    <cellStyle name="40% - akcent 6 71 5" xfId="23375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3" xfId="10179"/>
    <cellStyle name="40% - akcent 6 72 4" xfId="16785"/>
    <cellStyle name="40% - akcent 6 72 5" xfId="23376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3" xfId="10180"/>
    <cellStyle name="40% - akcent 6 73 4" xfId="16786"/>
    <cellStyle name="40% - akcent 6 73 5" xfId="23377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3" xfId="10181"/>
    <cellStyle name="40% - akcent 6 74 4" xfId="16787"/>
    <cellStyle name="40% - akcent 6 74 5" xfId="23378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3" xfId="10182"/>
    <cellStyle name="40% - akcent 6 75 4" xfId="16788"/>
    <cellStyle name="40% - akcent 6 75 5" xfId="23379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3" xfId="10183"/>
    <cellStyle name="40% - akcent 6 76 4" xfId="16789"/>
    <cellStyle name="40% - akcent 6 76 5" xfId="23380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3" xfId="10184"/>
    <cellStyle name="40% - akcent 6 77 4" xfId="16790"/>
    <cellStyle name="40% - akcent 6 77 5" xfId="23381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3" xfId="10185"/>
    <cellStyle name="40% - akcent 6 78 4" xfId="16791"/>
    <cellStyle name="40% - akcent 6 78 5" xfId="23382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3" xfId="10186"/>
    <cellStyle name="40% - akcent 6 79 4" xfId="16792"/>
    <cellStyle name="40% - akcent 6 79 5" xfId="23383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3" xfId="10188"/>
    <cellStyle name="40% - akcent 6 8 2 4" xfId="16794"/>
    <cellStyle name="40% - akcent 6 8 2 5" xfId="23385"/>
    <cellStyle name="40% - akcent 6 8 3" xfId="6842"/>
    <cellStyle name="40% - akcent 6 8 3 2" xfId="13477"/>
    <cellStyle name="40% - akcent 6 8 3 3" xfId="20081"/>
    <cellStyle name="40% - akcent 6 8 3 4" xfId="26672"/>
    <cellStyle name="40% - akcent 6 8 4" xfId="10187"/>
    <cellStyle name="40% - akcent 6 8 5" xfId="16793"/>
    <cellStyle name="40% - akcent 6 8 6" xfId="23384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3" xfId="10189"/>
    <cellStyle name="40% - akcent 6 80 4" xfId="16795"/>
    <cellStyle name="40% - akcent 6 80 5" xfId="23386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3" xfId="10190"/>
    <cellStyle name="40% - akcent 6 81 4" xfId="16796"/>
    <cellStyle name="40% - akcent 6 81 5" xfId="23387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3" xfId="10191"/>
    <cellStyle name="40% - akcent 6 82 4" xfId="16797"/>
    <cellStyle name="40% - akcent 6 82 5" xfId="23388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3" xfId="10192"/>
    <cellStyle name="40% - akcent 6 83 4" xfId="16798"/>
    <cellStyle name="40% - akcent 6 83 5" xfId="23389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3" xfId="10193"/>
    <cellStyle name="40% - akcent 6 84 4" xfId="16799"/>
    <cellStyle name="40% - akcent 6 84 5" xfId="23390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3" xfId="10194"/>
    <cellStyle name="40% - akcent 6 85 4" xfId="16800"/>
    <cellStyle name="40% - akcent 6 85 5" xfId="23391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3" xfId="10195"/>
    <cellStyle name="40% - akcent 6 86 4" xfId="16801"/>
    <cellStyle name="40% - akcent 6 86 5" xfId="23392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3" xfId="10196"/>
    <cellStyle name="40% - akcent 6 87 4" xfId="16802"/>
    <cellStyle name="40% - akcent 6 87 5" xfId="23393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3" xfId="10197"/>
    <cellStyle name="40% - akcent 6 88 4" xfId="16803"/>
    <cellStyle name="40% - akcent 6 88 5" xfId="23394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3" xfId="10198"/>
    <cellStyle name="40% - akcent 6 89 4" xfId="16804"/>
    <cellStyle name="40% - akcent 6 89 5" xfId="23395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3" xfId="10200"/>
    <cellStyle name="40% - akcent 6 9 2 4" xfId="16806"/>
    <cellStyle name="40% - akcent 6 9 2 5" xfId="23397"/>
    <cellStyle name="40% - akcent 6 9 3" xfId="6854"/>
    <cellStyle name="40% - akcent 6 9 3 2" xfId="13489"/>
    <cellStyle name="40% - akcent 6 9 3 3" xfId="20093"/>
    <cellStyle name="40% - akcent 6 9 3 4" xfId="26684"/>
    <cellStyle name="40% - akcent 6 9 4" xfId="10199"/>
    <cellStyle name="40% - akcent 6 9 5" xfId="16805"/>
    <cellStyle name="40% - akcent 6 9 6" xfId="23396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3" xfId="10201"/>
    <cellStyle name="40% - akcent 6 90 4" xfId="16807"/>
    <cellStyle name="40% - akcent 6 90 5" xfId="23398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3" xfId="10202"/>
    <cellStyle name="40% - akcent 6 91 4" xfId="16808"/>
    <cellStyle name="40% - akcent 6 91 5" xfId="23399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3" xfId="10203"/>
    <cellStyle name="40% - akcent 6 92 4" xfId="16809"/>
    <cellStyle name="40% - akcent 6 92 5" xfId="23400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3" xfId="10204"/>
    <cellStyle name="40% - akcent 6 93 4" xfId="16810"/>
    <cellStyle name="40% - akcent 6 93 5" xfId="23401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3" xfId="10205"/>
    <cellStyle name="40% - akcent 6 94 4" xfId="16811"/>
    <cellStyle name="40% - akcent 6 94 5" xfId="23402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3" xfId="10206"/>
    <cellStyle name="40% - akcent 6 95 4" xfId="16812"/>
    <cellStyle name="40% - akcent 6 95 5" xfId="23403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3" xfId="10207"/>
    <cellStyle name="40% - akcent 6 96 4" xfId="16813"/>
    <cellStyle name="40% - akcent 6 96 5" xfId="23404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3" xfId="10208"/>
    <cellStyle name="40% - akcent 6 97 4" xfId="16814"/>
    <cellStyle name="40% - akcent 6 97 5" xfId="23405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3" xfId="10209"/>
    <cellStyle name="40% - akcent 6 98 4" xfId="16815"/>
    <cellStyle name="40% - akcent 6 98 5" xfId="23406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3" xfId="10210"/>
    <cellStyle name="40% - akcent 6 99 4" xfId="16816"/>
    <cellStyle name="40% - akcent 6 99 5" xfId="23407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3" xfId="10466"/>
    <cellStyle name="Dziesiętny 2 2 4" xfId="17070"/>
    <cellStyle name="Dziesiętny 2 2 5" xfId="23661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3" xfId="7176"/>
    <cellStyle name="Dziesiętny 4 3 2" xfId="13771"/>
    <cellStyle name="Dziesiętny 4 3 3" xfId="20366"/>
    <cellStyle name="Dziesiętny 4 3 4" xfId="26957"/>
    <cellStyle name="Dziesiętny 4 4" xfId="7183"/>
    <cellStyle name="Dziesiętny 4 5" xfId="13790"/>
    <cellStyle name="Dziesiętny 4 6" xfId="20381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3" xfId="7178"/>
    <cellStyle name="Dziesiętny 5 3 2" xfId="13773"/>
    <cellStyle name="Dziesiętny 5 3 3" xfId="20368"/>
    <cellStyle name="Dziesiętny 5 3 4" xfId="26959"/>
    <cellStyle name="Dziesiętny 5 4" xfId="7185"/>
    <cellStyle name="Dziesiętny 5 5" xfId="13792"/>
    <cellStyle name="Dziesiętny 5 6" xfId="20383"/>
    <cellStyle name="Dziesiętny 6" xfId="7160"/>
    <cellStyle name="Dziesiętny 6 2" xfId="13755"/>
    <cellStyle name="Dziesiętny 6 3" xfId="20356"/>
    <cellStyle name="Dziesiętny 6 4" xfId="26947"/>
    <cellStyle name="Dziesiętny 7" xfId="7173"/>
    <cellStyle name="Dziesiętny 7 2" xfId="13768"/>
    <cellStyle name="Dziesiętny 7 3" xfId="20363"/>
    <cellStyle name="Dziesiętny 7 4" xfId="26954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3" xfId="10212"/>
    <cellStyle name="Normalny 10 2 4" xfId="16817"/>
    <cellStyle name="Normalny 10 2 5" xfId="23408"/>
    <cellStyle name="Normalny 10 3" xfId="6866"/>
    <cellStyle name="Normalny 10 3 2" xfId="13501"/>
    <cellStyle name="Normalny 10 3 3" xfId="20105"/>
    <cellStyle name="Normalny 10 3 4" xfId="26696"/>
    <cellStyle name="Normalny 10 4" xfId="7162"/>
    <cellStyle name="Normalny 10 4 2" xfId="13757"/>
    <cellStyle name="Normalny 10 4 3" xfId="20358"/>
    <cellStyle name="Normalny 10 4 4" xfId="26949"/>
    <cellStyle name="Normalny 10 5" xfId="7175"/>
    <cellStyle name="Normalny 10 5 2" xfId="13770"/>
    <cellStyle name="Normalny 10 5 3" xfId="20365"/>
    <cellStyle name="Normalny 10 5 4" xfId="26956"/>
    <cellStyle name="Normalny 10 6" xfId="7182"/>
    <cellStyle name="Normalny 10 7" xfId="13789"/>
    <cellStyle name="Normalny 10 8" xfId="20380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3" xfId="10213"/>
    <cellStyle name="Normalny 100 4" xfId="16818"/>
    <cellStyle name="Normalny 100 5" xfId="23409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3" xfId="10214"/>
    <cellStyle name="Normalny 101 4" xfId="16819"/>
    <cellStyle name="Normalny 101 5" xfId="23410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3" xfId="10215"/>
    <cellStyle name="Normalny 102 4" xfId="16820"/>
    <cellStyle name="Normalny 102 5" xfId="23411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3" xfId="10216"/>
    <cellStyle name="Normalny 103 4" xfId="16821"/>
    <cellStyle name="Normalny 103 5" xfId="23412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3" xfId="10217"/>
    <cellStyle name="Normalny 104 4" xfId="16822"/>
    <cellStyle name="Normalny 104 5" xfId="23413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3" xfId="10218"/>
    <cellStyle name="Normalny 105 4" xfId="16823"/>
    <cellStyle name="Normalny 105 5" xfId="23414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3" xfId="10219"/>
    <cellStyle name="Normalny 106 4" xfId="16824"/>
    <cellStyle name="Normalny 106 5" xfId="23415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3" xfId="10220"/>
    <cellStyle name="Normalny 107 4" xfId="16825"/>
    <cellStyle name="Normalny 107 5" xfId="23416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3" xfId="10221"/>
    <cellStyle name="Normalny 108 4" xfId="16826"/>
    <cellStyle name="Normalny 108 5" xfId="23417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3" xfId="10222"/>
    <cellStyle name="Normalny 109 4" xfId="16827"/>
    <cellStyle name="Normalny 109 5" xfId="23418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3" xfId="10224"/>
    <cellStyle name="Normalny 11 2 4" xfId="16829"/>
    <cellStyle name="Normalny 11 2 5" xfId="23420"/>
    <cellStyle name="Normalny 11 3" xfId="6878"/>
    <cellStyle name="Normalny 11 3 2" xfId="13513"/>
    <cellStyle name="Normalny 11 3 3" xfId="20117"/>
    <cellStyle name="Normalny 11 3 4" xfId="26708"/>
    <cellStyle name="Normalny 11 4" xfId="10223"/>
    <cellStyle name="Normalny 11 5" xfId="16828"/>
    <cellStyle name="Normalny 11 6" xfId="23419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3" xfId="10225"/>
    <cellStyle name="Normalny 110 4" xfId="16830"/>
    <cellStyle name="Normalny 110 5" xfId="23421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3" xfId="10226"/>
    <cellStyle name="Normalny 111 4" xfId="16831"/>
    <cellStyle name="Normalny 111 5" xfId="23422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3" xfId="10227"/>
    <cellStyle name="Normalny 112 4" xfId="16832"/>
    <cellStyle name="Normalny 112 5" xfId="23423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3" xfId="10228"/>
    <cellStyle name="Normalny 113 4" xfId="16833"/>
    <cellStyle name="Normalny 113 5" xfId="23424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3" xfId="10229"/>
    <cellStyle name="Normalny 114 4" xfId="16834"/>
    <cellStyle name="Normalny 114 5" xfId="23425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3" xfId="10230"/>
    <cellStyle name="Normalny 115 4" xfId="16835"/>
    <cellStyle name="Normalny 115 5" xfId="23426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3" xfId="10231"/>
    <cellStyle name="Normalny 116 4" xfId="16836"/>
    <cellStyle name="Normalny 116 5" xfId="23427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3" xfId="10232"/>
    <cellStyle name="Normalny 117 4" xfId="16837"/>
    <cellStyle name="Normalny 117 5" xfId="23428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3" xfId="10233"/>
    <cellStyle name="Normalny 118 4" xfId="16838"/>
    <cellStyle name="Normalny 118 5" xfId="23429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3" xfId="10234"/>
    <cellStyle name="Normalny 119 4" xfId="16839"/>
    <cellStyle name="Normalny 119 5" xfId="23430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3" xfId="10236"/>
    <cellStyle name="Normalny 12 2 4" xfId="16841"/>
    <cellStyle name="Normalny 12 2 5" xfId="23432"/>
    <cellStyle name="Normalny 12 3" xfId="6890"/>
    <cellStyle name="Normalny 12 3 2" xfId="13525"/>
    <cellStyle name="Normalny 12 3 3" xfId="20129"/>
    <cellStyle name="Normalny 12 3 4" xfId="26720"/>
    <cellStyle name="Normalny 12 4" xfId="10235"/>
    <cellStyle name="Normalny 12 5" xfId="16840"/>
    <cellStyle name="Normalny 12 6" xfId="23431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3" xfId="10237"/>
    <cellStyle name="Normalny 120 4" xfId="16842"/>
    <cellStyle name="Normalny 120 5" xfId="23433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3" xfId="10238"/>
    <cellStyle name="Normalny 121 4" xfId="16843"/>
    <cellStyle name="Normalny 121 5" xfId="23434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3" xfId="10239"/>
    <cellStyle name="Normalny 122 4" xfId="16844"/>
    <cellStyle name="Normalny 122 5" xfId="23435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3" xfId="10240"/>
    <cellStyle name="Normalny 123 4" xfId="16845"/>
    <cellStyle name="Normalny 123 5" xfId="23436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3" xfId="10241"/>
    <cellStyle name="Normalny 124 4" xfId="16846"/>
    <cellStyle name="Normalny 124 5" xfId="23437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3" xfId="10242"/>
    <cellStyle name="Normalny 125 4" xfId="16847"/>
    <cellStyle name="Normalny 125 5" xfId="23438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3" xfId="10243"/>
    <cellStyle name="Normalny 126 4" xfId="16848"/>
    <cellStyle name="Normalny 126 5" xfId="23439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3" xfId="10244"/>
    <cellStyle name="Normalny 127 4" xfId="16849"/>
    <cellStyle name="Normalny 127 5" xfId="23440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3" xfId="10245"/>
    <cellStyle name="Normalny 128 4" xfId="16850"/>
    <cellStyle name="Normalny 128 5" xfId="23441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3" xfId="10246"/>
    <cellStyle name="Normalny 129 4" xfId="16851"/>
    <cellStyle name="Normalny 129 5" xfId="23442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3" xfId="10248"/>
    <cellStyle name="Normalny 13 2 4" xfId="16853"/>
    <cellStyle name="Normalny 13 2 5" xfId="23444"/>
    <cellStyle name="Normalny 13 3" xfId="6902"/>
    <cellStyle name="Normalny 13 3 2" xfId="13537"/>
    <cellStyle name="Normalny 13 3 3" xfId="20141"/>
    <cellStyle name="Normalny 13 3 4" xfId="26732"/>
    <cellStyle name="Normalny 13 4" xfId="10247"/>
    <cellStyle name="Normalny 13 5" xfId="16852"/>
    <cellStyle name="Normalny 13 6" xfId="23443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3" xfId="10249"/>
    <cellStyle name="Normalny 130 4" xfId="16854"/>
    <cellStyle name="Normalny 130 5" xfId="23445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3" xfId="10250"/>
    <cellStyle name="Normalny 131 4" xfId="16855"/>
    <cellStyle name="Normalny 131 5" xfId="23446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3" xfId="10251"/>
    <cellStyle name="Normalny 132 4" xfId="16856"/>
    <cellStyle name="Normalny 132 5" xfId="23447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3" xfId="10252"/>
    <cellStyle name="Normalny 133 4" xfId="16857"/>
    <cellStyle name="Normalny 133 5" xfId="23448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3" xfId="10253"/>
    <cellStyle name="Normalny 134 4" xfId="16858"/>
    <cellStyle name="Normalny 134 5" xfId="23449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3" xfId="10254"/>
    <cellStyle name="Normalny 135 4" xfId="16859"/>
    <cellStyle name="Normalny 135 5" xfId="23450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3" xfId="10255"/>
    <cellStyle name="Normalny 136 4" xfId="16860"/>
    <cellStyle name="Normalny 136 5" xfId="23451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3" xfId="10256"/>
    <cellStyle name="Normalny 137 4" xfId="16861"/>
    <cellStyle name="Normalny 137 5" xfId="23452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3" xfId="10257"/>
    <cellStyle name="Normalny 138 4" xfId="16862"/>
    <cellStyle name="Normalny 138 5" xfId="23453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3" xfId="10258"/>
    <cellStyle name="Normalny 139 4" xfId="16863"/>
    <cellStyle name="Normalny 139 5" xfId="23454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3" xfId="10260"/>
    <cellStyle name="Normalny 14 2 4" xfId="16865"/>
    <cellStyle name="Normalny 14 2 5" xfId="23456"/>
    <cellStyle name="Normalny 14 3" xfId="6914"/>
    <cellStyle name="Normalny 14 3 2" xfId="13549"/>
    <cellStyle name="Normalny 14 3 3" xfId="20153"/>
    <cellStyle name="Normalny 14 3 4" xfId="26744"/>
    <cellStyle name="Normalny 14 4" xfId="10259"/>
    <cellStyle name="Normalny 14 5" xfId="16864"/>
    <cellStyle name="Normalny 14 6" xfId="23455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3" xfId="10261"/>
    <cellStyle name="Normalny 140 4" xfId="16866"/>
    <cellStyle name="Normalny 140 5" xfId="23457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3" xfId="10262"/>
    <cellStyle name="Normalny 141 4" xfId="16867"/>
    <cellStyle name="Normalny 141 5" xfId="23458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3" xfId="10263"/>
    <cellStyle name="Normalny 142 4" xfId="16868"/>
    <cellStyle name="Normalny 142 5" xfId="23459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3" xfId="10264"/>
    <cellStyle name="Normalny 143 4" xfId="16869"/>
    <cellStyle name="Normalny 143 5" xfId="23460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3" xfId="10265"/>
    <cellStyle name="Normalny 144 4" xfId="16870"/>
    <cellStyle name="Normalny 144 5" xfId="23461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3" xfId="10266"/>
    <cellStyle name="Normalny 145 4" xfId="16871"/>
    <cellStyle name="Normalny 145 5" xfId="23462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3" xfId="10267"/>
    <cellStyle name="Normalny 146 4" xfId="16872"/>
    <cellStyle name="Normalny 146 5" xfId="23463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3" xfId="10268"/>
    <cellStyle name="Normalny 147 4" xfId="16873"/>
    <cellStyle name="Normalny 147 5" xfId="23464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3" xfId="10269"/>
    <cellStyle name="Normalny 148 4" xfId="16874"/>
    <cellStyle name="Normalny 148 5" xfId="23465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3" xfId="10270"/>
    <cellStyle name="Normalny 149 4" xfId="16875"/>
    <cellStyle name="Normalny 149 5" xfId="23466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3" xfId="10272"/>
    <cellStyle name="Normalny 15 2 4" xfId="16877"/>
    <cellStyle name="Normalny 15 2 5" xfId="23468"/>
    <cellStyle name="Normalny 15 3" xfId="6926"/>
    <cellStyle name="Normalny 15 3 2" xfId="13561"/>
    <cellStyle name="Normalny 15 3 3" xfId="20165"/>
    <cellStyle name="Normalny 15 3 4" xfId="26756"/>
    <cellStyle name="Normalny 15 4" xfId="10271"/>
    <cellStyle name="Normalny 15 5" xfId="16876"/>
    <cellStyle name="Normalny 15 6" xfId="23467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3" xfId="10273"/>
    <cellStyle name="Normalny 150 4" xfId="16878"/>
    <cellStyle name="Normalny 150 5" xfId="23469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3" xfId="10274"/>
    <cellStyle name="Normalny 151 4" xfId="16879"/>
    <cellStyle name="Normalny 151 5" xfId="23470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3" xfId="10275"/>
    <cellStyle name="Normalny 152 4" xfId="16880"/>
    <cellStyle name="Normalny 152 5" xfId="23471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3" xfId="10276"/>
    <cellStyle name="Normalny 153 4" xfId="16881"/>
    <cellStyle name="Normalny 153 5" xfId="23472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3" xfId="10277"/>
    <cellStyle name="Normalny 154 4" xfId="16882"/>
    <cellStyle name="Normalny 154 5" xfId="23473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3" xfId="10278"/>
    <cellStyle name="Normalny 155 4" xfId="16883"/>
    <cellStyle name="Normalny 155 5" xfId="23474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3" xfId="10279"/>
    <cellStyle name="Normalny 156 4" xfId="16884"/>
    <cellStyle name="Normalny 156 5" xfId="23475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3" xfId="10280"/>
    <cellStyle name="Normalny 157 4" xfId="16885"/>
    <cellStyle name="Normalny 157 5" xfId="23476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3" xfId="10281"/>
    <cellStyle name="Normalny 158 4" xfId="16886"/>
    <cellStyle name="Normalny 158 5" xfId="23477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3" xfId="10282"/>
    <cellStyle name="Normalny 159 4" xfId="16887"/>
    <cellStyle name="Normalny 159 5" xfId="23478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3" xfId="10284"/>
    <cellStyle name="Normalny 16 2 4" xfId="16889"/>
    <cellStyle name="Normalny 16 2 5" xfId="23480"/>
    <cellStyle name="Normalny 16 3" xfId="6938"/>
    <cellStyle name="Normalny 16 3 2" xfId="13573"/>
    <cellStyle name="Normalny 16 3 3" xfId="20177"/>
    <cellStyle name="Normalny 16 3 4" xfId="26768"/>
    <cellStyle name="Normalny 16 4" xfId="10283"/>
    <cellStyle name="Normalny 16 5" xfId="16888"/>
    <cellStyle name="Normalny 16 6" xfId="23479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3" xfId="10285"/>
    <cellStyle name="Normalny 160 4" xfId="16890"/>
    <cellStyle name="Normalny 160 5" xfId="23481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3" xfId="10286"/>
    <cellStyle name="Normalny 161 4" xfId="16891"/>
    <cellStyle name="Normalny 161 5" xfId="23482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3" xfId="10287"/>
    <cellStyle name="Normalny 162 4" xfId="16892"/>
    <cellStyle name="Normalny 162 5" xfId="23483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3" xfId="10288"/>
    <cellStyle name="Normalny 163 4" xfId="16893"/>
    <cellStyle name="Normalny 163 5" xfId="23484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3" xfId="10289"/>
    <cellStyle name="Normalny 164 4" xfId="16894"/>
    <cellStyle name="Normalny 164 5" xfId="23485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3" xfId="10290"/>
    <cellStyle name="Normalny 165 4" xfId="16895"/>
    <cellStyle name="Normalny 165 5" xfId="23486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3" xfId="10291"/>
    <cellStyle name="Normalny 166 4" xfId="16896"/>
    <cellStyle name="Normalny 166 5" xfId="23487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3" xfId="10292"/>
    <cellStyle name="Normalny 167 4" xfId="16897"/>
    <cellStyle name="Normalny 167 5" xfId="23488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3" xfId="10293"/>
    <cellStyle name="Normalny 168 4" xfId="16898"/>
    <cellStyle name="Normalny 168 5" xfId="23489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3" xfId="10294"/>
    <cellStyle name="Normalny 169 4" xfId="16899"/>
    <cellStyle name="Normalny 169 5" xfId="23490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3" xfId="10296"/>
    <cellStyle name="Normalny 17 2 4" xfId="16901"/>
    <cellStyle name="Normalny 17 2 5" xfId="23492"/>
    <cellStyle name="Normalny 17 3" xfId="6950"/>
    <cellStyle name="Normalny 17 3 2" xfId="13585"/>
    <cellStyle name="Normalny 17 3 3" xfId="20189"/>
    <cellStyle name="Normalny 17 3 4" xfId="26780"/>
    <cellStyle name="Normalny 17 4" xfId="10295"/>
    <cellStyle name="Normalny 17 5" xfId="16900"/>
    <cellStyle name="Normalny 17 6" xfId="23491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3" xfId="10297"/>
    <cellStyle name="Normalny 170 4" xfId="16902"/>
    <cellStyle name="Normalny 170 5" xfId="23493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3" xfId="10298"/>
    <cellStyle name="Normalny 171 4" xfId="16903"/>
    <cellStyle name="Normalny 171 5" xfId="23494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3" xfId="10299"/>
    <cellStyle name="Normalny 172 4" xfId="16904"/>
    <cellStyle name="Normalny 172 5" xfId="23495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3" xfId="10300"/>
    <cellStyle name="Normalny 173 4" xfId="16905"/>
    <cellStyle name="Normalny 173 5" xfId="23496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3" xfId="10301"/>
    <cellStyle name="Normalny 174 4" xfId="16906"/>
    <cellStyle name="Normalny 174 5" xfId="23497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3" xfId="10302"/>
    <cellStyle name="Normalny 175 4" xfId="16907"/>
    <cellStyle name="Normalny 175 5" xfId="23498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3" xfId="10303"/>
    <cellStyle name="Normalny 176 4" xfId="16908"/>
    <cellStyle name="Normalny 176 5" xfId="23499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3" xfId="10304"/>
    <cellStyle name="Normalny 177 4" xfId="16909"/>
    <cellStyle name="Normalny 177 5" xfId="23500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3" xfId="10305"/>
    <cellStyle name="Normalny 178 4" xfId="16910"/>
    <cellStyle name="Normalny 178 5" xfId="23501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3" xfId="10306"/>
    <cellStyle name="Normalny 179 4" xfId="16911"/>
    <cellStyle name="Normalny 179 5" xfId="23502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3" xfId="10308"/>
    <cellStyle name="Normalny 18 2 4" xfId="16913"/>
    <cellStyle name="Normalny 18 2 5" xfId="23504"/>
    <cellStyle name="Normalny 18 3" xfId="6962"/>
    <cellStyle name="Normalny 18 3 2" xfId="13597"/>
    <cellStyle name="Normalny 18 3 3" xfId="20201"/>
    <cellStyle name="Normalny 18 3 4" xfId="26792"/>
    <cellStyle name="Normalny 18 4" xfId="10307"/>
    <cellStyle name="Normalny 18 5" xfId="16912"/>
    <cellStyle name="Normalny 18 6" xfId="23503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3" xfId="10309"/>
    <cellStyle name="Normalny 180 4" xfId="16914"/>
    <cellStyle name="Normalny 180 5" xfId="23505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3" xfId="10310"/>
    <cellStyle name="Normalny 181 4" xfId="16915"/>
    <cellStyle name="Normalny 181 5" xfId="23506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3" xfId="10311"/>
    <cellStyle name="Normalny 182 4" xfId="16916"/>
    <cellStyle name="Normalny 182 5" xfId="23507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3" xfId="10312"/>
    <cellStyle name="Normalny 183 4" xfId="16917"/>
    <cellStyle name="Normalny 183 5" xfId="23508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3" xfId="10313"/>
    <cellStyle name="Normalny 184 4" xfId="16918"/>
    <cellStyle name="Normalny 184 5" xfId="23509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3" xfId="10314"/>
    <cellStyle name="Normalny 185 4" xfId="16919"/>
    <cellStyle name="Normalny 185 5" xfId="23510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3" xfId="10315"/>
    <cellStyle name="Normalny 186 4" xfId="16920"/>
    <cellStyle name="Normalny 186 5" xfId="23511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3" xfId="10316"/>
    <cellStyle name="Normalny 187 4" xfId="16921"/>
    <cellStyle name="Normalny 187 5" xfId="23512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3" xfId="10317"/>
    <cellStyle name="Normalny 188 4" xfId="16922"/>
    <cellStyle name="Normalny 188 5" xfId="23513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3" xfId="10318"/>
    <cellStyle name="Normalny 189 4" xfId="16923"/>
    <cellStyle name="Normalny 189 5" xfId="23514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3" xfId="10320"/>
    <cellStyle name="Normalny 19 2 4" xfId="16925"/>
    <cellStyle name="Normalny 19 2 5" xfId="23516"/>
    <cellStyle name="Normalny 19 3" xfId="6974"/>
    <cellStyle name="Normalny 19 3 2" xfId="13609"/>
    <cellStyle name="Normalny 19 3 3" xfId="20213"/>
    <cellStyle name="Normalny 19 3 4" xfId="26804"/>
    <cellStyle name="Normalny 19 4" xfId="10319"/>
    <cellStyle name="Normalny 19 5" xfId="16924"/>
    <cellStyle name="Normalny 19 6" xfId="23515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3" xfId="10321"/>
    <cellStyle name="Normalny 190 4" xfId="16926"/>
    <cellStyle name="Normalny 190 5" xfId="23517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3" xfId="10322"/>
    <cellStyle name="Normalny 191 4" xfId="16927"/>
    <cellStyle name="Normalny 191 5" xfId="23518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3" xfId="10323"/>
    <cellStyle name="Normalny 192 4" xfId="16928"/>
    <cellStyle name="Normalny 192 5" xfId="23519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3" xfId="10324"/>
    <cellStyle name="Normalny 193 4" xfId="16929"/>
    <cellStyle name="Normalny 193 5" xfId="23520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3" xfId="10325"/>
    <cellStyle name="Normalny 194 4" xfId="16930"/>
    <cellStyle name="Normalny 194 5" xfId="23521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3" xfId="10326"/>
    <cellStyle name="Normalny 195 4" xfId="16931"/>
    <cellStyle name="Normalny 195 5" xfId="23522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3" xfId="10327"/>
    <cellStyle name="Normalny 196 4" xfId="16932"/>
    <cellStyle name="Normalny 196 5" xfId="23523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3" xfId="7177"/>
    <cellStyle name="Normalny 198 3 2" xfId="13772"/>
    <cellStyle name="Normalny 198 3 3" xfId="20367"/>
    <cellStyle name="Normalny 198 3 4" xfId="26958"/>
    <cellStyle name="Normalny 198 4" xfId="7184"/>
    <cellStyle name="Normalny 198 5" xfId="13791"/>
    <cellStyle name="Normalny 198 6" xfId="20382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3" xfId="10329"/>
    <cellStyle name="Normalny 2 2 4" xfId="16934"/>
    <cellStyle name="Normalny 2 2 5" xfId="23525"/>
    <cellStyle name="Normalny 2 3" xfId="3566"/>
    <cellStyle name="Normalny 2 4" xfId="10328"/>
    <cellStyle name="Normalny 2 5" xfId="16933"/>
    <cellStyle name="Normalny 2 6" xfId="23524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3" xfId="10331"/>
    <cellStyle name="Normalny 20 2 4" xfId="16936"/>
    <cellStyle name="Normalny 20 2 5" xfId="23527"/>
    <cellStyle name="Normalny 20 3" xfId="6982"/>
    <cellStyle name="Normalny 20 3 2" xfId="13617"/>
    <cellStyle name="Normalny 20 3 3" xfId="20221"/>
    <cellStyle name="Normalny 20 3 4" xfId="26812"/>
    <cellStyle name="Normalny 20 4" xfId="10330"/>
    <cellStyle name="Normalny 20 5" xfId="16935"/>
    <cellStyle name="Normalny 20 6" xfId="23526"/>
    <cellStyle name="Normalny 200" xfId="7159"/>
    <cellStyle name="Normalny 200 2" xfId="13754"/>
    <cellStyle name="Normalny 200 3" xfId="20355"/>
    <cellStyle name="Normalny 200 4" xfId="26946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3" xfId="10333"/>
    <cellStyle name="Normalny 21 2 4" xfId="16938"/>
    <cellStyle name="Normalny 21 2 5" xfId="23529"/>
    <cellStyle name="Normalny 21 3" xfId="6984"/>
    <cellStyle name="Normalny 21 3 2" xfId="13619"/>
    <cellStyle name="Normalny 21 3 3" xfId="20223"/>
    <cellStyle name="Normalny 21 3 4" xfId="26814"/>
    <cellStyle name="Normalny 21 4" xfId="10332"/>
    <cellStyle name="Normalny 21 5" xfId="16937"/>
    <cellStyle name="Normalny 21 6" xfId="23528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3" xfId="10335"/>
    <cellStyle name="Normalny 22 2 4" xfId="16940"/>
    <cellStyle name="Normalny 22 2 5" xfId="23531"/>
    <cellStyle name="Normalny 22 3" xfId="6986"/>
    <cellStyle name="Normalny 22 3 2" xfId="13621"/>
    <cellStyle name="Normalny 22 3 3" xfId="20225"/>
    <cellStyle name="Normalny 22 3 4" xfId="26816"/>
    <cellStyle name="Normalny 22 4" xfId="10334"/>
    <cellStyle name="Normalny 22 5" xfId="16939"/>
    <cellStyle name="Normalny 22 6" xfId="23530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3" xfId="10337"/>
    <cellStyle name="Normalny 23 2 4" xfId="16942"/>
    <cellStyle name="Normalny 23 2 5" xfId="23533"/>
    <cellStyle name="Normalny 23 3" xfId="6988"/>
    <cellStyle name="Normalny 23 3 2" xfId="13623"/>
    <cellStyle name="Normalny 23 3 3" xfId="20227"/>
    <cellStyle name="Normalny 23 3 4" xfId="26818"/>
    <cellStyle name="Normalny 23 4" xfId="10336"/>
    <cellStyle name="Normalny 23 5" xfId="16941"/>
    <cellStyle name="Normalny 23 6" xfId="23532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3" xfId="10339"/>
    <cellStyle name="Normalny 24 2 4" xfId="16944"/>
    <cellStyle name="Normalny 24 2 5" xfId="23535"/>
    <cellStyle name="Normalny 24 3" xfId="6990"/>
    <cellStyle name="Normalny 24 3 2" xfId="13625"/>
    <cellStyle name="Normalny 24 3 3" xfId="20229"/>
    <cellStyle name="Normalny 24 3 4" xfId="26820"/>
    <cellStyle name="Normalny 24 4" xfId="10338"/>
    <cellStyle name="Normalny 24 5" xfId="16943"/>
    <cellStyle name="Normalny 24 6" xfId="23534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3" xfId="10341"/>
    <cellStyle name="Normalny 25 2 4" xfId="16946"/>
    <cellStyle name="Normalny 25 2 5" xfId="23537"/>
    <cellStyle name="Normalny 25 3" xfId="6992"/>
    <cellStyle name="Normalny 25 3 2" xfId="13627"/>
    <cellStyle name="Normalny 25 3 3" xfId="20231"/>
    <cellStyle name="Normalny 25 3 4" xfId="26822"/>
    <cellStyle name="Normalny 25 4" xfId="10340"/>
    <cellStyle name="Normalny 25 5" xfId="16945"/>
    <cellStyle name="Normalny 25 6" xfId="23536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3" xfId="10343"/>
    <cellStyle name="Normalny 26 2 4" xfId="16948"/>
    <cellStyle name="Normalny 26 2 5" xfId="23539"/>
    <cellStyle name="Normalny 26 3" xfId="6994"/>
    <cellStyle name="Normalny 26 3 2" xfId="13629"/>
    <cellStyle name="Normalny 26 3 3" xfId="20233"/>
    <cellStyle name="Normalny 26 3 4" xfId="26824"/>
    <cellStyle name="Normalny 26 4" xfId="10342"/>
    <cellStyle name="Normalny 26 5" xfId="16947"/>
    <cellStyle name="Normalny 26 6" xfId="23538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3" xfId="10345"/>
    <cellStyle name="Normalny 27 2 4" xfId="16950"/>
    <cellStyle name="Normalny 27 2 5" xfId="23541"/>
    <cellStyle name="Normalny 27 3" xfId="6996"/>
    <cellStyle name="Normalny 27 3 2" xfId="13631"/>
    <cellStyle name="Normalny 27 3 3" xfId="20235"/>
    <cellStyle name="Normalny 27 3 4" xfId="26826"/>
    <cellStyle name="Normalny 27 4" xfId="10344"/>
    <cellStyle name="Normalny 27 5" xfId="16949"/>
    <cellStyle name="Normalny 27 6" xfId="23540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3" xfId="10347"/>
    <cellStyle name="Normalny 28 2 4" xfId="16952"/>
    <cellStyle name="Normalny 28 2 5" xfId="23543"/>
    <cellStyle name="Normalny 28 3" xfId="6998"/>
    <cellStyle name="Normalny 28 3 2" xfId="13633"/>
    <cellStyle name="Normalny 28 3 3" xfId="20237"/>
    <cellStyle name="Normalny 28 3 4" xfId="26828"/>
    <cellStyle name="Normalny 28 4" xfId="10346"/>
    <cellStyle name="Normalny 28 5" xfId="16951"/>
    <cellStyle name="Normalny 28 6" xfId="23542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3" xfId="10349"/>
    <cellStyle name="Normalny 29 2 4" xfId="16954"/>
    <cellStyle name="Normalny 29 2 5" xfId="23545"/>
    <cellStyle name="Normalny 29 3" xfId="7000"/>
    <cellStyle name="Normalny 29 3 2" xfId="13635"/>
    <cellStyle name="Normalny 29 3 3" xfId="20239"/>
    <cellStyle name="Normalny 29 3 4" xfId="26830"/>
    <cellStyle name="Normalny 29 4" xfId="10348"/>
    <cellStyle name="Normalny 29 5" xfId="16953"/>
    <cellStyle name="Normalny 29 6" xfId="23544"/>
    <cellStyle name="Normalny 3" xfId="3187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3" xfId="10351"/>
    <cellStyle name="Normalny 3 2 4" xfId="16956"/>
    <cellStyle name="Normalny 3 2 5" xfId="23547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3" xfId="10469"/>
    <cellStyle name="Normalny 3 3 4" xfId="17073"/>
    <cellStyle name="Normalny 3 3 5" xfId="23664"/>
    <cellStyle name="Normalny 3 4" xfId="3568"/>
    <cellStyle name="Normalny 3 5" xfId="10350"/>
    <cellStyle name="Normalny 3 6" xfId="16955"/>
    <cellStyle name="Normalny 3 7" xfId="23546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3" xfId="10353"/>
    <cellStyle name="Normalny 30 2 4" xfId="16958"/>
    <cellStyle name="Normalny 30 2 5" xfId="23549"/>
    <cellStyle name="Normalny 30 3" xfId="7004"/>
    <cellStyle name="Normalny 30 3 2" xfId="13639"/>
    <cellStyle name="Normalny 30 3 3" xfId="20243"/>
    <cellStyle name="Normalny 30 3 4" xfId="26834"/>
    <cellStyle name="Normalny 30 4" xfId="10352"/>
    <cellStyle name="Normalny 30 5" xfId="16957"/>
    <cellStyle name="Normalny 30 6" xfId="23548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3" xfId="10355"/>
    <cellStyle name="Normalny 31 2 4" xfId="16960"/>
    <cellStyle name="Normalny 31 2 5" xfId="23551"/>
    <cellStyle name="Normalny 31 3" xfId="7006"/>
    <cellStyle name="Normalny 31 3 2" xfId="13641"/>
    <cellStyle name="Normalny 31 3 3" xfId="20245"/>
    <cellStyle name="Normalny 31 3 4" xfId="26836"/>
    <cellStyle name="Normalny 31 4" xfId="10354"/>
    <cellStyle name="Normalny 31 5" xfId="16959"/>
    <cellStyle name="Normalny 31 6" xfId="23550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3" xfId="10357"/>
    <cellStyle name="Normalny 32 2 4" xfId="16962"/>
    <cellStyle name="Normalny 32 2 5" xfId="23553"/>
    <cellStyle name="Normalny 32 3" xfId="7008"/>
    <cellStyle name="Normalny 32 3 2" xfId="13643"/>
    <cellStyle name="Normalny 32 3 3" xfId="20247"/>
    <cellStyle name="Normalny 32 3 4" xfId="26838"/>
    <cellStyle name="Normalny 32 4" xfId="10356"/>
    <cellStyle name="Normalny 32 5" xfId="16961"/>
    <cellStyle name="Normalny 32 6" xfId="23552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3" xfId="10359"/>
    <cellStyle name="Normalny 33 2 4" xfId="16964"/>
    <cellStyle name="Normalny 33 2 5" xfId="23555"/>
    <cellStyle name="Normalny 33 3" xfId="7010"/>
    <cellStyle name="Normalny 33 3 2" xfId="13645"/>
    <cellStyle name="Normalny 33 3 3" xfId="20249"/>
    <cellStyle name="Normalny 33 3 4" xfId="26840"/>
    <cellStyle name="Normalny 33 4" xfId="10358"/>
    <cellStyle name="Normalny 33 5" xfId="16963"/>
    <cellStyle name="Normalny 33 6" xfId="23554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3" xfId="10361"/>
    <cellStyle name="Normalny 34 2 4" xfId="16966"/>
    <cellStyle name="Normalny 34 2 5" xfId="23557"/>
    <cellStyle name="Normalny 34 3" xfId="7012"/>
    <cellStyle name="Normalny 34 3 2" xfId="13647"/>
    <cellStyle name="Normalny 34 3 3" xfId="20251"/>
    <cellStyle name="Normalny 34 3 4" xfId="26842"/>
    <cellStyle name="Normalny 34 4" xfId="10360"/>
    <cellStyle name="Normalny 34 5" xfId="16965"/>
    <cellStyle name="Normalny 34 6" xfId="23556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3" xfId="10363"/>
    <cellStyle name="Normalny 35 2 4" xfId="16968"/>
    <cellStyle name="Normalny 35 2 5" xfId="23559"/>
    <cellStyle name="Normalny 35 3" xfId="7014"/>
    <cellStyle name="Normalny 35 3 2" xfId="13649"/>
    <cellStyle name="Normalny 35 3 3" xfId="20253"/>
    <cellStyle name="Normalny 35 3 4" xfId="26844"/>
    <cellStyle name="Normalny 35 4" xfId="10362"/>
    <cellStyle name="Normalny 35 5" xfId="16967"/>
    <cellStyle name="Normalny 35 6" xfId="23558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3" xfId="10365"/>
    <cellStyle name="Normalny 36 2 4" xfId="16970"/>
    <cellStyle name="Normalny 36 2 5" xfId="23561"/>
    <cellStyle name="Normalny 36 3" xfId="7016"/>
    <cellStyle name="Normalny 36 3 2" xfId="13651"/>
    <cellStyle name="Normalny 36 3 3" xfId="20255"/>
    <cellStyle name="Normalny 36 3 4" xfId="26846"/>
    <cellStyle name="Normalny 36 4" xfId="10364"/>
    <cellStyle name="Normalny 36 5" xfId="16969"/>
    <cellStyle name="Normalny 36 6" xfId="23560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3" xfId="10367"/>
    <cellStyle name="Normalny 37 2 4" xfId="16972"/>
    <cellStyle name="Normalny 37 2 5" xfId="23563"/>
    <cellStyle name="Normalny 37 3" xfId="7018"/>
    <cellStyle name="Normalny 37 3 2" xfId="13653"/>
    <cellStyle name="Normalny 37 3 3" xfId="20257"/>
    <cellStyle name="Normalny 37 3 4" xfId="26848"/>
    <cellStyle name="Normalny 37 4" xfId="10366"/>
    <cellStyle name="Normalny 37 5" xfId="16971"/>
    <cellStyle name="Normalny 37 6" xfId="23562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3" xfId="10369"/>
    <cellStyle name="Normalny 38 2 4" xfId="16974"/>
    <cellStyle name="Normalny 38 2 5" xfId="23565"/>
    <cellStyle name="Normalny 38 3" xfId="7020"/>
    <cellStyle name="Normalny 38 3 2" xfId="13655"/>
    <cellStyle name="Normalny 38 3 3" xfId="20259"/>
    <cellStyle name="Normalny 38 3 4" xfId="26850"/>
    <cellStyle name="Normalny 38 4" xfId="10368"/>
    <cellStyle name="Normalny 38 5" xfId="16973"/>
    <cellStyle name="Normalny 38 6" xfId="23564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3" xfId="10371"/>
    <cellStyle name="Normalny 39 2 4" xfId="16976"/>
    <cellStyle name="Normalny 39 2 5" xfId="23567"/>
    <cellStyle name="Normalny 39 3" xfId="7022"/>
    <cellStyle name="Normalny 39 3 2" xfId="13657"/>
    <cellStyle name="Normalny 39 3 3" xfId="20261"/>
    <cellStyle name="Normalny 39 3 4" xfId="26852"/>
    <cellStyle name="Normalny 39 4" xfId="10370"/>
    <cellStyle name="Normalny 39 5" xfId="16975"/>
    <cellStyle name="Normalny 39 6" xfId="23566"/>
    <cellStyle name="Normalny 4" xfId="3209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3" xfId="10373"/>
    <cellStyle name="Normalny 4 2 4" xfId="16978"/>
    <cellStyle name="Normalny 4 2 5" xfId="23569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3" xfId="10470"/>
    <cellStyle name="Normalny 4 3 4" xfId="17074"/>
    <cellStyle name="Normalny 4 3 5" xfId="23665"/>
    <cellStyle name="Normalny 4 4" xfId="3573"/>
    <cellStyle name="Normalny 4 5" xfId="10372"/>
    <cellStyle name="Normalny 4 6" xfId="16977"/>
    <cellStyle name="Normalny 4 7" xfId="23568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3" xfId="10375"/>
    <cellStyle name="Normalny 40 2 4" xfId="16980"/>
    <cellStyle name="Normalny 40 2 5" xfId="23571"/>
    <cellStyle name="Normalny 40 3" xfId="7026"/>
    <cellStyle name="Normalny 40 3 2" xfId="13661"/>
    <cellStyle name="Normalny 40 3 3" xfId="20265"/>
    <cellStyle name="Normalny 40 3 4" xfId="26856"/>
    <cellStyle name="Normalny 40 4" xfId="10374"/>
    <cellStyle name="Normalny 40 5" xfId="16979"/>
    <cellStyle name="Normalny 40 6" xfId="23570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3" xfId="10377"/>
    <cellStyle name="Normalny 41 2 4" xfId="16982"/>
    <cellStyle name="Normalny 41 2 5" xfId="23573"/>
    <cellStyle name="Normalny 41 3" xfId="7028"/>
    <cellStyle name="Normalny 41 3 2" xfId="13663"/>
    <cellStyle name="Normalny 41 3 3" xfId="20267"/>
    <cellStyle name="Normalny 41 3 4" xfId="26858"/>
    <cellStyle name="Normalny 41 4" xfId="10376"/>
    <cellStyle name="Normalny 41 5" xfId="16981"/>
    <cellStyle name="Normalny 41 6" xfId="23572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3" xfId="10379"/>
    <cellStyle name="Normalny 42 2 4" xfId="16984"/>
    <cellStyle name="Normalny 42 2 5" xfId="23575"/>
    <cellStyle name="Normalny 42 3" xfId="7030"/>
    <cellStyle name="Normalny 42 3 2" xfId="13665"/>
    <cellStyle name="Normalny 42 3 3" xfId="20269"/>
    <cellStyle name="Normalny 42 3 4" xfId="26860"/>
    <cellStyle name="Normalny 42 4" xfId="10378"/>
    <cellStyle name="Normalny 42 5" xfId="16983"/>
    <cellStyle name="Normalny 42 6" xfId="23574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3" xfId="10381"/>
    <cellStyle name="Normalny 43 2 4" xfId="16986"/>
    <cellStyle name="Normalny 43 2 5" xfId="23577"/>
    <cellStyle name="Normalny 43 3" xfId="7032"/>
    <cellStyle name="Normalny 43 3 2" xfId="13667"/>
    <cellStyle name="Normalny 43 3 3" xfId="20271"/>
    <cellStyle name="Normalny 43 3 4" xfId="26862"/>
    <cellStyle name="Normalny 43 4" xfId="10380"/>
    <cellStyle name="Normalny 43 5" xfId="16985"/>
    <cellStyle name="Normalny 43 6" xfId="23576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3" xfId="10383"/>
    <cellStyle name="Normalny 44 2 4" xfId="16988"/>
    <cellStyle name="Normalny 44 2 5" xfId="23579"/>
    <cellStyle name="Normalny 44 3" xfId="7034"/>
    <cellStyle name="Normalny 44 3 2" xfId="13669"/>
    <cellStyle name="Normalny 44 3 3" xfId="20273"/>
    <cellStyle name="Normalny 44 3 4" xfId="26864"/>
    <cellStyle name="Normalny 44 4" xfId="10382"/>
    <cellStyle name="Normalny 44 5" xfId="16987"/>
    <cellStyle name="Normalny 44 6" xfId="23578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3" xfId="10385"/>
    <cellStyle name="Normalny 45 2 4" xfId="16990"/>
    <cellStyle name="Normalny 45 2 5" xfId="23581"/>
    <cellStyle name="Normalny 45 3" xfId="7036"/>
    <cellStyle name="Normalny 45 3 2" xfId="13671"/>
    <cellStyle name="Normalny 45 3 3" xfId="20275"/>
    <cellStyle name="Normalny 45 3 4" xfId="26866"/>
    <cellStyle name="Normalny 45 4" xfId="10384"/>
    <cellStyle name="Normalny 45 5" xfId="16989"/>
    <cellStyle name="Normalny 45 6" xfId="23580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3" xfId="10387"/>
    <cellStyle name="Normalny 46 2 4" xfId="16992"/>
    <cellStyle name="Normalny 46 2 5" xfId="23583"/>
    <cellStyle name="Normalny 46 3" xfId="7038"/>
    <cellStyle name="Normalny 46 3 2" xfId="13673"/>
    <cellStyle name="Normalny 46 3 3" xfId="20277"/>
    <cellStyle name="Normalny 46 3 4" xfId="26868"/>
    <cellStyle name="Normalny 46 4" xfId="10386"/>
    <cellStyle name="Normalny 46 5" xfId="16991"/>
    <cellStyle name="Normalny 46 6" xfId="23582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3" xfId="10389"/>
    <cellStyle name="Normalny 47 2 4" xfId="16994"/>
    <cellStyle name="Normalny 47 2 5" xfId="23585"/>
    <cellStyle name="Normalny 47 3" xfId="7040"/>
    <cellStyle name="Normalny 47 3 2" xfId="13675"/>
    <cellStyle name="Normalny 47 3 3" xfId="20279"/>
    <cellStyle name="Normalny 47 3 4" xfId="26870"/>
    <cellStyle name="Normalny 47 4" xfId="10388"/>
    <cellStyle name="Normalny 47 5" xfId="16993"/>
    <cellStyle name="Normalny 47 6" xfId="23584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3" xfId="10391"/>
    <cellStyle name="Normalny 48 2 4" xfId="16996"/>
    <cellStyle name="Normalny 48 2 5" xfId="23587"/>
    <cellStyle name="Normalny 48 3" xfId="7042"/>
    <cellStyle name="Normalny 48 3 2" xfId="13677"/>
    <cellStyle name="Normalny 48 3 3" xfId="20281"/>
    <cellStyle name="Normalny 48 3 4" xfId="26872"/>
    <cellStyle name="Normalny 48 4" xfId="10390"/>
    <cellStyle name="Normalny 48 5" xfId="16995"/>
    <cellStyle name="Normalny 48 6" xfId="23586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3" xfId="10393"/>
    <cellStyle name="Normalny 49 2 4" xfId="16998"/>
    <cellStyle name="Normalny 49 2 5" xfId="23589"/>
    <cellStyle name="Normalny 49 3" xfId="7044"/>
    <cellStyle name="Normalny 49 3 2" xfId="13679"/>
    <cellStyle name="Normalny 49 3 3" xfId="20283"/>
    <cellStyle name="Normalny 49 3 4" xfId="26874"/>
    <cellStyle name="Normalny 49 4" xfId="10392"/>
    <cellStyle name="Normalny 49 5" xfId="16997"/>
    <cellStyle name="Normalny 49 6" xfId="23588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3" xfId="10395"/>
    <cellStyle name="Normalny 5 2 4" xfId="17000"/>
    <cellStyle name="Normalny 5 2 5" xfId="23591"/>
    <cellStyle name="Normalny 5 3" xfId="7046"/>
    <cellStyle name="Normalny 5 3 2" xfId="13681"/>
    <cellStyle name="Normalny 5 3 3" xfId="20285"/>
    <cellStyle name="Normalny 5 3 4" xfId="26876"/>
    <cellStyle name="Normalny 5 4" xfId="10394"/>
    <cellStyle name="Normalny 5 5" xfId="16999"/>
    <cellStyle name="Normalny 5 6" xfId="23590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3" xfId="10397"/>
    <cellStyle name="Normalny 50 2 4" xfId="17002"/>
    <cellStyle name="Normalny 50 2 5" xfId="23593"/>
    <cellStyle name="Normalny 50 3" xfId="7048"/>
    <cellStyle name="Normalny 50 3 2" xfId="13683"/>
    <cellStyle name="Normalny 50 3 3" xfId="20287"/>
    <cellStyle name="Normalny 50 3 4" xfId="26878"/>
    <cellStyle name="Normalny 50 4" xfId="10396"/>
    <cellStyle name="Normalny 50 5" xfId="17001"/>
    <cellStyle name="Normalny 50 6" xfId="23592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3" xfId="10399"/>
    <cellStyle name="Normalny 51 2 4" xfId="17004"/>
    <cellStyle name="Normalny 51 2 5" xfId="23595"/>
    <cellStyle name="Normalny 51 3" xfId="7050"/>
    <cellStyle name="Normalny 51 3 2" xfId="13685"/>
    <cellStyle name="Normalny 51 3 3" xfId="20289"/>
    <cellStyle name="Normalny 51 3 4" xfId="26880"/>
    <cellStyle name="Normalny 51 4" xfId="10398"/>
    <cellStyle name="Normalny 51 5" xfId="17003"/>
    <cellStyle name="Normalny 51 6" xfId="23594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3" xfId="10401"/>
    <cellStyle name="Normalny 52 2 4" xfId="17006"/>
    <cellStyle name="Normalny 52 2 5" xfId="23597"/>
    <cellStyle name="Normalny 52 3" xfId="7052"/>
    <cellStyle name="Normalny 52 3 2" xfId="13687"/>
    <cellStyle name="Normalny 52 3 3" xfId="20291"/>
    <cellStyle name="Normalny 52 3 4" xfId="26882"/>
    <cellStyle name="Normalny 52 4" xfId="10400"/>
    <cellStyle name="Normalny 52 5" xfId="17005"/>
    <cellStyle name="Normalny 52 6" xfId="23596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3" xfId="10403"/>
    <cellStyle name="Normalny 53 2 4" xfId="17008"/>
    <cellStyle name="Normalny 53 2 5" xfId="23599"/>
    <cellStyle name="Normalny 53 3" xfId="7054"/>
    <cellStyle name="Normalny 53 3 2" xfId="13689"/>
    <cellStyle name="Normalny 53 3 3" xfId="20293"/>
    <cellStyle name="Normalny 53 3 4" xfId="26884"/>
    <cellStyle name="Normalny 53 4" xfId="10402"/>
    <cellStyle name="Normalny 53 5" xfId="17007"/>
    <cellStyle name="Normalny 53 6" xfId="23598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3" xfId="10405"/>
    <cellStyle name="Normalny 54 2 4" xfId="17010"/>
    <cellStyle name="Normalny 54 2 5" xfId="23601"/>
    <cellStyle name="Normalny 54 3" xfId="7056"/>
    <cellStyle name="Normalny 54 3 2" xfId="13691"/>
    <cellStyle name="Normalny 54 3 3" xfId="20295"/>
    <cellStyle name="Normalny 54 3 4" xfId="26886"/>
    <cellStyle name="Normalny 54 4" xfId="10404"/>
    <cellStyle name="Normalny 54 5" xfId="17009"/>
    <cellStyle name="Normalny 54 6" xfId="23600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3" xfId="10407"/>
    <cellStyle name="Normalny 55 2 4" xfId="17012"/>
    <cellStyle name="Normalny 55 2 5" xfId="23603"/>
    <cellStyle name="Normalny 55 3" xfId="7058"/>
    <cellStyle name="Normalny 55 3 2" xfId="13693"/>
    <cellStyle name="Normalny 55 3 3" xfId="20297"/>
    <cellStyle name="Normalny 55 3 4" xfId="26888"/>
    <cellStyle name="Normalny 55 4" xfId="10406"/>
    <cellStyle name="Normalny 55 5" xfId="17011"/>
    <cellStyle name="Normalny 55 6" xfId="23602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3" xfId="10409"/>
    <cellStyle name="Normalny 56 2 4" xfId="17014"/>
    <cellStyle name="Normalny 56 2 5" xfId="23605"/>
    <cellStyle name="Normalny 56 3" xfId="7060"/>
    <cellStyle name="Normalny 56 3 2" xfId="13695"/>
    <cellStyle name="Normalny 56 3 3" xfId="20299"/>
    <cellStyle name="Normalny 56 3 4" xfId="26890"/>
    <cellStyle name="Normalny 56 4" xfId="10408"/>
    <cellStyle name="Normalny 56 5" xfId="17013"/>
    <cellStyle name="Normalny 56 6" xfId="23604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3" xfId="10411"/>
    <cellStyle name="Normalny 57 2 4" xfId="17016"/>
    <cellStyle name="Normalny 57 2 5" xfId="23607"/>
    <cellStyle name="Normalny 57 3" xfId="7062"/>
    <cellStyle name="Normalny 57 3 2" xfId="13697"/>
    <cellStyle name="Normalny 57 3 3" xfId="20301"/>
    <cellStyle name="Normalny 57 3 4" xfId="26892"/>
    <cellStyle name="Normalny 57 4" xfId="10410"/>
    <cellStyle name="Normalny 57 5" xfId="17015"/>
    <cellStyle name="Normalny 57 6" xfId="23606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3" xfId="10413"/>
    <cellStyle name="Normalny 58 2 4" xfId="17018"/>
    <cellStyle name="Normalny 58 2 5" xfId="23609"/>
    <cellStyle name="Normalny 58 3" xfId="7064"/>
    <cellStyle name="Normalny 58 3 2" xfId="13699"/>
    <cellStyle name="Normalny 58 3 3" xfId="20303"/>
    <cellStyle name="Normalny 58 3 4" xfId="26894"/>
    <cellStyle name="Normalny 58 4" xfId="10412"/>
    <cellStyle name="Normalny 58 5" xfId="17017"/>
    <cellStyle name="Normalny 58 6" xfId="23608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3" xfId="10415"/>
    <cellStyle name="Normalny 59 2 4" xfId="17020"/>
    <cellStyle name="Normalny 59 2 5" xfId="23611"/>
    <cellStyle name="Normalny 59 3" xfId="7066"/>
    <cellStyle name="Normalny 59 3 2" xfId="13701"/>
    <cellStyle name="Normalny 59 3 3" xfId="20305"/>
    <cellStyle name="Normalny 59 3 4" xfId="26896"/>
    <cellStyle name="Normalny 59 4" xfId="10414"/>
    <cellStyle name="Normalny 59 5" xfId="17019"/>
    <cellStyle name="Normalny 59 6" xfId="23610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3" xfId="10417"/>
    <cellStyle name="Normalny 6 2 4" xfId="17022"/>
    <cellStyle name="Normalny 6 2 5" xfId="23613"/>
    <cellStyle name="Normalny 6 3" xfId="7068"/>
    <cellStyle name="Normalny 6 3 2" xfId="13703"/>
    <cellStyle name="Normalny 6 3 3" xfId="20307"/>
    <cellStyle name="Normalny 6 3 4" xfId="26898"/>
    <cellStyle name="Normalny 6 4" xfId="10416"/>
    <cellStyle name="Normalny 6 5" xfId="17021"/>
    <cellStyle name="Normalny 6 6" xfId="23612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3" xfId="10419"/>
    <cellStyle name="Normalny 60 2 4" xfId="17024"/>
    <cellStyle name="Normalny 60 2 5" xfId="23615"/>
    <cellStyle name="Normalny 60 3" xfId="7070"/>
    <cellStyle name="Normalny 60 3 2" xfId="13705"/>
    <cellStyle name="Normalny 60 3 3" xfId="20309"/>
    <cellStyle name="Normalny 60 3 4" xfId="26900"/>
    <cellStyle name="Normalny 60 4" xfId="10418"/>
    <cellStyle name="Normalny 60 5" xfId="17023"/>
    <cellStyle name="Normalny 60 6" xfId="23614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3" xfId="10420"/>
    <cellStyle name="Normalny 61 4" xfId="17025"/>
    <cellStyle name="Normalny 61 5" xfId="23616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3" xfId="10421"/>
    <cellStyle name="Normalny 63 4" xfId="17026"/>
    <cellStyle name="Normalny 63 5" xfId="23617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3" xfId="10422"/>
    <cellStyle name="Normalny 64 4" xfId="17027"/>
    <cellStyle name="Normalny 64 5" xfId="23618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3" xfId="10423"/>
    <cellStyle name="Normalny 65 4" xfId="17028"/>
    <cellStyle name="Normalny 65 5" xfId="23619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3" xfId="10424"/>
    <cellStyle name="Normalny 66 4" xfId="17029"/>
    <cellStyle name="Normalny 66 5" xfId="23620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3" xfId="10425"/>
    <cellStyle name="Normalny 67 4" xfId="17030"/>
    <cellStyle name="Normalny 67 5" xfId="23621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3" xfId="10426"/>
    <cellStyle name="Normalny 68 4" xfId="17031"/>
    <cellStyle name="Normalny 68 5" xfId="23622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3" xfId="10427"/>
    <cellStyle name="Normalny 69 4" xfId="17032"/>
    <cellStyle name="Normalny 69 5" xfId="23623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3" xfId="10429"/>
    <cellStyle name="Normalny 7 2 4" xfId="17034"/>
    <cellStyle name="Normalny 7 2 5" xfId="23625"/>
    <cellStyle name="Normalny 7 3" xfId="7080"/>
    <cellStyle name="Normalny 7 3 2" xfId="13715"/>
    <cellStyle name="Normalny 7 3 3" xfId="20319"/>
    <cellStyle name="Normalny 7 3 4" xfId="26910"/>
    <cellStyle name="Normalny 7 4" xfId="10428"/>
    <cellStyle name="Normalny 7 5" xfId="17033"/>
    <cellStyle name="Normalny 7 6" xfId="23624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3" xfId="10430"/>
    <cellStyle name="Normalny 70 4" xfId="17035"/>
    <cellStyle name="Normalny 70 5" xfId="23626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3" xfId="10431"/>
    <cellStyle name="Normalny 71 4" xfId="17036"/>
    <cellStyle name="Normalny 71 5" xfId="23627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3" xfId="10432"/>
    <cellStyle name="Normalny 72 4" xfId="17037"/>
    <cellStyle name="Normalny 72 5" xfId="23628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3" xfId="10433"/>
    <cellStyle name="Normalny 73 4" xfId="17038"/>
    <cellStyle name="Normalny 73 5" xfId="23629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3" xfId="10434"/>
    <cellStyle name="Normalny 74 4" xfId="17039"/>
    <cellStyle name="Normalny 74 5" xfId="23630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3" xfId="10435"/>
    <cellStyle name="Normalny 75 4" xfId="17040"/>
    <cellStyle name="Normalny 75 5" xfId="23631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3" xfId="10436"/>
    <cellStyle name="Normalny 76 4" xfId="17041"/>
    <cellStyle name="Normalny 76 5" xfId="23632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3" xfId="10437"/>
    <cellStyle name="Normalny 77 4" xfId="17042"/>
    <cellStyle name="Normalny 77 5" xfId="23633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3" xfId="10438"/>
    <cellStyle name="Normalny 78 4" xfId="17043"/>
    <cellStyle name="Normalny 78 5" xfId="23634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3" xfId="10439"/>
    <cellStyle name="Normalny 79 4" xfId="17044"/>
    <cellStyle name="Normalny 79 5" xfId="23635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3" xfId="10441"/>
    <cellStyle name="Normalny 8 2 4" xfId="17046"/>
    <cellStyle name="Normalny 8 2 5" xfId="23637"/>
    <cellStyle name="Normalny 8 3" xfId="7092"/>
    <cellStyle name="Normalny 8 3 2" xfId="13727"/>
    <cellStyle name="Normalny 8 3 3" xfId="20331"/>
    <cellStyle name="Normalny 8 3 4" xfId="26922"/>
    <cellStyle name="Normalny 8 4" xfId="10440"/>
    <cellStyle name="Normalny 8 5" xfId="17045"/>
    <cellStyle name="Normalny 8 6" xfId="23636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3" xfId="10442"/>
    <cellStyle name="Normalny 80 4" xfId="17047"/>
    <cellStyle name="Normalny 80 5" xfId="23638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3" xfId="10443"/>
    <cellStyle name="Normalny 81 4" xfId="17048"/>
    <cellStyle name="Normalny 81 5" xfId="23639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3" xfId="10444"/>
    <cellStyle name="Normalny 82 4" xfId="17049"/>
    <cellStyle name="Normalny 82 5" xfId="23640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3" xfId="10445"/>
    <cellStyle name="Normalny 83 4" xfId="17050"/>
    <cellStyle name="Normalny 83 5" xfId="23641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3" xfId="10446"/>
    <cellStyle name="Normalny 84 4" xfId="17051"/>
    <cellStyle name="Normalny 84 5" xfId="23642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3" xfId="10447"/>
    <cellStyle name="Normalny 85 4" xfId="17052"/>
    <cellStyle name="Normalny 85 5" xfId="23643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3" xfId="10448"/>
    <cellStyle name="Normalny 86 4" xfId="17053"/>
    <cellStyle name="Normalny 86 5" xfId="23644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3" xfId="10449"/>
    <cellStyle name="Normalny 87 4" xfId="17054"/>
    <cellStyle name="Normalny 87 5" xfId="23645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3" xfId="10450"/>
    <cellStyle name="Normalny 88 4" xfId="17055"/>
    <cellStyle name="Normalny 88 5" xfId="23646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3" xfId="10451"/>
    <cellStyle name="Normalny 89 4" xfId="17056"/>
    <cellStyle name="Normalny 89 5" xfId="23647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3" xfId="10453"/>
    <cellStyle name="Normalny 9 2 4" xfId="17058"/>
    <cellStyle name="Normalny 9 2 5" xfId="23649"/>
    <cellStyle name="Normalny 9 3" xfId="7104"/>
    <cellStyle name="Normalny 9 3 2" xfId="13739"/>
    <cellStyle name="Normalny 9 3 3" xfId="20343"/>
    <cellStyle name="Normalny 9 3 4" xfId="26934"/>
    <cellStyle name="Normalny 9 4" xfId="10452"/>
    <cellStyle name="Normalny 9 5" xfId="17057"/>
    <cellStyle name="Normalny 9 6" xfId="23648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3" xfId="10454"/>
    <cellStyle name="Normalny 90 4" xfId="17059"/>
    <cellStyle name="Normalny 90 5" xfId="23650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3" xfId="10455"/>
    <cellStyle name="Normalny 91 4" xfId="17060"/>
    <cellStyle name="Normalny 91 5" xfId="23651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3" xfId="10456"/>
    <cellStyle name="Normalny 92 4" xfId="17061"/>
    <cellStyle name="Normalny 92 5" xfId="23652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3" xfId="10457"/>
    <cellStyle name="Normalny 93 4" xfId="17062"/>
    <cellStyle name="Normalny 93 5" xfId="23653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3" xfId="10458"/>
    <cellStyle name="Normalny 94 4" xfId="17063"/>
    <cellStyle name="Normalny 94 5" xfId="23654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3" xfId="10459"/>
    <cellStyle name="Normalny 95 4" xfId="17064"/>
    <cellStyle name="Normalny 95 5" xfId="23655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3" xfId="10460"/>
    <cellStyle name="Normalny 96 4" xfId="17065"/>
    <cellStyle name="Normalny 96 5" xfId="23656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3" xfId="10461"/>
    <cellStyle name="Normalny 97 4" xfId="17066"/>
    <cellStyle name="Normalny 97 5" xfId="23657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3" xfId="10462"/>
    <cellStyle name="Normalny 98 4" xfId="17067"/>
    <cellStyle name="Normalny 98 5" xfId="23658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3" xfId="10463"/>
    <cellStyle name="Normalny 99 4" xfId="17068"/>
    <cellStyle name="Normalny 99 5" xfId="23659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3" xfId="10467"/>
    <cellStyle name="Procentowy 2 2 4" xfId="17071"/>
    <cellStyle name="Procentowy 2 2 5" xfId="23662"/>
    <cellStyle name="Procentowy 2 3" xfId="3580"/>
    <cellStyle name="Procentowy 2 4" xfId="3570"/>
    <cellStyle name="Procentowy 20" xfId="20379"/>
    <cellStyle name="Procentowy 21" xfId="26961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5" xfId="3853"/>
    <cellStyle name="Procentowy 5 2" xfId="10488"/>
    <cellStyle name="Procentowy 5 3" xfId="17092"/>
    <cellStyle name="Procentowy 5 4" xfId="23683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7" xfId="3836"/>
    <cellStyle name="Uwaga 197 2" xfId="10471"/>
    <cellStyle name="Uwaga 197 3" xfId="17075"/>
    <cellStyle name="Uwaga 197 4" xfId="23666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opLeftCell="B22" zoomScale="85" zoomScaleNormal="85" workbookViewId="0">
      <selection activeCell="I60" sqref="I60"/>
    </sheetView>
  </sheetViews>
  <sheetFormatPr defaultColWidth="9.109375" defaultRowHeight="13.2"/>
  <cols>
    <col min="1" max="1" width="41.44140625" style="141" customWidth="1"/>
    <col min="2" max="17" width="11.44140625" style="142" customWidth="1"/>
    <col min="18" max="18" width="13.6640625" style="142" customWidth="1"/>
    <col min="19" max="19" width="12.5546875" style="13" bestFit="1" customWidth="1"/>
    <col min="20" max="16384" width="9.109375" style="13"/>
  </cols>
  <sheetData>
    <row r="1" spans="1:19" ht="15" customHeight="1">
      <c r="A1" s="31" t="s">
        <v>78</v>
      </c>
      <c r="B1" s="757" t="s">
        <v>140</v>
      </c>
      <c r="C1" s="758"/>
      <c r="D1" s="759"/>
      <c r="E1" s="187"/>
      <c r="F1" s="757" t="s">
        <v>139</v>
      </c>
      <c r="G1" s="758"/>
      <c r="H1" s="759"/>
      <c r="I1" s="187"/>
      <c r="J1" s="757" t="s">
        <v>138</v>
      </c>
      <c r="K1" s="758"/>
      <c r="L1" s="759"/>
      <c r="M1" s="187"/>
      <c r="N1" s="757" t="s">
        <v>130</v>
      </c>
      <c r="O1" s="758"/>
      <c r="P1" s="759"/>
      <c r="Q1" s="187"/>
      <c r="R1" s="177"/>
      <c r="S1" s="20"/>
    </row>
    <row r="2" spans="1:19" ht="15" customHeight="1">
      <c r="A2" s="106" t="s">
        <v>0</v>
      </c>
      <c r="B2" s="107" t="s">
        <v>10</v>
      </c>
      <c r="C2" s="107" t="s">
        <v>11</v>
      </c>
      <c r="D2" s="107" t="s">
        <v>12</v>
      </c>
      <c r="E2" s="188" t="s">
        <v>128</v>
      </c>
      <c r="F2" s="107" t="s">
        <v>7</v>
      </c>
      <c r="G2" s="107" t="s">
        <v>8</v>
      </c>
      <c r="H2" s="107" t="s">
        <v>9</v>
      </c>
      <c r="I2" s="188" t="s">
        <v>127</v>
      </c>
      <c r="J2" s="107" t="s">
        <v>4</v>
      </c>
      <c r="K2" s="107" t="s">
        <v>5</v>
      </c>
      <c r="L2" s="107" t="s">
        <v>6</v>
      </c>
      <c r="M2" s="188" t="s">
        <v>126</v>
      </c>
      <c r="N2" s="107" t="s">
        <v>1</v>
      </c>
      <c r="O2" s="107" t="s">
        <v>2</v>
      </c>
      <c r="P2" s="107" t="s">
        <v>3</v>
      </c>
      <c r="Q2" s="188" t="s">
        <v>115</v>
      </c>
      <c r="R2" s="107" t="s">
        <v>129</v>
      </c>
      <c r="S2" s="20"/>
    </row>
    <row r="3" spans="1:19" ht="15" customHeight="1">
      <c r="A3" s="107"/>
      <c r="B3" s="107"/>
      <c r="C3" s="107"/>
      <c r="D3" s="107"/>
      <c r="E3" s="189"/>
      <c r="F3" s="107"/>
      <c r="G3" s="107"/>
      <c r="H3" s="107"/>
      <c r="I3" s="189"/>
      <c r="J3" s="107"/>
      <c r="K3" s="107"/>
      <c r="L3" s="107"/>
      <c r="M3" s="189"/>
      <c r="N3" s="107"/>
      <c r="O3" s="107"/>
      <c r="P3" s="107"/>
      <c r="Q3" s="189"/>
      <c r="R3" s="107"/>
      <c r="S3" s="20"/>
    </row>
    <row r="4" spans="1:19" ht="15" customHeight="1">
      <c r="A4" s="108" t="s">
        <v>36</v>
      </c>
      <c r="B4" s="84">
        <f>'Target 2021'!L3</f>
        <v>42433.333333333328</v>
      </c>
      <c r="C4" s="84">
        <f>'Target 2021'!M3</f>
        <v>46900</v>
      </c>
      <c r="D4" s="84">
        <f>'Target 2021'!N3</f>
        <v>44666.666666666664</v>
      </c>
      <c r="E4" s="190">
        <f>SUM(B4:D4)</f>
        <v>134000</v>
      </c>
      <c r="F4" s="84">
        <f>'Target 2021'!I3</f>
        <v>43500</v>
      </c>
      <c r="G4" s="84">
        <f>'Target 2021'!J3</f>
        <v>48333.333333333336</v>
      </c>
      <c r="H4" s="84">
        <f>'Target 2021'!K3</f>
        <v>53166.666666666672</v>
      </c>
      <c r="I4" s="190">
        <f>SUM(F4:H4)</f>
        <v>145000</v>
      </c>
      <c r="J4" s="84">
        <f>'Target 2021'!F3</f>
        <v>41100</v>
      </c>
      <c r="K4" s="84">
        <f>'Target 2021'!G3</f>
        <v>45666.666666666664</v>
      </c>
      <c r="L4" s="84">
        <f>'Target 2021'!H3</f>
        <v>50233.333333333336</v>
      </c>
      <c r="M4" s="190">
        <f>SUM(J4:L4)</f>
        <v>137000</v>
      </c>
      <c r="N4" s="84">
        <f>'Target 2021'!C3</f>
        <v>43500</v>
      </c>
      <c r="O4" s="84">
        <f>'Target 2021'!D3</f>
        <v>48333.333333333336</v>
      </c>
      <c r="P4" s="84">
        <f>'Target 2021'!E3</f>
        <v>53166.666666666672</v>
      </c>
      <c r="Q4" s="190">
        <f>SUM(N4:P4)</f>
        <v>145000</v>
      </c>
      <c r="R4" s="109">
        <f>Q4+M4+I4+E4</f>
        <v>561000</v>
      </c>
      <c r="S4" s="20"/>
    </row>
    <row r="5" spans="1:19" ht="15" customHeight="1">
      <c r="A5" s="110" t="s">
        <v>35</v>
      </c>
      <c r="B5" s="85">
        <f>B4</f>
        <v>42433.333333333328</v>
      </c>
      <c r="C5" s="85">
        <f>C4+B5</f>
        <v>89333.333333333328</v>
      </c>
      <c r="D5" s="85">
        <f>D4+C5</f>
        <v>134000</v>
      </c>
      <c r="E5" s="191"/>
      <c r="F5" s="85">
        <f>F4</f>
        <v>43500</v>
      </c>
      <c r="G5" s="85">
        <f>G4+F5</f>
        <v>91833.333333333343</v>
      </c>
      <c r="H5" s="85">
        <f>H4+G5</f>
        <v>145000</v>
      </c>
      <c r="I5" s="191"/>
      <c r="J5" s="85">
        <f>J4</f>
        <v>41100</v>
      </c>
      <c r="K5" s="85">
        <f>K4+J5</f>
        <v>86766.666666666657</v>
      </c>
      <c r="L5" s="85">
        <f>L4+K5</f>
        <v>137000</v>
      </c>
      <c r="M5" s="191"/>
      <c r="N5" s="85">
        <f>N4</f>
        <v>43500</v>
      </c>
      <c r="O5" s="85">
        <f>O4+N5</f>
        <v>91833.333333333343</v>
      </c>
      <c r="P5" s="85">
        <f>P4+O5</f>
        <v>145000</v>
      </c>
      <c r="Q5" s="191"/>
      <c r="R5" s="434">
        <f>R6/R4</f>
        <v>1.0335361930481282</v>
      </c>
      <c r="S5" s="20"/>
    </row>
    <row r="6" spans="1:19" ht="15" customHeight="1">
      <c r="A6" s="112" t="s">
        <v>37</v>
      </c>
      <c r="B6" s="28">
        <f>SUMIF(X!A:A,$A$1,X!I:I)</f>
        <v>48243.363299999997</v>
      </c>
      <c r="C6" s="28">
        <f>SUMIF(XI!A:A,$A$1,XI!I:I)</f>
        <v>53871.6895</v>
      </c>
      <c r="D6" s="28">
        <f>SUMIF(XII!A:A,$A$1,XII!I:I)</f>
        <v>53549.701099999998</v>
      </c>
      <c r="E6" s="190">
        <f>SUM(B6:D6)</f>
        <v>155664.75390000001</v>
      </c>
      <c r="F6" s="28">
        <f>SUMIF(VII!A:A,$A$1,VII!I:I)</f>
        <v>58039.165300000001</v>
      </c>
      <c r="G6" s="28">
        <f>SUMIF(VIII!A:A,$A$1,VIII!I:I)</f>
        <v>37496.671900000001</v>
      </c>
      <c r="H6" s="28">
        <f>SUMIF(IX!A:A,$A$1,IX!I:I)</f>
        <v>43611.757799999999</v>
      </c>
      <c r="I6" s="190">
        <f>SUM(F6:H6)</f>
        <v>139147.595</v>
      </c>
      <c r="J6" s="28">
        <f>SUMIF(IV!A:A,$A$1,IV!I:I)</f>
        <v>41620.274400000002</v>
      </c>
      <c r="K6" s="28">
        <f>SUMIF(V!A:A,$A$1,V!I:I)</f>
        <v>41858.378900000003</v>
      </c>
      <c r="L6" s="28">
        <f>SUMIF(VI!A:A,$A$1,VI!I:I)</f>
        <v>61416.543299999998</v>
      </c>
      <c r="M6" s="190">
        <f>SUM(J6:L6)</f>
        <v>144895.1966</v>
      </c>
      <c r="N6" s="86">
        <f>SUMIF(I!A:A,$A$1,I!I:I)</f>
        <v>46452.277300000002</v>
      </c>
      <c r="O6" s="28">
        <f>SUMIF(II!A:A,$A$1,II!I:I)</f>
        <v>45967.407299999999</v>
      </c>
      <c r="P6" s="28">
        <f>SUMIF(III!A:A,$A$1,III!I:I)</f>
        <v>47686.574200000003</v>
      </c>
      <c r="Q6" s="190">
        <f>SUM(N6:P6)</f>
        <v>140106.25880000001</v>
      </c>
      <c r="R6" s="109">
        <f>Q6+M6+I6+E6</f>
        <v>579813.80429999996</v>
      </c>
      <c r="S6" s="467"/>
    </row>
    <row r="7" spans="1:19" s="15" customFormat="1" ht="15" customHeight="1">
      <c r="A7" s="110" t="s">
        <v>38</v>
      </c>
      <c r="B7" s="85">
        <f>B6</f>
        <v>48243.363299999997</v>
      </c>
      <c r="C7" s="85">
        <f>C6+B7</f>
        <v>102115.0528</v>
      </c>
      <c r="D7" s="85">
        <f>D6+C7</f>
        <v>155664.75390000001</v>
      </c>
      <c r="E7" s="191"/>
      <c r="F7" s="85">
        <f>F6</f>
        <v>58039.165300000001</v>
      </c>
      <c r="G7" s="85">
        <f>G6+F7</f>
        <v>95535.837200000009</v>
      </c>
      <c r="H7" s="85">
        <f>H6+G7</f>
        <v>139147.595</v>
      </c>
      <c r="I7" s="191"/>
      <c r="J7" s="85">
        <f>J6</f>
        <v>41620.274400000002</v>
      </c>
      <c r="K7" s="85">
        <f>K6+J7</f>
        <v>83478.653300000005</v>
      </c>
      <c r="L7" s="85">
        <f>L6+K7</f>
        <v>144895.1966</v>
      </c>
      <c r="M7" s="191"/>
      <c r="N7" s="85">
        <f>N6</f>
        <v>46452.277300000002</v>
      </c>
      <c r="O7" s="85">
        <f>O6+N7</f>
        <v>92419.684600000008</v>
      </c>
      <c r="P7" s="85">
        <f>P6+O7</f>
        <v>140106.25880000001</v>
      </c>
      <c r="Q7" s="191"/>
      <c r="R7" s="111"/>
      <c r="S7" s="20"/>
    </row>
    <row r="8" spans="1:19" s="15" customFormat="1" ht="15" customHeight="1">
      <c r="A8" s="114" t="s">
        <v>39</v>
      </c>
      <c r="B8" s="87">
        <f t="shared" ref="B8:D9" si="0">B6/B4</f>
        <v>1.1369213660644149</v>
      </c>
      <c r="C8" s="87">
        <f t="shared" si="0"/>
        <v>1.1486500959488273</v>
      </c>
      <c r="D8" s="87">
        <f t="shared" si="0"/>
        <v>1.1988739052238806</v>
      </c>
      <c r="E8" s="192"/>
      <c r="F8" s="87">
        <f t="shared" ref="F8:H9" si="1">F6/F4</f>
        <v>1.3342336850574712</v>
      </c>
      <c r="G8" s="87">
        <f t="shared" si="1"/>
        <v>0.77579321172413795</v>
      </c>
      <c r="H8" s="87">
        <f t="shared" si="1"/>
        <v>0.82028384576802504</v>
      </c>
      <c r="I8" s="192"/>
      <c r="J8" s="87">
        <f t="shared" ref="J8:L9" si="2">J6/J4</f>
        <v>1.0126587445255475</v>
      </c>
      <c r="K8" s="87">
        <f t="shared" si="2"/>
        <v>0.91660683722627745</v>
      </c>
      <c r="L8" s="87">
        <f t="shared" si="2"/>
        <v>1.2226252813536826</v>
      </c>
      <c r="M8" s="192"/>
      <c r="N8" s="87">
        <f t="shared" ref="N8:P9" si="3">N6/N4</f>
        <v>1.0678684436781609</v>
      </c>
      <c r="O8" s="87">
        <f t="shared" si="3"/>
        <v>0.9510498062068965</v>
      </c>
      <c r="P8" s="87">
        <f t="shared" si="3"/>
        <v>0.89692616050156737</v>
      </c>
      <c r="Q8" s="192"/>
      <c r="R8" s="115"/>
      <c r="S8" s="20"/>
    </row>
    <row r="9" spans="1:19" s="23" customFormat="1" ht="15" customHeight="1">
      <c r="A9" s="114" t="s">
        <v>40</v>
      </c>
      <c r="B9" s="87">
        <f t="shared" si="0"/>
        <v>1.1369213660644149</v>
      </c>
      <c r="C9" s="87">
        <f t="shared" si="0"/>
        <v>1.1430789492537314</v>
      </c>
      <c r="D9" s="87">
        <f t="shared" si="0"/>
        <v>1.1616772679104479</v>
      </c>
      <c r="E9" s="192"/>
      <c r="F9" s="87">
        <f t="shared" si="1"/>
        <v>1.3342336850574712</v>
      </c>
      <c r="G9" s="87">
        <f t="shared" si="1"/>
        <v>1.04031764646098</v>
      </c>
      <c r="H9" s="87">
        <f t="shared" si="1"/>
        <v>0.95963858620689657</v>
      </c>
      <c r="I9" s="192"/>
      <c r="J9" s="87">
        <f t="shared" si="2"/>
        <v>1.0126587445255475</v>
      </c>
      <c r="K9" s="87">
        <f t="shared" si="2"/>
        <v>0.96210510910487912</v>
      </c>
      <c r="L9" s="87">
        <f t="shared" si="2"/>
        <v>1.0576291722627738</v>
      </c>
      <c r="M9" s="192"/>
      <c r="N9" s="87">
        <f t="shared" si="3"/>
        <v>1.0678684436781609</v>
      </c>
      <c r="O9" s="87">
        <f t="shared" si="3"/>
        <v>1.0063849502722322</v>
      </c>
      <c r="P9" s="87">
        <f t="shared" si="3"/>
        <v>0.96625006068965524</v>
      </c>
      <c r="Q9" s="192"/>
      <c r="R9" s="116"/>
      <c r="S9" s="21"/>
    </row>
    <row r="10" spans="1:19" ht="15" customHeight="1">
      <c r="A10" s="110" t="s">
        <v>48</v>
      </c>
      <c r="B10" s="85">
        <f>B7-B5</f>
        <v>5810.0299666666688</v>
      </c>
      <c r="C10" s="85">
        <f>C7-C5</f>
        <v>12781.719466666676</v>
      </c>
      <c r="D10" s="85">
        <f>D7-D5</f>
        <v>21664.753900000011</v>
      </c>
      <c r="E10" s="191"/>
      <c r="F10" s="85">
        <f>F7-F5</f>
        <v>14539.165300000001</v>
      </c>
      <c r="G10" s="85">
        <f>G7-G5</f>
        <v>3702.503866666666</v>
      </c>
      <c r="H10" s="85">
        <f>H7-H5</f>
        <v>-5852.4049999999988</v>
      </c>
      <c r="I10" s="191"/>
      <c r="J10" s="85">
        <f>J7-J5</f>
        <v>520.27440000000206</v>
      </c>
      <c r="K10" s="85">
        <f>K7-K5</f>
        <v>-3288.0133666666516</v>
      </c>
      <c r="L10" s="85">
        <f>L7-L5</f>
        <v>7895.1965999999957</v>
      </c>
      <c r="M10" s="191"/>
      <c r="N10" s="85">
        <f>N7-N5</f>
        <v>2952.2773000000016</v>
      </c>
      <c r="O10" s="85">
        <f>O7-O5</f>
        <v>586.35126666666474</v>
      </c>
      <c r="P10" s="85">
        <f>P7-P5</f>
        <v>-4893.7411999999895</v>
      </c>
      <c r="Q10" s="191"/>
      <c r="R10" s="111"/>
      <c r="S10" s="43"/>
    </row>
    <row r="11" spans="1:19" ht="15" customHeight="1">
      <c r="A11" s="112" t="s">
        <v>217</v>
      </c>
      <c r="B11" s="28">
        <f>SUMIF(X!A:A,$A$1,X!G:G)</f>
        <v>147058.26560000001</v>
      </c>
      <c r="C11" s="28">
        <f>SUMIF(XI!A:A,$A$1,XI!G:G)</f>
        <v>134258.95310000001</v>
      </c>
      <c r="D11" s="28">
        <f>SUMIF(XII!A:A,$A$1,XII!G:G)</f>
        <v>124716.11719999999</v>
      </c>
      <c r="E11" s="190">
        <f>SUM(B11:D11)</f>
        <v>406033.33590000001</v>
      </c>
      <c r="F11" s="28">
        <f>SUMIF(VII!A:A,$A$1,VII!G:G)</f>
        <v>143765.125</v>
      </c>
      <c r="G11" s="28">
        <f>SUMIF(VIII!A:A,$A$1,VIII!G:G)</f>
        <v>99803.906300000002</v>
      </c>
      <c r="H11" s="28">
        <f>SUMIF(IX!A:A,$A$1,IX!G:G)</f>
        <v>106174.14840000001</v>
      </c>
      <c r="I11" s="190">
        <f>SUM(F11:H11)</f>
        <v>349743.17969999998</v>
      </c>
      <c r="J11" s="28">
        <f>SUMIF(IV!A:A,$A$1,IV!G:G)</f>
        <v>112925.75780000001</v>
      </c>
      <c r="K11" s="28">
        <f>SUMIF(V!A:A,$A$1,V!G:G)</f>
        <v>100350.3438</v>
      </c>
      <c r="L11" s="28">
        <f>SUMIF(VI!A:A,$A$1,VI!G:G)</f>
        <v>179356.23439999999</v>
      </c>
      <c r="M11" s="190">
        <f>SUM(J11:L11)</f>
        <v>392632.33600000001</v>
      </c>
      <c r="N11" s="86">
        <f>SUMIF(I!A:A,$A$1,I!G:G)</f>
        <v>113213.96090000001</v>
      </c>
      <c r="O11" s="28">
        <f>SUMIF(II!A:A,$A$1,II!G:G)</f>
        <v>129347.3125</v>
      </c>
      <c r="P11" s="28">
        <f>SUMIF(III!A:A,$A$1,III!G:G)</f>
        <v>130401.5625</v>
      </c>
      <c r="Q11" s="190">
        <f>SUM(N11:P11)</f>
        <v>372962.83590000001</v>
      </c>
      <c r="R11" s="109">
        <f>Q11+M11+I11+E11</f>
        <v>1521371.6875</v>
      </c>
      <c r="S11" s="20"/>
    </row>
    <row r="12" spans="1:19" customFormat="1">
      <c r="A12" s="110" t="s">
        <v>218</v>
      </c>
      <c r="B12" s="85">
        <f>B11</f>
        <v>147058.26560000001</v>
      </c>
      <c r="C12" s="85">
        <f>C11+B12</f>
        <v>281317.21870000003</v>
      </c>
      <c r="D12" s="85">
        <f>D11+C12</f>
        <v>406033.33590000001</v>
      </c>
      <c r="E12" s="191"/>
      <c r="F12" s="85">
        <f>F11</f>
        <v>143765.125</v>
      </c>
      <c r="G12" s="85">
        <f>G11+F12</f>
        <v>243569.0313</v>
      </c>
      <c r="H12" s="85">
        <f>H11+G12</f>
        <v>349743.17969999998</v>
      </c>
      <c r="I12" s="191"/>
      <c r="J12" s="85">
        <f>J11</f>
        <v>112925.75780000001</v>
      </c>
      <c r="K12" s="85">
        <f>K11+J12</f>
        <v>213276.10159999999</v>
      </c>
      <c r="L12" s="85">
        <f>L11+K12</f>
        <v>392632.33600000001</v>
      </c>
      <c r="M12" s="191"/>
      <c r="N12" s="85">
        <f>N11</f>
        <v>113213.96090000001</v>
      </c>
      <c r="O12" s="85">
        <f>O11+N12</f>
        <v>242561.27340000001</v>
      </c>
      <c r="P12" s="85">
        <f>P11+O12</f>
        <v>372962.83590000001</v>
      </c>
      <c r="Q12" s="191"/>
      <c r="R12" s="111"/>
    </row>
    <row r="13" spans="1:19" ht="15" customHeight="1">
      <c r="A13" s="118" t="s">
        <v>32</v>
      </c>
      <c r="B13" s="89">
        <f t="shared" ref="B13:D14" si="4">B6/B11</f>
        <v>0.32805611505865601</v>
      </c>
      <c r="C13" s="89">
        <f t="shared" si="4"/>
        <v>0.40125211955045398</v>
      </c>
      <c r="D13" s="89">
        <f t="shared" si="4"/>
        <v>0.4293727410878696</v>
      </c>
      <c r="E13" s="193"/>
      <c r="F13" s="89">
        <f t="shared" ref="F13:H14" si="5">F6/F11</f>
        <v>0.40370823800278405</v>
      </c>
      <c r="G13" s="89">
        <f t="shared" si="5"/>
        <v>0.37570344979573211</v>
      </c>
      <c r="H13" s="89">
        <f t="shared" si="5"/>
        <v>0.41075684106923338</v>
      </c>
      <c r="I13" s="193"/>
      <c r="J13" s="89">
        <f t="shared" ref="J13:L14" si="6">J6/J11</f>
        <v>0.36856316230095737</v>
      </c>
      <c r="K13" s="89">
        <f t="shared" si="6"/>
        <v>0.41712242644055597</v>
      </c>
      <c r="L13" s="89">
        <f t="shared" si="6"/>
        <v>0.34242770264137529</v>
      </c>
      <c r="M13" s="193"/>
      <c r="N13" s="89">
        <f t="shared" ref="N13:P14" si="7">N6/N11</f>
        <v>0.41030520379929575</v>
      </c>
      <c r="O13" s="89">
        <f t="shared" si="7"/>
        <v>0.35537968599077002</v>
      </c>
      <c r="P13" s="89">
        <f t="shared" si="7"/>
        <v>0.36569020559090309</v>
      </c>
      <c r="Q13" s="193"/>
      <c r="R13" s="119"/>
      <c r="S13" s="20"/>
    </row>
    <row r="14" spans="1:19" s="15" customFormat="1" ht="15" customHeight="1">
      <c r="A14" s="118" t="s">
        <v>33</v>
      </c>
      <c r="B14" s="89">
        <f t="shared" si="4"/>
        <v>0.32805611505865601</v>
      </c>
      <c r="C14" s="89">
        <f t="shared" si="4"/>
        <v>0.36298898898505283</v>
      </c>
      <c r="D14" s="89">
        <f t="shared" si="4"/>
        <v>0.38337924533944656</v>
      </c>
      <c r="E14" s="193"/>
      <c r="F14" s="89">
        <f t="shared" si="5"/>
        <v>0.40370823800278405</v>
      </c>
      <c r="G14" s="89">
        <f t="shared" si="5"/>
        <v>0.39223310406128797</v>
      </c>
      <c r="H14" s="89">
        <f t="shared" si="5"/>
        <v>0.39785649321126709</v>
      </c>
      <c r="I14" s="193"/>
      <c r="J14" s="89">
        <f t="shared" si="6"/>
        <v>0.36856316230095737</v>
      </c>
      <c r="K14" s="89">
        <f t="shared" si="6"/>
        <v>0.39141119269220553</v>
      </c>
      <c r="L14" s="89">
        <f t="shared" si="6"/>
        <v>0.36903531195657813</v>
      </c>
      <c r="M14" s="193"/>
      <c r="N14" s="89">
        <f t="shared" si="7"/>
        <v>0.41030520379929575</v>
      </c>
      <c r="O14" s="89">
        <f t="shared" si="7"/>
        <v>0.38101582872049683</v>
      </c>
      <c r="P14" s="89">
        <f t="shared" si="7"/>
        <v>0.37565742565719268</v>
      </c>
      <c r="Q14" s="193"/>
      <c r="R14" s="119"/>
      <c r="S14" s="20"/>
    </row>
    <row r="15" spans="1:19" s="67" customFormat="1" ht="15" customHeight="1">
      <c r="A15" s="121"/>
      <c r="B15" s="122"/>
      <c r="C15" s="122"/>
      <c r="D15" s="122"/>
      <c r="E15" s="194"/>
      <c r="F15" s="122"/>
      <c r="G15" s="122"/>
      <c r="H15" s="122"/>
      <c r="I15" s="194"/>
      <c r="J15" s="122"/>
      <c r="K15" s="122"/>
      <c r="L15" s="122"/>
      <c r="M15" s="194"/>
      <c r="N15" s="122"/>
      <c r="O15" s="122"/>
      <c r="P15" s="122"/>
      <c r="Q15" s="194"/>
      <c r="R15" s="120"/>
      <c r="S15" s="66"/>
    </row>
    <row r="16" spans="1:19" s="15" customFormat="1" ht="15" customHeight="1">
      <c r="A16" s="173" t="s">
        <v>26</v>
      </c>
      <c r="B16" s="174"/>
      <c r="C16" s="174"/>
      <c r="D16" s="174"/>
      <c r="E16" s="195"/>
      <c r="F16" s="174"/>
      <c r="G16" s="174"/>
      <c r="H16" s="174"/>
      <c r="I16" s="195"/>
      <c r="J16" s="174"/>
      <c r="K16" s="557"/>
      <c r="L16" s="174"/>
      <c r="M16" s="195"/>
      <c r="N16" s="173"/>
      <c r="O16" s="174"/>
      <c r="P16" s="174"/>
      <c r="Q16" s="195"/>
      <c r="R16" s="124"/>
      <c r="S16" s="20"/>
    </row>
    <row r="17" spans="1:19" s="15" customFormat="1" ht="15" customHeight="1">
      <c r="A17" s="69" t="s">
        <v>76</v>
      </c>
      <c r="B17" s="123">
        <v>4500</v>
      </c>
      <c r="C17" s="123">
        <v>4500</v>
      </c>
      <c r="D17" s="123">
        <v>4500</v>
      </c>
      <c r="E17" s="196"/>
      <c r="F17" s="123">
        <v>4500</v>
      </c>
      <c r="G17" s="123">
        <v>4500</v>
      </c>
      <c r="H17" s="123">
        <v>4500</v>
      </c>
      <c r="I17" s="196"/>
      <c r="J17" s="123">
        <v>4500</v>
      </c>
      <c r="K17" s="123">
        <v>4500</v>
      </c>
      <c r="L17" s="123">
        <v>4500</v>
      </c>
      <c r="M17" s="196"/>
      <c r="N17" s="123">
        <v>4100</v>
      </c>
      <c r="O17" s="123">
        <v>4500</v>
      </c>
      <c r="P17" s="123">
        <v>4500</v>
      </c>
      <c r="Q17" s="196"/>
      <c r="R17" s="124"/>
      <c r="S17" s="20"/>
    </row>
    <row r="18" spans="1:19" ht="15" customHeight="1">
      <c r="A18" s="19" t="s">
        <v>50</v>
      </c>
      <c r="B18" s="74">
        <f>B5</f>
        <v>42433.333333333328</v>
      </c>
      <c r="C18" s="74">
        <f>C5</f>
        <v>89333.333333333328</v>
      </c>
      <c r="D18" s="74">
        <f>D5</f>
        <v>134000</v>
      </c>
      <c r="E18" s="197"/>
      <c r="F18" s="74">
        <f>F5</f>
        <v>43500</v>
      </c>
      <c r="G18" s="74">
        <f>G5</f>
        <v>91833.333333333343</v>
      </c>
      <c r="H18" s="74">
        <f>H5</f>
        <v>145000</v>
      </c>
      <c r="I18" s="197"/>
      <c r="J18" s="74">
        <f>J5</f>
        <v>41100</v>
      </c>
      <c r="K18" s="74">
        <f>K5</f>
        <v>86766.666666666657</v>
      </c>
      <c r="L18" s="74">
        <f>L5</f>
        <v>137000</v>
      </c>
      <c r="M18" s="197"/>
      <c r="N18" s="74">
        <f>N5</f>
        <v>43500</v>
      </c>
      <c r="O18" s="74">
        <f>O5</f>
        <v>91833.333333333343</v>
      </c>
      <c r="P18" s="74">
        <f>P5</f>
        <v>145000</v>
      </c>
      <c r="Q18" s="197"/>
      <c r="R18" s="126"/>
      <c r="S18" s="20"/>
    </row>
    <row r="19" spans="1:19" ht="15" customHeight="1">
      <c r="A19" s="39" t="s">
        <v>51</v>
      </c>
      <c r="B19" s="77">
        <f>B7</f>
        <v>48243.363299999997</v>
      </c>
      <c r="C19" s="77">
        <f>C7</f>
        <v>102115.0528</v>
      </c>
      <c r="D19" s="77">
        <f>D7</f>
        <v>155664.75390000001</v>
      </c>
      <c r="E19" s="198"/>
      <c r="F19" s="77">
        <f>F7</f>
        <v>58039.165300000001</v>
      </c>
      <c r="G19" s="77">
        <f>G7</f>
        <v>95535.837200000009</v>
      </c>
      <c r="H19" s="77">
        <f>H7</f>
        <v>139147.595</v>
      </c>
      <c r="I19" s="198"/>
      <c r="J19" s="77">
        <f>J7</f>
        <v>41620.274400000002</v>
      </c>
      <c r="K19" s="77">
        <f>K7</f>
        <v>83478.653300000005</v>
      </c>
      <c r="L19" s="77">
        <f>L7</f>
        <v>144895.1966</v>
      </c>
      <c r="M19" s="198"/>
      <c r="N19" s="77">
        <f>N7</f>
        <v>46452.277300000002</v>
      </c>
      <c r="O19" s="77">
        <f>O7</f>
        <v>92419.684600000008</v>
      </c>
      <c r="P19" s="77">
        <f>P7</f>
        <v>140106.25880000001</v>
      </c>
      <c r="Q19" s="198"/>
      <c r="R19" s="126"/>
      <c r="S19" s="20"/>
    </row>
    <row r="20" spans="1:19" ht="15" customHeight="1">
      <c r="A20" s="39" t="s">
        <v>52</v>
      </c>
      <c r="B20" s="128">
        <f>B19/B18</f>
        <v>1.1369213660644149</v>
      </c>
      <c r="C20" s="128">
        <f>C19/C18</f>
        <v>1.1430789492537314</v>
      </c>
      <c r="D20" s="128">
        <f>D19/D18</f>
        <v>1.1616772679104479</v>
      </c>
      <c r="E20" s="199"/>
      <c r="F20" s="128">
        <f>F19/F18</f>
        <v>1.3342336850574712</v>
      </c>
      <c r="G20" s="128">
        <f>G19/G18</f>
        <v>1.04031764646098</v>
      </c>
      <c r="H20" s="128">
        <f>H19/H18</f>
        <v>0.95963858620689657</v>
      </c>
      <c r="I20" s="199"/>
      <c r="J20" s="128">
        <f>J19/J18</f>
        <v>1.0126587445255475</v>
      </c>
      <c r="K20" s="128">
        <f>K19/K18</f>
        <v>0.96210510910487912</v>
      </c>
      <c r="L20" s="128">
        <f>L19/L18</f>
        <v>1.0576291722627738</v>
      </c>
      <c r="M20" s="199"/>
      <c r="N20" s="128">
        <f>N19/N18</f>
        <v>1.0678684436781609</v>
      </c>
      <c r="O20" s="128">
        <f>O19/O18</f>
        <v>1.0063849502722322</v>
      </c>
      <c r="P20" s="128">
        <f>P19/P18</f>
        <v>0.96625006068965524</v>
      </c>
      <c r="Q20" s="199"/>
      <c r="R20" s="126"/>
      <c r="S20" s="20"/>
    </row>
    <row r="21" spans="1:19" ht="15" customHeight="1">
      <c r="A21" s="38" t="s">
        <v>60</v>
      </c>
      <c r="B21" s="81">
        <f>B17*0.35</f>
        <v>1575</v>
      </c>
      <c r="C21" s="81">
        <f>C17*0.35</f>
        <v>1575</v>
      </c>
      <c r="D21" s="81">
        <f>D17*0.35</f>
        <v>1575</v>
      </c>
      <c r="E21" s="200"/>
      <c r="F21" s="81">
        <f>F17*0.35</f>
        <v>1575</v>
      </c>
      <c r="G21" s="81">
        <f>G17*0.35</f>
        <v>1575</v>
      </c>
      <c r="H21" s="81">
        <f>H17*0.35</f>
        <v>1575</v>
      </c>
      <c r="I21" s="200"/>
      <c r="J21" s="81">
        <f>J17*0.35</f>
        <v>1575</v>
      </c>
      <c r="K21" s="81">
        <f>K17*0.35</f>
        <v>1575</v>
      </c>
      <c r="L21" s="81">
        <f>L17*0.35</f>
        <v>1575</v>
      </c>
      <c r="M21" s="200"/>
      <c r="N21" s="81">
        <f>N17*0.35</f>
        <v>1435</v>
      </c>
      <c r="O21" s="81">
        <f>O17*0.35</f>
        <v>1575</v>
      </c>
      <c r="P21" s="81">
        <f>P17*0.35</f>
        <v>1575</v>
      </c>
      <c r="Q21" s="200"/>
      <c r="R21" s="129"/>
      <c r="S21" s="20"/>
    </row>
    <row r="22" spans="1:19" ht="15" customHeight="1">
      <c r="A22" s="39" t="s">
        <v>53</v>
      </c>
      <c r="B22" s="77">
        <f>IF(B20&lt;80%,0,IF(B20&lt;90%,0.5,IF(B20&lt;95%,0.75,1)))</f>
        <v>1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8"/>
      <c r="F22" s="77">
        <f>IF(F20&lt;80%,0,IF(F20&lt;90%,0.5,IF(F20&lt;95%,0.75,1)))</f>
        <v>1</v>
      </c>
      <c r="G22" s="77">
        <f>IF(G20&lt;80%,0,IF(G20&lt;90%,0.5,IF(G20&lt;95%,0.75,1)))</f>
        <v>1</v>
      </c>
      <c r="H22" s="77">
        <f>IF(H20&lt;80%,0,IF(H20&lt;90%,0.5,IF(H20&lt;95%,0.75,1)))</f>
        <v>1</v>
      </c>
      <c r="I22" s="198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1</v>
      </c>
      <c r="M22" s="198"/>
      <c r="N22" s="77">
        <f>IF(N20&lt;80%,0,IF(N20&lt;90%,0.5,IF(N20&lt;95%,0.75,1)))</f>
        <v>1</v>
      </c>
      <c r="O22" s="77">
        <f>IF(O20&lt;80%,0,IF(O20&lt;90%,0.5,IF(O20&lt;95%,0.75,1)))</f>
        <v>1</v>
      </c>
      <c r="P22" s="77">
        <f>IF(P20&lt;80%,0,IF(P20&lt;90%,0.5,IF(P20&lt;95%,0.75,1)))</f>
        <v>1</v>
      </c>
      <c r="Q22" s="198"/>
      <c r="R22" s="126"/>
      <c r="S22" s="20"/>
    </row>
    <row r="23" spans="1:19" s="63" customFormat="1" ht="15" customHeight="1">
      <c r="A23" s="55" t="s">
        <v>54</v>
      </c>
      <c r="B23" s="76">
        <f>B22*B21</f>
        <v>1575</v>
      </c>
      <c r="C23" s="76">
        <f>C22*C21</f>
        <v>1575</v>
      </c>
      <c r="D23" s="76">
        <f>D22*D21</f>
        <v>1575</v>
      </c>
      <c r="E23" s="201"/>
      <c r="F23" s="76">
        <f>F22*F21</f>
        <v>1575</v>
      </c>
      <c r="G23" s="76">
        <f>G22*G21</f>
        <v>1575</v>
      </c>
      <c r="H23" s="76">
        <f>H22*H21</f>
        <v>1575</v>
      </c>
      <c r="I23" s="201"/>
      <c r="J23" s="76">
        <f>J22*J21</f>
        <v>1575</v>
      </c>
      <c r="K23" s="76">
        <f>K22*K21</f>
        <v>1575</v>
      </c>
      <c r="L23" s="76">
        <f>L22*L21</f>
        <v>1575</v>
      </c>
      <c r="M23" s="201"/>
      <c r="N23" s="76">
        <f>N22*N21</f>
        <v>1435</v>
      </c>
      <c r="O23" s="76">
        <f>O22*O21</f>
        <v>1575</v>
      </c>
      <c r="P23" s="76">
        <f>P22*P21</f>
        <v>1575</v>
      </c>
      <c r="Q23" s="201"/>
      <c r="R23" s="130"/>
      <c r="S23" s="57"/>
    </row>
    <row r="24" spans="1:19" ht="15" customHeight="1">
      <c r="A24" s="19" t="s">
        <v>34</v>
      </c>
      <c r="B24" s="74"/>
      <c r="C24" s="74"/>
      <c r="D24" s="74"/>
      <c r="E24" s="197"/>
      <c r="F24" s="74"/>
      <c r="G24" s="74"/>
      <c r="H24" s="74"/>
      <c r="I24" s="197"/>
      <c r="J24" s="74"/>
      <c r="K24" s="74"/>
      <c r="L24" s="74"/>
      <c r="M24" s="197"/>
      <c r="N24" s="74">
        <v>1</v>
      </c>
      <c r="O24" s="74">
        <v>1</v>
      </c>
      <c r="P24" s="74">
        <v>1</v>
      </c>
      <c r="Q24" s="197"/>
      <c r="R24" s="131"/>
      <c r="S24" s="20"/>
    </row>
    <row r="25" spans="1:19" ht="15" customHeight="1">
      <c r="A25" s="49" t="s">
        <v>59</v>
      </c>
      <c r="B25" s="132">
        <f>B17*0.05</f>
        <v>225</v>
      </c>
      <c r="C25" s="132">
        <f>C17*0.05</f>
        <v>225</v>
      </c>
      <c r="D25" s="132">
        <f>D17*0.05</f>
        <v>225</v>
      </c>
      <c r="E25" s="202"/>
      <c r="F25" s="132">
        <f>F17*0.05</f>
        <v>225</v>
      </c>
      <c r="G25" s="132">
        <f>G17*0.05</f>
        <v>225</v>
      </c>
      <c r="H25" s="132">
        <f>H17*0.05</f>
        <v>225</v>
      </c>
      <c r="I25" s="202"/>
      <c r="J25" s="132">
        <f>J17*0.05</f>
        <v>225</v>
      </c>
      <c r="K25" s="132">
        <f>K17*0.05</f>
        <v>225</v>
      </c>
      <c r="L25" s="132">
        <f>L17*0.05</f>
        <v>225</v>
      </c>
      <c r="M25" s="202"/>
      <c r="N25" s="132">
        <f>N17*0.05</f>
        <v>205</v>
      </c>
      <c r="O25" s="132">
        <f>O17*0.05</f>
        <v>225</v>
      </c>
      <c r="P25" s="132">
        <f>P17*0.05</f>
        <v>225</v>
      </c>
      <c r="Q25" s="202"/>
      <c r="R25" s="129"/>
      <c r="S25" s="20"/>
    </row>
    <row r="26" spans="1:19" ht="15" customHeight="1">
      <c r="A26" s="39" t="s">
        <v>62</v>
      </c>
      <c r="B26" s="77">
        <v>1</v>
      </c>
      <c r="C26" s="77">
        <v>1</v>
      </c>
      <c r="D26" s="77">
        <v>1</v>
      </c>
      <c r="E26" s="198"/>
      <c r="F26" s="77">
        <v>1</v>
      </c>
      <c r="G26" s="77">
        <v>1</v>
      </c>
      <c r="H26" s="77">
        <v>1</v>
      </c>
      <c r="I26" s="198"/>
      <c r="J26" s="77">
        <v>1</v>
      </c>
      <c r="K26" s="77">
        <v>1</v>
      </c>
      <c r="L26" s="77">
        <v>1</v>
      </c>
      <c r="M26" s="198"/>
      <c r="N26" s="77">
        <v>1</v>
      </c>
      <c r="O26" s="77">
        <v>1</v>
      </c>
      <c r="P26" s="77">
        <v>1</v>
      </c>
      <c r="Q26" s="198"/>
      <c r="R26" s="126"/>
      <c r="S26" s="20"/>
    </row>
    <row r="27" spans="1:19" s="21" customFormat="1" ht="15" customHeight="1">
      <c r="A27" s="62" t="s">
        <v>63</v>
      </c>
      <c r="B27" s="76">
        <f>B26*B25</f>
        <v>225</v>
      </c>
      <c r="C27" s="76">
        <f>C26*C25</f>
        <v>225</v>
      </c>
      <c r="D27" s="76">
        <f>D26*D25</f>
        <v>225</v>
      </c>
      <c r="E27" s="201"/>
      <c r="F27" s="76">
        <f>F26*F25</f>
        <v>225</v>
      </c>
      <c r="G27" s="76">
        <f>G26*G25</f>
        <v>225</v>
      </c>
      <c r="H27" s="76">
        <f>H26*H25</f>
        <v>225</v>
      </c>
      <c r="I27" s="201"/>
      <c r="J27" s="76">
        <f>J26*J25</f>
        <v>225</v>
      </c>
      <c r="K27" s="76">
        <f>K26*K25</f>
        <v>225</v>
      </c>
      <c r="L27" s="76">
        <f>L26*L25</f>
        <v>225</v>
      </c>
      <c r="M27" s="201"/>
      <c r="N27" s="76">
        <f>N26*N25</f>
        <v>205</v>
      </c>
      <c r="O27" s="76">
        <f>O26*O25</f>
        <v>225</v>
      </c>
      <c r="P27" s="76">
        <f>P26*P25</f>
        <v>225</v>
      </c>
      <c r="Q27" s="201"/>
      <c r="R27" s="133"/>
      <c r="S27" s="14"/>
    </row>
    <row r="28" spans="1:19" s="42" customFormat="1" ht="15" customHeight="1">
      <c r="A28" s="52" t="s">
        <v>67</v>
      </c>
      <c r="B28" s="79">
        <f>B23+B27</f>
        <v>1800</v>
      </c>
      <c r="C28" s="79">
        <f>C23+C27</f>
        <v>1800</v>
      </c>
      <c r="D28" s="79">
        <f>D23+D27</f>
        <v>1800</v>
      </c>
      <c r="E28" s="203"/>
      <c r="F28" s="79">
        <f>F23+F27</f>
        <v>1800</v>
      </c>
      <c r="G28" s="79">
        <f>G23+G27</f>
        <v>1800</v>
      </c>
      <c r="H28" s="79">
        <f>H23+H27</f>
        <v>1800</v>
      </c>
      <c r="I28" s="203"/>
      <c r="J28" s="79">
        <f>J23+J27</f>
        <v>1800</v>
      </c>
      <c r="K28" s="79">
        <f>K23+K27</f>
        <v>1800</v>
      </c>
      <c r="L28" s="79">
        <f>L23+L27</f>
        <v>1800</v>
      </c>
      <c r="M28" s="203"/>
      <c r="N28" s="79">
        <f>N23+N27</f>
        <v>1640</v>
      </c>
      <c r="O28" s="79">
        <f>O23+O27</f>
        <v>1800</v>
      </c>
      <c r="P28" s="79">
        <f>P23+P27</f>
        <v>1800</v>
      </c>
      <c r="Q28" s="203"/>
      <c r="R28" s="134">
        <f>SUM(B28:Q28)</f>
        <v>21440</v>
      </c>
      <c r="S28" s="16"/>
    </row>
    <row r="29" spans="1:19" s="12" customFormat="1" ht="15" customHeight="1">
      <c r="A29" s="125" t="s">
        <v>125</v>
      </c>
      <c r="B29" s="760">
        <f>D5</f>
        <v>134000</v>
      </c>
      <c r="C29" s="761"/>
      <c r="D29" s="761"/>
      <c r="E29" s="762"/>
      <c r="F29" s="760">
        <f>H5</f>
        <v>145000</v>
      </c>
      <c r="G29" s="761"/>
      <c r="H29" s="761"/>
      <c r="I29" s="762"/>
      <c r="J29" s="760">
        <f>L5</f>
        <v>137000</v>
      </c>
      <c r="K29" s="761"/>
      <c r="L29" s="761"/>
      <c r="M29" s="762"/>
      <c r="N29" s="760">
        <f>P5</f>
        <v>145000</v>
      </c>
      <c r="O29" s="761"/>
      <c r="P29" s="761"/>
      <c r="Q29" s="762"/>
      <c r="R29" s="129"/>
      <c r="S29" s="33"/>
    </row>
    <row r="30" spans="1:19" s="12" customFormat="1" ht="15" customHeight="1">
      <c r="A30" s="127" t="s">
        <v>69</v>
      </c>
      <c r="B30" s="763">
        <f>D7</f>
        <v>155664.75390000001</v>
      </c>
      <c r="C30" s="764"/>
      <c r="D30" s="764"/>
      <c r="E30" s="762"/>
      <c r="F30" s="763">
        <f>H7</f>
        <v>139147.595</v>
      </c>
      <c r="G30" s="764"/>
      <c r="H30" s="764"/>
      <c r="I30" s="762"/>
      <c r="J30" s="763">
        <f>L7</f>
        <v>144895.1966</v>
      </c>
      <c r="K30" s="764"/>
      <c r="L30" s="764"/>
      <c r="M30" s="762"/>
      <c r="N30" s="763">
        <f>P7</f>
        <v>140106.25880000001</v>
      </c>
      <c r="O30" s="764"/>
      <c r="P30" s="764"/>
      <c r="Q30" s="762"/>
      <c r="R30" s="129"/>
      <c r="S30" s="33"/>
    </row>
    <row r="31" spans="1:19" s="64" customFormat="1" ht="15" customHeight="1">
      <c r="A31" s="127" t="s">
        <v>68</v>
      </c>
      <c r="B31" s="765">
        <f>B30/B29</f>
        <v>1.1616772679104479</v>
      </c>
      <c r="C31" s="766"/>
      <c r="D31" s="766"/>
      <c r="E31" s="762"/>
      <c r="F31" s="765">
        <f>F30/F29</f>
        <v>0.95963858620689657</v>
      </c>
      <c r="G31" s="766"/>
      <c r="H31" s="766"/>
      <c r="I31" s="762"/>
      <c r="J31" s="765">
        <f>J30/J29</f>
        <v>1.0576291722627738</v>
      </c>
      <c r="K31" s="766"/>
      <c r="L31" s="766"/>
      <c r="M31" s="762"/>
      <c r="N31" s="765">
        <f>N30/N29</f>
        <v>0.96625006068965524</v>
      </c>
      <c r="O31" s="766"/>
      <c r="P31" s="766"/>
      <c r="Q31" s="762"/>
      <c r="R31" s="135"/>
      <c r="S31" s="44"/>
    </row>
    <row r="32" spans="1:19" s="18" customFormat="1" ht="15" customHeight="1">
      <c r="A32" s="127" t="s">
        <v>65</v>
      </c>
      <c r="B32" s="767">
        <f>D17</f>
        <v>4500</v>
      </c>
      <c r="C32" s="768"/>
      <c r="D32" s="768"/>
      <c r="E32" s="762"/>
      <c r="F32" s="767">
        <f>H17</f>
        <v>4500</v>
      </c>
      <c r="G32" s="768"/>
      <c r="H32" s="768"/>
      <c r="I32" s="762"/>
      <c r="J32" s="767">
        <f>L17</f>
        <v>4500</v>
      </c>
      <c r="K32" s="768"/>
      <c r="L32" s="768"/>
      <c r="M32" s="762"/>
      <c r="N32" s="767">
        <f>P17</f>
        <v>4500</v>
      </c>
      <c r="O32" s="768"/>
      <c r="P32" s="768"/>
      <c r="Q32" s="762"/>
      <c r="R32" s="129"/>
      <c r="S32" s="33"/>
    </row>
    <row r="33" spans="1:19" s="14" customFormat="1" ht="15" customHeight="1">
      <c r="A33" s="83" t="s">
        <v>66</v>
      </c>
      <c r="B33" s="769">
        <f>IF(B31&lt;100%,0,IF(B31&lt;105%,0.5,IF(B31&lt;110%,0.7,1)))</f>
        <v>1</v>
      </c>
      <c r="C33" s="770"/>
      <c r="D33" s="770"/>
      <c r="E33" s="759"/>
      <c r="F33" s="769">
        <f>IF(F31&lt;100%,0,IF(F31&lt;105%,0.5,IF(F31&lt;110%,0.7,1)))</f>
        <v>0</v>
      </c>
      <c r="G33" s="770"/>
      <c r="H33" s="770"/>
      <c r="I33" s="759"/>
      <c r="J33" s="769">
        <f>IF(J31&lt;100%,0,IF(J31&lt;105%,0.5,IF(J31&lt;110%,0.7,1)))</f>
        <v>0.7</v>
      </c>
      <c r="K33" s="770"/>
      <c r="L33" s="770"/>
      <c r="M33" s="759"/>
      <c r="N33" s="769">
        <f>IF(N31&lt;100%,0,IF(N31&lt;105%,0.5,IF(N31&lt;110%,0.7,1)))</f>
        <v>0</v>
      </c>
      <c r="O33" s="770"/>
      <c r="P33" s="770"/>
      <c r="Q33" s="759"/>
      <c r="R33" s="136"/>
      <c r="S33" s="33"/>
    </row>
    <row r="34" spans="1:19" s="58" customFormat="1" ht="15" customHeight="1">
      <c r="A34" s="52" t="s">
        <v>64</v>
      </c>
      <c r="B34" s="771">
        <f>B33*B32</f>
        <v>4500</v>
      </c>
      <c r="C34" s="772"/>
      <c r="D34" s="772"/>
      <c r="E34" s="759"/>
      <c r="F34" s="771">
        <f>F33*F32</f>
        <v>0</v>
      </c>
      <c r="G34" s="772"/>
      <c r="H34" s="772"/>
      <c r="I34" s="759"/>
      <c r="J34" s="771">
        <f>J33*J32</f>
        <v>3150</v>
      </c>
      <c r="K34" s="772"/>
      <c r="L34" s="772"/>
      <c r="M34" s="759"/>
      <c r="N34" s="771">
        <f>N33*N32</f>
        <v>0</v>
      </c>
      <c r="O34" s="772"/>
      <c r="P34" s="772"/>
      <c r="Q34" s="759"/>
      <c r="R34" s="134">
        <f>SUM(B34:Q34)</f>
        <v>7650</v>
      </c>
    </row>
    <row r="35" spans="1:19" s="58" customFormat="1" ht="15" customHeight="1" thickBot="1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40"/>
    </row>
    <row r="36" spans="1:19" ht="13.8" thickBot="1">
      <c r="A36" s="471" t="s">
        <v>96</v>
      </c>
      <c r="B36" s="472" t="s">
        <v>97</v>
      </c>
      <c r="C36" s="472" t="s">
        <v>11</v>
      </c>
      <c r="D36" s="472" t="s">
        <v>12</v>
      </c>
      <c r="E36" s="400" t="s">
        <v>98</v>
      </c>
      <c r="F36" s="472" t="s">
        <v>7</v>
      </c>
      <c r="G36" s="472" t="s">
        <v>8</v>
      </c>
      <c r="H36" s="472" t="s">
        <v>9</v>
      </c>
      <c r="I36" s="400" t="s">
        <v>98</v>
      </c>
      <c r="J36" s="485" t="s">
        <v>4</v>
      </c>
      <c r="K36" s="444" t="s">
        <v>5</v>
      </c>
      <c r="L36" s="444" t="s">
        <v>6</v>
      </c>
      <c r="M36" s="400" t="s">
        <v>98</v>
      </c>
      <c r="N36" s="472" t="s">
        <v>1</v>
      </c>
      <c r="O36" s="472" t="s">
        <v>2</v>
      </c>
      <c r="P36" s="472" t="s">
        <v>3</v>
      </c>
      <c r="Q36" s="400" t="s">
        <v>98</v>
      </c>
      <c r="R36" s="400" t="s">
        <v>98</v>
      </c>
    </row>
    <row r="37" spans="1:19" ht="13.8" thickTop="1">
      <c r="A37" s="473" t="s">
        <v>99</v>
      </c>
      <c r="B37" s="159">
        <v>2</v>
      </c>
      <c r="C37" s="159">
        <v>1</v>
      </c>
      <c r="D37" s="159">
        <v>1</v>
      </c>
      <c r="E37" s="401">
        <f>SUM(B37:D37)</f>
        <v>4</v>
      </c>
      <c r="F37" s="618">
        <v>5</v>
      </c>
      <c r="G37" s="618">
        <v>0</v>
      </c>
      <c r="H37" s="618">
        <v>1</v>
      </c>
      <c r="I37" s="401">
        <f>SUM(F37:H37)</f>
        <v>6</v>
      </c>
      <c r="J37" s="608">
        <v>0</v>
      </c>
      <c r="K37" s="608">
        <v>1</v>
      </c>
      <c r="L37" s="608">
        <v>0</v>
      </c>
      <c r="M37" s="401">
        <f>SUM(J37:L37)</f>
        <v>1</v>
      </c>
      <c r="N37" s="578">
        <v>1</v>
      </c>
      <c r="O37" s="578">
        <v>3</v>
      </c>
      <c r="P37" s="578">
        <v>2</v>
      </c>
      <c r="Q37" s="401">
        <f>SUM(N37:P37)</f>
        <v>6</v>
      </c>
      <c r="R37" s="401">
        <f>M37+I37+E37+Q37</f>
        <v>17</v>
      </c>
      <c r="S37" s="65"/>
    </row>
    <row r="38" spans="1:19">
      <c r="A38" s="474" t="s">
        <v>100</v>
      </c>
      <c r="B38" s="160">
        <v>542</v>
      </c>
      <c r="C38" s="160">
        <v>548</v>
      </c>
      <c r="D38" s="160">
        <v>552</v>
      </c>
      <c r="E38" s="207"/>
      <c r="F38" s="616">
        <v>523</v>
      </c>
      <c r="G38" s="616">
        <v>525</v>
      </c>
      <c r="H38" s="616">
        <v>533</v>
      </c>
      <c r="I38" s="207"/>
      <c r="J38" s="607">
        <v>496</v>
      </c>
      <c r="K38" s="607">
        <v>504</v>
      </c>
      <c r="L38" s="607">
        <v>509</v>
      </c>
      <c r="M38" s="207"/>
      <c r="N38" s="568">
        <v>469</v>
      </c>
      <c r="O38" s="568">
        <v>484</v>
      </c>
      <c r="P38" s="568">
        <v>489</v>
      </c>
      <c r="Q38" s="207"/>
      <c r="R38" s="207"/>
      <c r="S38" s="65"/>
    </row>
    <row r="39" spans="1:19">
      <c r="A39" s="474" t="s">
        <v>101</v>
      </c>
      <c r="B39" s="160">
        <v>6</v>
      </c>
      <c r="C39" s="160">
        <v>1</v>
      </c>
      <c r="D39" s="160">
        <v>4</v>
      </c>
      <c r="E39" s="207"/>
      <c r="F39" s="616">
        <v>7</v>
      </c>
      <c r="G39" s="616">
        <v>6</v>
      </c>
      <c r="H39" s="616">
        <v>5</v>
      </c>
      <c r="I39" s="207"/>
      <c r="J39" s="607">
        <v>11</v>
      </c>
      <c r="K39" s="607">
        <v>12</v>
      </c>
      <c r="L39" s="607">
        <v>10</v>
      </c>
      <c r="M39" s="207"/>
      <c r="N39" s="568">
        <v>12</v>
      </c>
      <c r="O39" s="568">
        <v>11</v>
      </c>
      <c r="P39" s="568">
        <v>12</v>
      </c>
      <c r="Q39" s="207"/>
      <c r="R39" s="207"/>
      <c r="S39" s="65"/>
    </row>
    <row r="40" spans="1:19">
      <c r="A40" s="474" t="s">
        <v>135</v>
      </c>
      <c r="B40" s="160">
        <v>664</v>
      </c>
      <c r="C40" s="160">
        <v>660</v>
      </c>
      <c r="D40" s="160">
        <v>656</v>
      </c>
      <c r="E40" s="207"/>
      <c r="F40" s="616">
        <v>677</v>
      </c>
      <c r="G40" s="616">
        <v>676</v>
      </c>
      <c r="H40" s="616">
        <v>672</v>
      </c>
      <c r="I40" s="207"/>
      <c r="J40" s="607">
        <v>689</v>
      </c>
      <c r="K40" s="607">
        <v>685</v>
      </c>
      <c r="L40" s="607">
        <v>685</v>
      </c>
      <c r="M40" s="207"/>
      <c r="N40" s="568">
        <v>683</v>
      </c>
      <c r="O40" s="568">
        <v>675</v>
      </c>
      <c r="P40" s="568">
        <v>676</v>
      </c>
      <c r="Q40" s="207"/>
      <c r="R40" s="207"/>
      <c r="S40" s="65"/>
    </row>
    <row r="41" spans="1:19">
      <c r="A41" s="474" t="s">
        <v>102</v>
      </c>
      <c r="B41" s="475">
        <f t="shared" ref="B41:D41" si="8">SUM(B38:B40)</f>
        <v>1212</v>
      </c>
      <c r="C41" s="475">
        <f t="shared" si="8"/>
        <v>1209</v>
      </c>
      <c r="D41" s="475">
        <f t="shared" si="8"/>
        <v>1212</v>
      </c>
      <c r="E41" s="208"/>
      <c r="F41" s="627">
        <v>1207</v>
      </c>
      <c r="G41" s="627">
        <v>1207</v>
      </c>
      <c r="H41" s="627">
        <v>1210</v>
      </c>
      <c r="I41" s="208"/>
      <c r="J41" s="615">
        <v>1196</v>
      </c>
      <c r="K41" s="615">
        <v>1201</v>
      </c>
      <c r="L41" s="615">
        <v>1204</v>
      </c>
      <c r="M41" s="208"/>
      <c r="N41" s="606">
        <v>1164</v>
      </c>
      <c r="O41" s="606">
        <v>1170</v>
      </c>
      <c r="P41" s="606">
        <v>1177</v>
      </c>
      <c r="Q41" s="208"/>
      <c r="R41" s="208"/>
      <c r="S41" s="65"/>
    </row>
    <row r="42" spans="1:19" ht="13.8" thickBot="1">
      <c r="A42" s="476" t="s">
        <v>103</v>
      </c>
      <c r="B42" s="161">
        <v>4</v>
      </c>
      <c r="C42" s="161">
        <v>3</v>
      </c>
      <c r="D42" s="161">
        <v>4</v>
      </c>
      <c r="E42" s="401">
        <f t="shared" ref="E42:E43" si="9">SUM(B42:D42)</f>
        <v>11</v>
      </c>
      <c r="F42" s="620">
        <v>8</v>
      </c>
      <c r="G42" s="620">
        <v>2</v>
      </c>
      <c r="H42" s="620">
        <v>3</v>
      </c>
      <c r="I42" s="401">
        <f t="shared" ref="I42:I43" si="10">SUM(F42:H42)</f>
        <v>13</v>
      </c>
      <c r="J42" s="609">
        <v>3</v>
      </c>
      <c r="K42" s="609">
        <v>1</v>
      </c>
      <c r="L42" s="609">
        <v>7</v>
      </c>
      <c r="M42" s="401">
        <f t="shared" ref="M42:M43" si="11">SUM(J42:L42)</f>
        <v>11</v>
      </c>
      <c r="N42" s="600">
        <v>3</v>
      </c>
      <c r="O42" s="600">
        <v>5</v>
      </c>
      <c r="P42" s="600">
        <v>5</v>
      </c>
      <c r="Q42" s="401">
        <f t="shared" ref="Q42:Q43" si="12">SUM(N42:P42)</f>
        <v>13</v>
      </c>
      <c r="R42" s="401">
        <f>M42+I42+E42+Q42</f>
        <v>48</v>
      </c>
      <c r="S42" s="65"/>
    </row>
    <row r="43" spans="1:19" ht="13.8" thickTop="1">
      <c r="A43" s="477" t="s">
        <v>136</v>
      </c>
      <c r="B43" s="162">
        <v>16</v>
      </c>
      <c r="C43" s="162">
        <v>14</v>
      </c>
      <c r="D43" s="162">
        <v>17</v>
      </c>
      <c r="E43" s="401">
        <f t="shared" si="9"/>
        <v>47</v>
      </c>
      <c r="F43" s="622">
        <v>10</v>
      </c>
      <c r="G43" s="622">
        <v>15</v>
      </c>
      <c r="H43" s="622">
        <v>23</v>
      </c>
      <c r="I43" s="401">
        <f t="shared" si="10"/>
        <v>48</v>
      </c>
      <c r="J43" s="610">
        <v>9</v>
      </c>
      <c r="K43" s="610">
        <v>9</v>
      </c>
      <c r="L43" s="610">
        <v>5</v>
      </c>
      <c r="M43" s="401">
        <f t="shared" si="11"/>
        <v>23</v>
      </c>
      <c r="N43" s="601">
        <v>7</v>
      </c>
      <c r="O43" s="601">
        <v>17</v>
      </c>
      <c r="P43" s="601">
        <v>11</v>
      </c>
      <c r="Q43" s="401">
        <f t="shared" si="12"/>
        <v>35</v>
      </c>
      <c r="R43" s="401">
        <f>M43+I43+E43+Q43</f>
        <v>153</v>
      </c>
      <c r="S43" s="65"/>
    </row>
    <row r="44" spans="1:19">
      <c r="A44" s="474" t="s">
        <v>104</v>
      </c>
      <c r="B44" s="160">
        <v>3</v>
      </c>
      <c r="C44" s="160">
        <v>1</v>
      </c>
      <c r="D44" s="160">
        <v>2</v>
      </c>
      <c r="E44" s="209"/>
      <c r="F44" s="616">
        <v>4</v>
      </c>
      <c r="G44" s="616">
        <v>4</v>
      </c>
      <c r="H44" s="616">
        <v>2</v>
      </c>
      <c r="I44" s="209"/>
      <c r="J44" s="607">
        <v>3</v>
      </c>
      <c r="K44" s="607">
        <v>1</v>
      </c>
      <c r="L44" s="607">
        <v>1</v>
      </c>
      <c r="M44" s="209"/>
      <c r="N44" s="568">
        <v>5</v>
      </c>
      <c r="O44" s="568">
        <v>4</v>
      </c>
      <c r="P44" s="568">
        <v>1</v>
      </c>
      <c r="Q44" s="209"/>
      <c r="R44" s="209"/>
      <c r="S44" s="65"/>
    </row>
    <row r="45" spans="1:19">
      <c r="A45" s="474" t="s">
        <v>105</v>
      </c>
      <c r="B45" s="160">
        <v>11</v>
      </c>
      <c r="C45" s="160">
        <v>6</v>
      </c>
      <c r="D45" s="160">
        <v>9</v>
      </c>
      <c r="E45" s="401">
        <f t="shared" ref="E45:E49" si="13">SUM(B45:D45)</f>
        <v>26</v>
      </c>
      <c r="F45" s="616">
        <v>4</v>
      </c>
      <c r="G45" s="616">
        <v>7</v>
      </c>
      <c r="H45" s="616">
        <v>12</v>
      </c>
      <c r="I45" s="401">
        <f t="shared" ref="I45:I49" si="14">SUM(F45:H45)</f>
        <v>23</v>
      </c>
      <c r="J45" s="607">
        <v>5</v>
      </c>
      <c r="K45" s="607">
        <v>6</v>
      </c>
      <c r="L45" s="607">
        <v>1</v>
      </c>
      <c r="M45" s="401">
        <f t="shared" ref="M45:M49" si="15">SUM(J45:L45)</f>
        <v>12</v>
      </c>
      <c r="N45" s="568">
        <v>2</v>
      </c>
      <c r="O45" s="568">
        <v>10</v>
      </c>
      <c r="P45" s="568">
        <v>7</v>
      </c>
      <c r="Q45" s="401">
        <f t="shared" ref="Q45:Q49" si="16">SUM(N45:P45)</f>
        <v>19</v>
      </c>
      <c r="R45" s="401">
        <f>M45+I45+E45+Q45</f>
        <v>80</v>
      </c>
      <c r="S45" s="65"/>
    </row>
    <row r="46" spans="1:19" ht="13.8" thickBot="1">
      <c r="A46" s="478" t="s">
        <v>106</v>
      </c>
      <c r="B46" s="163">
        <v>6</v>
      </c>
      <c r="C46" s="163">
        <v>10</v>
      </c>
      <c r="D46" s="163">
        <v>7</v>
      </c>
      <c r="E46" s="401">
        <f t="shared" si="13"/>
        <v>23</v>
      </c>
      <c r="F46" s="623">
        <v>3</v>
      </c>
      <c r="G46" s="623">
        <v>8</v>
      </c>
      <c r="H46" s="623">
        <v>11</v>
      </c>
      <c r="I46" s="401">
        <f t="shared" si="14"/>
        <v>22</v>
      </c>
      <c r="J46" s="611">
        <v>2</v>
      </c>
      <c r="K46" s="611">
        <v>5</v>
      </c>
      <c r="L46" s="611">
        <v>4</v>
      </c>
      <c r="M46" s="401">
        <f t="shared" si="15"/>
        <v>11</v>
      </c>
      <c r="N46" s="602">
        <v>1</v>
      </c>
      <c r="O46" s="602">
        <v>7</v>
      </c>
      <c r="P46" s="602">
        <v>7</v>
      </c>
      <c r="Q46" s="401">
        <f t="shared" si="16"/>
        <v>15</v>
      </c>
      <c r="R46" s="401">
        <f>M46+I46+E46+Q46</f>
        <v>71</v>
      </c>
      <c r="S46" s="65"/>
    </row>
    <row r="47" spans="1:19" ht="13.8" thickTop="1">
      <c r="A47" s="473" t="s">
        <v>193</v>
      </c>
      <c r="B47" s="159">
        <v>6</v>
      </c>
      <c r="C47" s="159">
        <v>3</v>
      </c>
      <c r="D47" s="159">
        <v>5</v>
      </c>
      <c r="E47" s="401">
        <f t="shared" si="13"/>
        <v>14</v>
      </c>
      <c r="F47" s="618">
        <v>6</v>
      </c>
      <c r="G47" s="618">
        <v>1</v>
      </c>
      <c r="H47" s="618">
        <v>5</v>
      </c>
      <c r="I47" s="401">
        <f t="shared" si="14"/>
        <v>12</v>
      </c>
      <c r="J47" s="608">
        <v>3</v>
      </c>
      <c r="K47" s="608">
        <v>3</v>
      </c>
      <c r="L47" s="608">
        <v>5</v>
      </c>
      <c r="M47" s="401">
        <f t="shared" si="15"/>
        <v>11</v>
      </c>
      <c r="N47" s="578">
        <v>22</v>
      </c>
      <c r="O47" s="578">
        <v>11</v>
      </c>
      <c r="P47" s="578">
        <v>9</v>
      </c>
      <c r="Q47" s="401">
        <f t="shared" si="16"/>
        <v>42</v>
      </c>
      <c r="R47" s="401">
        <f>M47+I47+E47+Q47</f>
        <v>79</v>
      </c>
      <c r="S47" s="65"/>
    </row>
    <row r="48" spans="1:19" ht="13.8" thickBot="1">
      <c r="A48" s="476" t="s">
        <v>107</v>
      </c>
      <c r="B48" s="161">
        <v>0</v>
      </c>
      <c r="C48" s="161">
        <v>0</v>
      </c>
      <c r="D48" s="161">
        <v>0</v>
      </c>
      <c r="E48" s="401">
        <f t="shared" si="13"/>
        <v>0</v>
      </c>
      <c r="F48" s="620">
        <v>0</v>
      </c>
      <c r="G48" s="620">
        <v>0</v>
      </c>
      <c r="H48" s="620">
        <v>0</v>
      </c>
      <c r="I48" s="401">
        <f t="shared" si="14"/>
        <v>0</v>
      </c>
      <c r="J48" s="609">
        <v>0</v>
      </c>
      <c r="K48" s="609">
        <v>0</v>
      </c>
      <c r="L48" s="609">
        <v>0</v>
      </c>
      <c r="M48" s="401">
        <f t="shared" si="15"/>
        <v>0</v>
      </c>
      <c r="N48" s="600">
        <v>0</v>
      </c>
      <c r="O48" s="600">
        <v>0</v>
      </c>
      <c r="P48" s="600">
        <v>0</v>
      </c>
      <c r="Q48" s="401">
        <f t="shared" si="16"/>
        <v>0</v>
      </c>
      <c r="R48" s="401">
        <f>M48+I48+E48+Q48</f>
        <v>0</v>
      </c>
      <c r="S48" s="65"/>
    </row>
    <row r="49" spans="1:19" ht="14.4" thickTop="1" thickBot="1">
      <c r="A49" s="476" t="s">
        <v>108</v>
      </c>
      <c r="B49" s="161">
        <v>0</v>
      </c>
      <c r="C49" s="161">
        <v>0</v>
      </c>
      <c r="D49" s="161">
        <v>0</v>
      </c>
      <c r="E49" s="401">
        <f t="shared" si="13"/>
        <v>0</v>
      </c>
      <c r="F49" s="620">
        <v>0</v>
      </c>
      <c r="G49" s="620">
        <v>0</v>
      </c>
      <c r="H49" s="620">
        <v>0</v>
      </c>
      <c r="I49" s="401">
        <f t="shared" si="14"/>
        <v>0</v>
      </c>
      <c r="J49" s="609">
        <v>0</v>
      </c>
      <c r="K49" s="609">
        <v>0</v>
      </c>
      <c r="L49" s="609">
        <v>0</v>
      </c>
      <c r="M49" s="401">
        <f t="shared" si="15"/>
        <v>0</v>
      </c>
      <c r="N49" s="600">
        <v>0</v>
      </c>
      <c r="O49" s="600">
        <v>0</v>
      </c>
      <c r="P49" s="600">
        <v>0</v>
      </c>
      <c r="Q49" s="401">
        <f t="shared" si="16"/>
        <v>0</v>
      </c>
      <c r="R49" s="401">
        <f>M49+I49+E49+Q49</f>
        <v>0</v>
      </c>
      <c r="S49" s="65"/>
    </row>
    <row r="50" spans="1:19" ht="13.8" thickTop="1">
      <c r="A50" s="479" t="s">
        <v>109</v>
      </c>
      <c r="B50" s="166">
        <v>5</v>
      </c>
      <c r="C50" s="166">
        <v>3</v>
      </c>
      <c r="D50" s="166">
        <v>11</v>
      </c>
      <c r="E50" s="158"/>
      <c r="F50" s="624">
        <v>6</v>
      </c>
      <c r="G50" s="624">
        <v>8</v>
      </c>
      <c r="H50" s="619">
        <v>6</v>
      </c>
      <c r="I50" s="158"/>
      <c r="J50" s="612">
        <v>5</v>
      </c>
      <c r="K50" s="612">
        <v>10</v>
      </c>
      <c r="L50" s="612">
        <v>6</v>
      </c>
      <c r="M50" s="158"/>
      <c r="N50" s="603">
        <v>11</v>
      </c>
      <c r="O50" s="603">
        <v>10</v>
      </c>
      <c r="P50" s="603">
        <v>5</v>
      </c>
      <c r="Q50" s="158"/>
      <c r="R50" s="158"/>
      <c r="S50" s="65"/>
    </row>
    <row r="51" spans="1:19">
      <c r="A51" s="480" t="s">
        <v>110</v>
      </c>
      <c r="B51" s="167">
        <v>7</v>
      </c>
      <c r="C51" s="167">
        <v>4</v>
      </c>
      <c r="D51" s="167">
        <v>11</v>
      </c>
      <c r="E51" s="401">
        <f t="shared" ref="E51:E53" si="17">SUM(B51:D51)</f>
        <v>22</v>
      </c>
      <c r="F51" s="625">
        <v>8</v>
      </c>
      <c r="G51" s="625">
        <v>12</v>
      </c>
      <c r="H51" s="617">
        <v>8</v>
      </c>
      <c r="I51" s="401">
        <f t="shared" ref="I51:I53" si="18">SUM(F51:H51)</f>
        <v>28</v>
      </c>
      <c r="J51" s="613">
        <v>6</v>
      </c>
      <c r="K51" s="613">
        <v>4</v>
      </c>
      <c r="L51" s="613">
        <v>14</v>
      </c>
      <c r="M51" s="401">
        <f t="shared" ref="M51:M53" si="19">SUM(J51:L51)</f>
        <v>24</v>
      </c>
      <c r="N51" s="604">
        <v>9</v>
      </c>
      <c r="O51" s="604">
        <v>12</v>
      </c>
      <c r="P51" s="604">
        <v>6</v>
      </c>
      <c r="Q51" s="401">
        <f t="shared" ref="Q51:Q53" si="20">SUM(N51:P51)</f>
        <v>27</v>
      </c>
      <c r="R51" s="401">
        <f>M51+I51+E51+Q51</f>
        <v>101</v>
      </c>
      <c r="S51" s="65"/>
    </row>
    <row r="52" spans="1:19">
      <c r="A52" s="480" t="s">
        <v>111</v>
      </c>
      <c r="B52" s="167">
        <v>4</v>
      </c>
      <c r="C52" s="463">
        <v>1</v>
      </c>
      <c r="D52" s="465">
        <v>4</v>
      </c>
      <c r="E52" s="401">
        <f t="shared" si="17"/>
        <v>9</v>
      </c>
      <c r="F52" s="625">
        <v>5</v>
      </c>
      <c r="G52" s="625">
        <v>5</v>
      </c>
      <c r="H52" s="617">
        <v>6</v>
      </c>
      <c r="I52" s="401">
        <f t="shared" si="18"/>
        <v>16</v>
      </c>
      <c r="J52" s="613">
        <v>6</v>
      </c>
      <c r="K52" s="613">
        <v>2</v>
      </c>
      <c r="L52" s="613">
        <v>5</v>
      </c>
      <c r="M52" s="401">
        <f t="shared" si="19"/>
        <v>13</v>
      </c>
      <c r="N52" s="604">
        <v>1</v>
      </c>
      <c r="O52" s="604">
        <v>6</v>
      </c>
      <c r="P52" s="604">
        <v>4</v>
      </c>
      <c r="Q52" s="401">
        <f t="shared" si="20"/>
        <v>11</v>
      </c>
      <c r="R52" s="401">
        <f>M52+I52+E52+Q52</f>
        <v>49</v>
      </c>
      <c r="S52" s="65"/>
    </row>
    <row r="53" spans="1:19">
      <c r="A53" s="480" t="s">
        <v>112</v>
      </c>
      <c r="B53" s="167">
        <v>5</v>
      </c>
      <c r="C53" s="463">
        <v>8</v>
      </c>
      <c r="D53" s="465">
        <v>0</v>
      </c>
      <c r="E53" s="401">
        <f t="shared" si="17"/>
        <v>13</v>
      </c>
      <c r="F53" s="625">
        <v>4</v>
      </c>
      <c r="G53" s="625">
        <v>5</v>
      </c>
      <c r="H53" s="617">
        <v>4</v>
      </c>
      <c r="I53" s="401">
        <f t="shared" si="18"/>
        <v>13</v>
      </c>
      <c r="J53" s="613">
        <v>2</v>
      </c>
      <c r="K53" s="613">
        <v>1</v>
      </c>
      <c r="L53" s="613">
        <v>10</v>
      </c>
      <c r="M53" s="401">
        <f t="shared" si="19"/>
        <v>13</v>
      </c>
      <c r="N53" s="604">
        <v>7</v>
      </c>
      <c r="O53" s="604">
        <v>7</v>
      </c>
      <c r="P53" s="604">
        <v>6</v>
      </c>
      <c r="Q53" s="401">
        <f t="shared" si="20"/>
        <v>20</v>
      </c>
      <c r="R53" s="401">
        <f>M53+I53+E53+Q53</f>
        <v>59</v>
      </c>
      <c r="S53" s="65"/>
    </row>
    <row r="54" spans="1:19" ht="13.8" thickBot="1">
      <c r="A54" s="481" t="s">
        <v>113</v>
      </c>
      <c r="B54" s="414">
        <v>3</v>
      </c>
      <c r="C54" s="464">
        <v>1</v>
      </c>
      <c r="D54" s="466">
        <v>1</v>
      </c>
      <c r="E54" s="210"/>
      <c r="F54" s="626">
        <v>3</v>
      </c>
      <c r="G54" s="626">
        <v>3</v>
      </c>
      <c r="H54" s="621">
        <v>3</v>
      </c>
      <c r="I54" s="210"/>
      <c r="J54" s="614">
        <v>4</v>
      </c>
      <c r="K54" s="614">
        <v>4</v>
      </c>
      <c r="L54" s="614">
        <v>4</v>
      </c>
      <c r="M54" s="210"/>
      <c r="N54" s="605">
        <v>3</v>
      </c>
      <c r="O54" s="605">
        <v>3</v>
      </c>
      <c r="P54" s="605">
        <v>4</v>
      </c>
      <c r="Q54" s="210"/>
      <c r="R54" s="210"/>
      <c r="S54" s="65"/>
    </row>
    <row r="55" spans="1:19" ht="13.8" thickTop="1">
      <c r="A55"/>
      <c r="B55" s="65"/>
      <c r="C55" s="65"/>
      <c r="D55" s="164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</row>
  </sheetData>
  <mergeCells count="28">
    <mergeCell ref="B32:E32"/>
    <mergeCell ref="B33:E33"/>
    <mergeCell ref="B34:E34"/>
    <mergeCell ref="N33:Q33"/>
    <mergeCell ref="N32:Q32"/>
    <mergeCell ref="N34:Q34"/>
    <mergeCell ref="F32:I32"/>
    <mergeCell ref="F33:I33"/>
    <mergeCell ref="F34:I34"/>
    <mergeCell ref="J34:M34"/>
    <mergeCell ref="J32:M32"/>
    <mergeCell ref="J33:M33"/>
    <mergeCell ref="B1:D1"/>
    <mergeCell ref="B29:E29"/>
    <mergeCell ref="J29:M29"/>
    <mergeCell ref="F29:I29"/>
    <mergeCell ref="B31:E31"/>
    <mergeCell ref="B30:E30"/>
    <mergeCell ref="N1:P1"/>
    <mergeCell ref="N29:Q29"/>
    <mergeCell ref="J1:L1"/>
    <mergeCell ref="F30:I30"/>
    <mergeCell ref="F31:I31"/>
    <mergeCell ref="F1:H1"/>
    <mergeCell ref="N30:Q30"/>
    <mergeCell ref="N31:Q31"/>
    <mergeCell ref="J30:M30"/>
    <mergeCell ref="J31:M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"/>
  <sheetViews>
    <sheetView topLeftCell="B1" zoomScale="85" zoomScaleNormal="85" workbookViewId="0">
      <selection activeCell="R11" sqref="R11"/>
    </sheetView>
  </sheetViews>
  <sheetFormatPr defaultColWidth="9.109375" defaultRowHeight="13.2"/>
  <cols>
    <col min="1" max="1" width="39" style="141" customWidth="1"/>
    <col min="2" max="2" width="12.109375" style="142" customWidth="1"/>
    <col min="3" max="3" width="13" style="142" customWidth="1"/>
    <col min="4" max="5" width="12.6640625" style="142" customWidth="1"/>
    <col min="6" max="8" width="13.109375" style="142" customWidth="1"/>
    <col min="9" max="9" width="12.33203125" style="142" customWidth="1"/>
    <col min="10" max="10" width="11.44140625" style="142" customWidth="1"/>
    <col min="11" max="11" width="13" style="142" customWidth="1"/>
    <col min="12" max="12" width="15" style="142" customWidth="1"/>
    <col min="13" max="16" width="12" style="142" customWidth="1"/>
    <col min="17" max="17" width="13.88671875" style="142" customWidth="1"/>
    <col min="18" max="18" width="13" style="142" customWidth="1"/>
    <col min="19" max="19" width="9.109375" style="142"/>
    <col min="20" max="25" width="7.44140625" style="153" customWidth="1"/>
    <col min="26" max="27" width="9.109375" style="144"/>
    <col min="28" max="16384" width="9.109375" style="13"/>
  </cols>
  <sheetData>
    <row r="1" spans="1:27" ht="15" customHeight="1">
      <c r="A1" s="31" t="s">
        <v>71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757" t="s">
        <v>95</v>
      </c>
      <c r="N1" s="758"/>
      <c r="O1" s="758"/>
      <c r="P1" s="758"/>
      <c r="Q1" s="175"/>
      <c r="R1" s="176"/>
      <c r="T1" s="143"/>
      <c r="U1" s="143"/>
      <c r="V1" s="143"/>
      <c r="W1" s="143"/>
      <c r="X1" s="143"/>
      <c r="Y1" s="143"/>
    </row>
    <row r="2" spans="1:27" ht="15" customHeight="1">
      <c r="A2" s="106" t="s">
        <v>0</v>
      </c>
      <c r="B2" s="107" t="s">
        <v>10</v>
      </c>
      <c r="C2" s="107" t="s">
        <v>11</v>
      </c>
      <c r="D2" s="107" t="s">
        <v>12</v>
      </c>
      <c r="E2" s="107"/>
      <c r="F2" s="107" t="s">
        <v>7</v>
      </c>
      <c r="G2" s="107" t="s">
        <v>8</v>
      </c>
      <c r="H2" s="107" t="s">
        <v>9</v>
      </c>
      <c r="I2" s="107"/>
      <c r="J2" s="107" t="s">
        <v>4</v>
      </c>
      <c r="K2" s="107" t="s">
        <v>5</v>
      </c>
      <c r="L2" s="107" t="s">
        <v>6</v>
      </c>
      <c r="M2" s="107" t="s">
        <v>1</v>
      </c>
      <c r="N2" s="107" t="s">
        <v>2</v>
      </c>
      <c r="O2" s="107" t="s">
        <v>3</v>
      </c>
      <c r="P2" s="183" t="s">
        <v>115</v>
      </c>
      <c r="Q2" s="107"/>
      <c r="R2" s="107" t="s">
        <v>13</v>
      </c>
      <c r="S2" s="145"/>
      <c r="T2" s="144"/>
      <c r="U2" s="144"/>
      <c r="V2" s="144"/>
      <c r="W2" s="144"/>
      <c r="X2" s="144"/>
      <c r="Y2" s="144"/>
    </row>
    <row r="3" spans="1:27" ht="15" customHeight="1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45"/>
      <c r="T3" s="144"/>
      <c r="U3" s="144"/>
      <c r="V3" s="144"/>
      <c r="W3" s="144"/>
      <c r="X3" s="144"/>
      <c r="Y3" s="144"/>
    </row>
    <row r="4" spans="1:27" ht="15" customHeight="1">
      <c r="A4" s="108" t="s">
        <v>36</v>
      </c>
      <c r="B4" s="155">
        <f>'Target 2021'!L4</f>
        <v>34833.333333333328</v>
      </c>
      <c r="C4" s="155">
        <f>'Target 2021'!M4</f>
        <v>38500</v>
      </c>
      <c r="D4" s="155">
        <f>'Target 2021'!N4</f>
        <v>36666.666666666664</v>
      </c>
      <c r="E4" s="155"/>
      <c r="F4" s="155">
        <f>'Target 2021'!I4</f>
        <v>31950</v>
      </c>
      <c r="G4" s="155">
        <f>'Target 2021'!J4</f>
        <v>35500</v>
      </c>
      <c r="H4" s="155">
        <f>'Target 2021'!K4</f>
        <v>39050</v>
      </c>
      <c r="I4" s="368">
        <f>SUM(F4:H4)</f>
        <v>106500</v>
      </c>
      <c r="J4" s="155">
        <f>'Target 2021'!F4</f>
        <v>32100</v>
      </c>
      <c r="K4" s="155">
        <f>'Target 2021'!G4</f>
        <v>35666.666666666664</v>
      </c>
      <c r="L4" s="155">
        <f>'Target 2021'!H4</f>
        <v>39233.333333333336</v>
      </c>
      <c r="M4" s="155">
        <f>'Target 2021'!C4</f>
        <v>36000</v>
      </c>
      <c r="N4" s="155">
        <f>'Target 2021'!D4</f>
        <v>40000</v>
      </c>
      <c r="O4" s="155">
        <f>'Target 2021'!E4</f>
        <v>44000</v>
      </c>
      <c r="P4" s="184">
        <f>SUM(M4:O4)</f>
        <v>120000</v>
      </c>
      <c r="Q4" s="368">
        <f>SUM(J4:L4)</f>
        <v>107000</v>
      </c>
      <c r="R4" s="435">
        <f>M4+N4+O4+J4+K4+L4+F4+G4+H4+B4+C4+D4</f>
        <v>443500</v>
      </c>
      <c r="S4" s="145"/>
      <c r="T4" s="144"/>
      <c r="U4" s="144"/>
      <c r="V4" s="144"/>
      <c r="W4" s="144"/>
      <c r="X4" s="144"/>
      <c r="Y4" s="144"/>
    </row>
    <row r="5" spans="1:27" ht="15" customHeight="1">
      <c r="A5" s="110" t="s">
        <v>35</v>
      </c>
      <c r="B5" s="85">
        <f>B4</f>
        <v>34833.333333333328</v>
      </c>
      <c r="C5" s="85">
        <f>C4+B5</f>
        <v>73333.333333333328</v>
      </c>
      <c r="D5" s="85">
        <f>D4+C5</f>
        <v>110000</v>
      </c>
      <c r="E5" s="85"/>
      <c r="F5" s="85">
        <f>F4</f>
        <v>31950</v>
      </c>
      <c r="G5" s="85">
        <f>G4+F5</f>
        <v>67450</v>
      </c>
      <c r="H5" s="85">
        <f>H4+G5</f>
        <v>106500</v>
      </c>
      <c r="I5" s="85"/>
      <c r="J5" s="85">
        <f>J4</f>
        <v>32100</v>
      </c>
      <c r="K5" s="85">
        <f>K4+J5</f>
        <v>67766.666666666657</v>
      </c>
      <c r="L5" s="85">
        <f>L4+K5</f>
        <v>107000</v>
      </c>
      <c r="M5" s="85">
        <f>M4</f>
        <v>36000</v>
      </c>
      <c r="N5" s="85">
        <f>N4+M5</f>
        <v>76000</v>
      </c>
      <c r="O5" s="85">
        <f>O4+N5</f>
        <v>120000</v>
      </c>
      <c r="P5" s="85"/>
      <c r="Q5" s="85"/>
      <c r="R5" s="434">
        <f>R6/R4</f>
        <v>0.77776450620067639</v>
      </c>
      <c r="S5" s="145"/>
      <c r="T5" s="144"/>
      <c r="U5" s="144"/>
      <c r="V5" s="144"/>
      <c r="W5" s="144"/>
      <c r="X5" s="144"/>
      <c r="Y5" s="144"/>
    </row>
    <row r="6" spans="1:27" ht="15" customHeight="1">
      <c r="A6" s="112" t="s">
        <v>37</v>
      </c>
      <c r="B6" s="28">
        <f>SUMIF(X!A:A,$A$1,X!I:I)</f>
        <v>28885.0039</v>
      </c>
      <c r="C6" s="28">
        <f>SUMIF(XI!A:A,$A$1,XI!I:I)</f>
        <v>21640.978500000001</v>
      </c>
      <c r="D6" s="28">
        <f>SUMIF(XII!A:A,$A$1,XII!I:I)</f>
        <v>55940.226600000002</v>
      </c>
      <c r="E6" s="28"/>
      <c r="F6" s="28">
        <f>SUMIF(VII!A:A,$A$1,VII!I:I)</f>
        <v>23588.777300000002</v>
      </c>
      <c r="G6" s="28">
        <f>SUMIF(VIII!A:A,$A$1,VIII!I:I)</f>
        <v>31016.722699999998</v>
      </c>
      <c r="H6" s="28">
        <f>SUMIF(IX!A:A,$A$1,IX!I:I)</f>
        <v>17085.273399999998</v>
      </c>
      <c r="I6" s="28"/>
      <c r="J6" s="28">
        <f>SUMIF(IV!A:A,$A$1,IV!I:I)</f>
        <v>20627.724600000001</v>
      </c>
      <c r="K6" s="28">
        <f>SUMIF(V!A:A,$A$1,V!I:I)</f>
        <v>22153.710899999998</v>
      </c>
      <c r="L6" s="28">
        <f>SUMIF(VI!A:A,$A$1,VI!I:I)</f>
        <v>34007.382799999999</v>
      </c>
      <c r="M6" s="86">
        <f>SUMIF(I!A:A,$A$1,I!I:I)</f>
        <v>26507.623</v>
      </c>
      <c r="N6" s="214">
        <f>SUMIF(II!A:A,$A$1,II!I:I)</f>
        <v>29745.587899999999</v>
      </c>
      <c r="O6" s="214">
        <f>SUMIF(III!A:A,$A$1,III!I:I)</f>
        <v>33739.546900000001</v>
      </c>
      <c r="P6" s="184">
        <f>SUM(M6:O6)</f>
        <v>89992.757799999992</v>
      </c>
      <c r="Q6" s="28"/>
      <c r="R6" s="113">
        <f>M6+N6+O6+J6+K6+L6+F6+G6+H6+B6+C6+D6</f>
        <v>344938.55849999998</v>
      </c>
      <c r="S6" s="145"/>
      <c r="T6" s="144"/>
      <c r="U6" s="144"/>
      <c r="V6" s="144"/>
      <c r="W6" s="144"/>
      <c r="X6" s="144"/>
      <c r="Y6" s="144"/>
    </row>
    <row r="7" spans="1:27" ht="15" customHeight="1">
      <c r="A7" s="110" t="s">
        <v>38</v>
      </c>
      <c r="B7" s="85">
        <f>B6</f>
        <v>28885.0039</v>
      </c>
      <c r="C7" s="85">
        <f>C6+B7</f>
        <v>50525.982400000001</v>
      </c>
      <c r="D7" s="85">
        <f>D6+C7</f>
        <v>106466.209</v>
      </c>
      <c r="E7" s="85"/>
      <c r="F7" s="85">
        <f>F6</f>
        <v>23588.777300000002</v>
      </c>
      <c r="G7" s="85">
        <f>G6+F7</f>
        <v>54605.5</v>
      </c>
      <c r="H7" s="85">
        <f>H6+G7</f>
        <v>71690.773400000005</v>
      </c>
      <c r="I7" s="85"/>
      <c r="J7" s="85">
        <f>J6</f>
        <v>20627.724600000001</v>
      </c>
      <c r="K7" s="85">
        <f>K6+J7</f>
        <v>42781.4355</v>
      </c>
      <c r="L7" s="85">
        <f>L6+K7</f>
        <v>76788.818299999999</v>
      </c>
      <c r="M7" s="85">
        <f>M6</f>
        <v>26507.623</v>
      </c>
      <c r="N7" s="85">
        <f>N6+M7</f>
        <v>56253.210899999998</v>
      </c>
      <c r="O7" s="85">
        <f>O6+N7</f>
        <v>89992.757799999992</v>
      </c>
      <c r="P7" s="85"/>
      <c r="Q7" s="85"/>
      <c r="R7" s="111"/>
      <c r="S7" s="145"/>
      <c r="T7" s="144"/>
      <c r="U7" s="144"/>
      <c r="V7" s="144"/>
      <c r="W7" s="144"/>
      <c r="X7" s="144"/>
      <c r="Y7" s="144"/>
    </row>
    <row r="8" spans="1:27" ht="15" customHeight="1">
      <c r="A8" s="114" t="s">
        <v>39</v>
      </c>
      <c r="B8" s="87">
        <f t="shared" ref="B8:D9" si="0">B6/B4</f>
        <v>0.82923456172248811</v>
      </c>
      <c r="C8" s="87">
        <f t="shared" si="0"/>
        <v>0.56210333766233767</v>
      </c>
      <c r="D8" s="87">
        <f t="shared" si="0"/>
        <v>1.5256425436363639</v>
      </c>
      <c r="E8" s="87"/>
      <c r="F8" s="87">
        <f t="shared" ref="F8:H9" si="1">F6/F4</f>
        <v>0.73830288888888895</v>
      </c>
      <c r="G8" s="87">
        <f t="shared" si="1"/>
        <v>0.87371049859154926</v>
      </c>
      <c r="H8" s="87">
        <f t="shared" si="1"/>
        <v>0.43752300640204861</v>
      </c>
      <c r="I8" s="87"/>
      <c r="J8" s="87">
        <f t="shared" ref="J8:L9" si="2">J6/J4</f>
        <v>0.64260824299065422</v>
      </c>
      <c r="K8" s="87">
        <f t="shared" si="2"/>
        <v>0.62113208130841124</v>
      </c>
      <c r="L8" s="87">
        <f t="shared" si="2"/>
        <v>0.86679820220900583</v>
      </c>
      <c r="M8" s="87">
        <f t="shared" ref="M8:O9" si="3">M6/M4</f>
        <v>0.73632286111111112</v>
      </c>
      <c r="N8" s="87">
        <f t="shared" si="3"/>
        <v>0.74363969749999992</v>
      </c>
      <c r="O8" s="87">
        <f t="shared" si="3"/>
        <v>0.76680788409090916</v>
      </c>
      <c r="P8" s="87"/>
      <c r="Q8" s="87"/>
      <c r="R8" s="115"/>
      <c r="S8" s="145"/>
      <c r="T8" s="144"/>
      <c r="U8" s="144"/>
      <c r="V8" s="144"/>
      <c r="W8" s="144"/>
      <c r="X8" s="144"/>
      <c r="Y8" s="144"/>
    </row>
    <row r="9" spans="1:27" s="15" customFormat="1" ht="15" customHeight="1">
      <c r="A9" s="114" t="s">
        <v>40</v>
      </c>
      <c r="B9" s="87">
        <f t="shared" si="0"/>
        <v>0.82923456172248811</v>
      </c>
      <c r="C9" s="87">
        <f t="shared" si="0"/>
        <v>0.68899066909090911</v>
      </c>
      <c r="D9" s="87">
        <f t="shared" si="0"/>
        <v>0.96787462727272733</v>
      </c>
      <c r="E9" s="87"/>
      <c r="F9" s="87">
        <f t="shared" si="1"/>
        <v>0.73830288888888895</v>
      </c>
      <c r="G9" s="87">
        <f t="shared" si="1"/>
        <v>0.80957005189028908</v>
      </c>
      <c r="H9" s="87">
        <f t="shared" si="1"/>
        <v>0.67315280187793436</v>
      </c>
      <c r="I9" s="87"/>
      <c r="J9" s="87">
        <f t="shared" si="2"/>
        <v>0.64260824299065422</v>
      </c>
      <c r="K9" s="87">
        <f t="shared" si="2"/>
        <v>0.63130500000000012</v>
      </c>
      <c r="L9" s="87">
        <f t="shared" si="2"/>
        <v>0.71765250747663556</v>
      </c>
      <c r="M9" s="87">
        <f t="shared" si="3"/>
        <v>0.73632286111111112</v>
      </c>
      <c r="N9" s="87">
        <f t="shared" si="3"/>
        <v>0.74017382763157891</v>
      </c>
      <c r="O9" s="87">
        <f t="shared" si="3"/>
        <v>0.74993964833333326</v>
      </c>
      <c r="P9" s="87"/>
      <c r="Q9" s="87"/>
      <c r="R9" s="116"/>
      <c r="S9" s="146"/>
      <c r="T9" s="147"/>
      <c r="U9" s="147"/>
      <c r="V9" s="147"/>
      <c r="W9" s="147"/>
      <c r="X9" s="147"/>
      <c r="Y9" s="147"/>
      <c r="Z9" s="147"/>
      <c r="AA9" s="147"/>
    </row>
    <row r="10" spans="1:27" s="23" customFormat="1" ht="15" customHeight="1">
      <c r="A10" s="110" t="s">
        <v>48</v>
      </c>
      <c r="B10" s="85">
        <f>B7-B5</f>
        <v>-5948.3294333333288</v>
      </c>
      <c r="C10" s="85">
        <f>C7-C5</f>
        <v>-22807.350933333328</v>
      </c>
      <c r="D10" s="85">
        <f>D7-D5</f>
        <v>-3533.7909999999974</v>
      </c>
      <c r="E10" s="85"/>
      <c r="F10" s="85">
        <f>F7-F5</f>
        <v>-8361.2226999999984</v>
      </c>
      <c r="G10" s="85">
        <f>G7-G5</f>
        <v>-12844.5</v>
      </c>
      <c r="H10" s="85">
        <f>H7-H5</f>
        <v>-34809.226599999995</v>
      </c>
      <c r="I10" s="85"/>
      <c r="J10" s="85">
        <f t="shared" ref="J10:O10" si="4">J7-J5</f>
        <v>-11472.275399999999</v>
      </c>
      <c r="K10" s="85">
        <f t="shared" si="4"/>
        <v>-24985.231166666657</v>
      </c>
      <c r="L10" s="85">
        <f t="shared" si="4"/>
        <v>-30211.181700000001</v>
      </c>
      <c r="M10" s="85">
        <f t="shared" si="4"/>
        <v>-9492.3770000000004</v>
      </c>
      <c r="N10" s="85">
        <f t="shared" si="4"/>
        <v>-19746.789100000002</v>
      </c>
      <c r="O10" s="85">
        <f t="shared" si="4"/>
        <v>-30007.242200000008</v>
      </c>
      <c r="P10" s="85"/>
      <c r="Q10" s="85"/>
      <c r="R10" s="117"/>
      <c r="S10" s="148"/>
      <c r="T10" s="149"/>
      <c r="U10" s="149"/>
      <c r="V10" s="149"/>
      <c r="W10" s="149"/>
      <c r="X10" s="149"/>
      <c r="Y10" s="149"/>
      <c r="Z10" s="149"/>
      <c r="AA10" s="149"/>
    </row>
    <row r="11" spans="1:27" ht="15" customHeight="1">
      <c r="A11" s="112" t="s">
        <v>217</v>
      </c>
      <c r="B11" s="28">
        <f>SUMIF(X!A:A,$A$1,X!G:G)</f>
        <v>109943.28909999999</v>
      </c>
      <c r="C11" s="28">
        <f>SUMIF(XI!A:A,$A$1,XI!G:G)</f>
        <v>73362.039099999995</v>
      </c>
      <c r="D11" s="28">
        <f>SUMIF(XII!A:A,$A$1,XII!G:G)</f>
        <v>173449.5625</v>
      </c>
      <c r="E11" s="28"/>
      <c r="F11" s="28">
        <f>SUMIF(VII!A:A,$A$1,VII!G:G)</f>
        <v>82455.609400000001</v>
      </c>
      <c r="G11" s="28">
        <f>SUMIF(VIII!A:A,$A$1,VIII!G:G)</f>
        <v>99166.570300000007</v>
      </c>
      <c r="H11" s="28">
        <f>SUMIF(IX!A:A,$A$1,IX!G:G)</f>
        <v>62456.171900000001</v>
      </c>
      <c r="I11" s="28"/>
      <c r="J11" s="28">
        <f>SUMIF(IV!A:A,$A$1,IV!G:G)</f>
        <v>68708.820300000007</v>
      </c>
      <c r="K11" s="28">
        <f>SUMIF(V!A:A,$A$1,V!G:G)</f>
        <v>89520.273400000005</v>
      </c>
      <c r="L11" s="28">
        <f>SUMIF(VI!A:A,$A$1,VI!G:G)</f>
        <v>95160.406300000002</v>
      </c>
      <c r="M11" s="215">
        <f>SUMIF(I!A:A,$A$1,I!G:G)</f>
        <v>83877.382800000007</v>
      </c>
      <c r="N11" s="214">
        <f>SUMIF(II!A:A,$A$1,II!G:G)</f>
        <v>98597.656300000002</v>
      </c>
      <c r="O11" s="214">
        <f>SUMIF(III!A:A,$A$1,III!G:G)</f>
        <v>114692.5469</v>
      </c>
      <c r="P11" s="184">
        <f>SUM(M11:O11)</f>
        <v>297167.58600000001</v>
      </c>
      <c r="Q11" s="28"/>
      <c r="R11" s="113">
        <f>SUM(M11:P11)</f>
        <v>594335.17200000002</v>
      </c>
      <c r="S11" s="145"/>
      <c r="T11" s="144"/>
      <c r="U11" s="144"/>
      <c r="V11" s="144"/>
      <c r="W11" s="144"/>
      <c r="X11" s="144"/>
      <c r="Y11" s="144"/>
    </row>
    <row r="12" spans="1:27" customFormat="1">
      <c r="A12" s="110" t="s">
        <v>218</v>
      </c>
      <c r="B12" s="85">
        <f>B11</f>
        <v>109943.28909999999</v>
      </c>
      <c r="C12" s="85">
        <f>C11+B12</f>
        <v>183305.32819999999</v>
      </c>
      <c r="D12" s="85">
        <f>D11+C12</f>
        <v>356754.89069999999</v>
      </c>
      <c r="E12" s="85"/>
      <c r="F12" s="85">
        <f>F11</f>
        <v>82455.609400000001</v>
      </c>
      <c r="G12" s="85">
        <f>G11+F12</f>
        <v>181622.17970000001</v>
      </c>
      <c r="H12" s="85">
        <f>H11+G12</f>
        <v>244078.35159999999</v>
      </c>
      <c r="I12" s="85"/>
      <c r="J12" s="85">
        <f>J11</f>
        <v>68708.820300000007</v>
      </c>
      <c r="K12" s="85">
        <f>K11+J12</f>
        <v>158229.09370000003</v>
      </c>
      <c r="L12" s="85">
        <f>L11+K12</f>
        <v>253389.50000000003</v>
      </c>
      <c r="M12" s="85">
        <f>M11</f>
        <v>83877.382800000007</v>
      </c>
      <c r="N12" s="85">
        <f>N11+M12</f>
        <v>182475.03909999999</v>
      </c>
      <c r="O12" s="85">
        <f>O11+N12</f>
        <v>297167.58600000001</v>
      </c>
      <c r="P12" s="85"/>
      <c r="Q12" s="85"/>
      <c r="R12" s="111"/>
      <c r="S12" s="150"/>
      <c r="T12" s="150"/>
      <c r="U12" s="150"/>
      <c r="V12" s="150"/>
      <c r="W12" s="150"/>
      <c r="X12" s="150"/>
      <c r="Y12" s="150"/>
      <c r="Z12" s="150"/>
      <c r="AA12" s="150"/>
    </row>
    <row r="13" spans="1:27" ht="15" customHeight="1">
      <c r="A13" s="118" t="s">
        <v>32</v>
      </c>
      <c r="B13" s="89">
        <f t="shared" ref="B13:D14" si="5">B6/B11</f>
        <v>0.26272639409329807</v>
      </c>
      <c r="C13" s="89">
        <f t="shared" si="5"/>
        <v>0.29498878119378774</v>
      </c>
      <c r="D13" s="89">
        <f t="shared" si="5"/>
        <v>0.32251581262996842</v>
      </c>
      <c r="E13" s="89"/>
      <c r="F13" s="89">
        <f t="shared" ref="F13:H14" si="6">F6/F11</f>
        <v>0.28607850298660215</v>
      </c>
      <c r="G13" s="89">
        <f t="shared" si="6"/>
        <v>0.31277397822842723</v>
      </c>
      <c r="H13" s="89">
        <f t="shared" si="6"/>
        <v>0.27355620557974025</v>
      </c>
      <c r="I13" s="89"/>
      <c r="J13" s="89">
        <f t="shared" ref="J13:L14" si="7">J6/J11</f>
        <v>0.30021945523055354</v>
      </c>
      <c r="K13" s="89">
        <f t="shared" si="7"/>
        <v>0.24747143924607359</v>
      </c>
      <c r="L13" s="89">
        <f t="shared" si="7"/>
        <v>0.35736903742076603</v>
      </c>
      <c r="M13" s="89">
        <f t="shared" ref="M13:O14" si="8">M6/M11</f>
        <v>0.31602825595078055</v>
      </c>
      <c r="N13" s="89">
        <f t="shared" si="8"/>
        <v>0.30168656148878459</v>
      </c>
      <c r="O13" s="89">
        <f t="shared" si="8"/>
        <v>0.29417383964293148</v>
      </c>
      <c r="P13" s="89"/>
      <c r="Q13" s="89"/>
      <c r="R13" s="119"/>
      <c r="S13" s="145"/>
      <c r="T13" s="144"/>
      <c r="U13" s="144"/>
      <c r="V13" s="144"/>
      <c r="W13" s="144"/>
      <c r="X13" s="144"/>
      <c r="Y13" s="144"/>
    </row>
    <row r="14" spans="1:27" ht="15" customHeight="1">
      <c r="A14" s="118" t="s">
        <v>33</v>
      </c>
      <c r="B14" s="89">
        <f t="shared" si="5"/>
        <v>0.26272639409329807</v>
      </c>
      <c r="C14" s="89">
        <f t="shared" si="5"/>
        <v>0.27563837285118264</v>
      </c>
      <c r="D14" s="89">
        <f t="shared" si="5"/>
        <v>0.29842957104554141</v>
      </c>
      <c r="E14" s="89"/>
      <c r="F14" s="89">
        <f t="shared" si="6"/>
        <v>0.28607850298660215</v>
      </c>
      <c r="G14" s="89">
        <f t="shared" si="6"/>
        <v>0.30065435890151909</v>
      </c>
      <c r="H14" s="89">
        <f t="shared" si="6"/>
        <v>0.29372032763269451</v>
      </c>
      <c r="I14" s="89"/>
      <c r="J14" s="89">
        <f t="shared" si="7"/>
        <v>0.30021945523055354</v>
      </c>
      <c r="K14" s="89">
        <f t="shared" si="7"/>
        <v>0.27037654390609706</v>
      </c>
      <c r="L14" s="89">
        <f t="shared" si="7"/>
        <v>0.30304656783331585</v>
      </c>
      <c r="M14" s="89">
        <f t="shared" si="8"/>
        <v>0.31602825595078055</v>
      </c>
      <c r="N14" s="89">
        <f t="shared" si="8"/>
        <v>0.3082789359983209</v>
      </c>
      <c r="O14" s="89">
        <f t="shared" si="8"/>
        <v>0.30283504002351047</v>
      </c>
      <c r="P14" s="89"/>
      <c r="Q14" s="89"/>
      <c r="R14" s="119"/>
      <c r="S14" s="145"/>
      <c r="T14" s="144"/>
      <c r="U14" s="144"/>
      <c r="V14" s="144"/>
      <c r="W14" s="144"/>
      <c r="X14" s="144"/>
      <c r="Y14" s="144"/>
    </row>
    <row r="15" spans="1:27" s="67" customFormat="1" ht="15" customHeight="1" thickBot="1">
      <c r="A15" s="121"/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0"/>
      <c r="S15" s="151"/>
      <c r="T15" s="152"/>
      <c r="U15" s="152"/>
      <c r="V15" s="152"/>
      <c r="W15" s="152"/>
      <c r="X15" s="152"/>
      <c r="Y15" s="152"/>
      <c r="Z15" s="152"/>
      <c r="AA15" s="152"/>
    </row>
    <row r="16" spans="1:27" ht="13.8" thickBot="1">
      <c r="A16" s="391" t="s">
        <v>96</v>
      </c>
      <c r="B16" s="402" t="s">
        <v>97</v>
      </c>
      <c r="C16" s="402" t="s">
        <v>11</v>
      </c>
      <c r="D16" s="402" t="s">
        <v>12</v>
      </c>
      <c r="E16" s="400" t="s">
        <v>98</v>
      </c>
      <c r="F16" s="402" t="s">
        <v>7</v>
      </c>
      <c r="G16" s="402" t="s">
        <v>8</v>
      </c>
      <c r="H16" s="402" t="s">
        <v>9</v>
      </c>
      <c r="I16" s="400" t="s">
        <v>98</v>
      </c>
      <c r="J16" s="402" t="s">
        <v>4</v>
      </c>
      <c r="K16" s="402" t="s">
        <v>5</v>
      </c>
      <c r="L16" s="402" t="s">
        <v>6</v>
      </c>
      <c r="M16" s="402" t="s">
        <v>1</v>
      </c>
      <c r="N16" s="402" t="s">
        <v>2</v>
      </c>
      <c r="O16" s="402" t="s">
        <v>3</v>
      </c>
      <c r="P16" s="400" t="s">
        <v>98</v>
      </c>
      <c r="Q16" s="400" t="s">
        <v>98</v>
      </c>
      <c r="R16" s="400" t="s">
        <v>98</v>
      </c>
    </row>
    <row r="17" spans="1:19" ht="13.8" thickTop="1">
      <c r="A17" s="392" t="s">
        <v>99</v>
      </c>
      <c r="B17" s="159">
        <v>0</v>
      </c>
      <c r="C17" s="159">
        <v>0</v>
      </c>
      <c r="D17" s="159">
        <v>0</v>
      </c>
      <c r="E17" s="401">
        <f>SUM(B17:D17)</f>
        <v>0</v>
      </c>
      <c r="F17" s="590">
        <v>0</v>
      </c>
      <c r="G17" s="590">
        <v>0</v>
      </c>
      <c r="H17" s="590">
        <v>0</v>
      </c>
      <c r="I17" s="401">
        <f>SUM(F17:H17)</f>
        <v>0</v>
      </c>
      <c r="J17" s="580">
        <v>0</v>
      </c>
      <c r="K17" s="580">
        <v>0</v>
      </c>
      <c r="L17" s="580">
        <v>0</v>
      </c>
      <c r="M17" s="570">
        <v>0</v>
      </c>
      <c r="N17" s="570">
        <v>0</v>
      </c>
      <c r="O17" s="570">
        <v>0</v>
      </c>
      <c r="P17" s="401">
        <f>SUM(M17:O17)</f>
        <v>0</v>
      </c>
      <c r="Q17" s="401">
        <f>SUM(J17:L17)</f>
        <v>0</v>
      </c>
      <c r="R17" s="401">
        <f>Q17+I17+E17+P17</f>
        <v>0</v>
      </c>
      <c r="S17" s="65"/>
    </row>
    <row r="18" spans="1:19">
      <c r="A18" s="393" t="s">
        <v>100</v>
      </c>
      <c r="B18" s="160">
        <v>28</v>
      </c>
      <c r="C18" s="160">
        <v>28</v>
      </c>
      <c r="D18" s="160">
        <v>28</v>
      </c>
      <c r="E18" s="207"/>
      <c r="F18" s="588">
        <v>28</v>
      </c>
      <c r="G18" s="588">
        <v>28</v>
      </c>
      <c r="H18" s="588">
        <v>28</v>
      </c>
      <c r="I18" s="207"/>
      <c r="J18" s="579">
        <v>28</v>
      </c>
      <c r="K18" s="579">
        <v>28</v>
      </c>
      <c r="L18" s="579">
        <v>28</v>
      </c>
      <c r="M18" s="569">
        <v>30</v>
      </c>
      <c r="N18" s="569">
        <v>30</v>
      </c>
      <c r="O18" s="569">
        <v>29</v>
      </c>
      <c r="P18" s="207"/>
      <c r="Q18" s="207"/>
      <c r="R18" s="207"/>
      <c r="S18" s="65"/>
    </row>
    <row r="19" spans="1:19">
      <c r="A19" s="393" t="s">
        <v>101</v>
      </c>
      <c r="B19" s="160">
        <v>0</v>
      </c>
      <c r="C19" s="160">
        <v>0</v>
      </c>
      <c r="D19" s="160">
        <v>0</v>
      </c>
      <c r="E19" s="207"/>
      <c r="F19" s="588">
        <v>0</v>
      </c>
      <c r="G19" s="588">
        <v>0</v>
      </c>
      <c r="H19" s="588">
        <v>0</v>
      </c>
      <c r="I19" s="207"/>
      <c r="J19" s="579">
        <v>0</v>
      </c>
      <c r="K19" s="579">
        <v>0</v>
      </c>
      <c r="L19" s="579">
        <v>0</v>
      </c>
      <c r="M19" s="569">
        <v>0</v>
      </c>
      <c r="N19" s="569">
        <v>0</v>
      </c>
      <c r="O19" s="569">
        <v>0</v>
      </c>
      <c r="P19" s="207"/>
      <c r="Q19" s="207"/>
      <c r="R19" s="207"/>
      <c r="S19" s="65"/>
    </row>
    <row r="20" spans="1:19">
      <c r="A20" s="393" t="s">
        <v>135</v>
      </c>
      <c r="B20" s="160">
        <v>0</v>
      </c>
      <c r="C20" s="160">
        <v>0</v>
      </c>
      <c r="D20" s="160">
        <v>0</v>
      </c>
      <c r="E20" s="207"/>
      <c r="F20" s="588">
        <v>0</v>
      </c>
      <c r="G20" s="588">
        <v>0</v>
      </c>
      <c r="H20" s="588">
        <v>0</v>
      </c>
      <c r="I20" s="207"/>
      <c r="J20" s="579">
        <v>0</v>
      </c>
      <c r="K20" s="579">
        <v>0</v>
      </c>
      <c r="L20" s="579">
        <v>0</v>
      </c>
      <c r="M20" s="569">
        <v>0</v>
      </c>
      <c r="N20" s="569">
        <v>0</v>
      </c>
      <c r="O20" s="569">
        <v>0</v>
      </c>
      <c r="P20" s="207"/>
      <c r="Q20" s="207"/>
      <c r="R20" s="207"/>
      <c r="S20" s="65"/>
    </row>
    <row r="21" spans="1:19">
      <c r="A21" s="393" t="s">
        <v>102</v>
      </c>
      <c r="B21" s="482">
        <f t="shared" ref="B21:D21" si="9">SUM(B17:B20)</f>
        <v>28</v>
      </c>
      <c r="C21" s="482">
        <f t="shared" si="9"/>
        <v>28</v>
      </c>
      <c r="D21" s="482">
        <f t="shared" si="9"/>
        <v>28</v>
      </c>
      <c r="E21" s="208"/>
      <c r="F21" s="599">
        <v>28</v>
      </c>
      <c r="G21" s="599">
        <v>28</v>
      </c>
      <c r="H21" s="599">
        <v>28</v>
      </c>
      <c r="I21" s="208"/>
      <c r="J21" s="587">
        <v>28</v>
      </c>
      <c r="K21" s="587">
        <v>28</v>
      </c>
      <c r="L21" s="587">
        <v>28</v>
      </c>
      <c r="M21" s="577">
        <v>30</v>
      </c>
      <c r="N21" s="577">
        <v>30</v>
      </c>
      <c r="O21" s="577">
        <v>29</v>
      </c>
      <c r="P21" s="208"/>
      <c r="Q21" s="208"/>
      <c r="R21" s="208"/>
      <c r="S21" s="65"/>
    </row>
    <row r="22" spans="1:19" ht="13.8" thickBot="1">
      <c r="A22" s="394" t="s">
        <v>103</v>
      </c>
      <c r="B22" s="161">
        <v>0</v>
      </c>
      <c r="C22" s="161">
        <v>14</v>
      </c>
      <c r="D22" s="161">
        <v>0</v>
      </c>
      <c r="E22" s="401">
        <f t="shared" ref="E22:E23" si="10">SUM(B22:D22)</f>
        <v>14</v>
      </c>
      <c r="F22" s="592">
        <v>1</v>
      </c>
      <c r="G22" s="592">
        <v>0</v>
      </c>
      <c r="H22" s="592">
        <v>1</v>
      </c>
      <c r="I22" s="401">
        <f t="shared" ref="I22:I23" si="11">SUM(F22:H22)</f>
        <v>2</v>
      </c>
      <c r="J22" s="581">
        <v>0</v>
      </c>
      <c r="K22" s="581">
        <v>0</v>
      </c>
      <c r="L22" s="581">
        <v>0</v>
      </c>
      <c r="M22" s="571">
        <v>0</v>
      </c>
      <c r="N22" s="571">
        <v>0</v>
      </c>
      <c r="O22" s="571">
        <v>1</v>
      </c>
      <c r="P22" s="401">
        <f t="shared" ref="P22:P23" si="12">SUM(M22:O22)</f>
        <v>1</v>
      </c>
      <c r="Q22" s="401">
        <f>SUM(J22:L22)</f>
        <v>0</v>
      </c>
      <c r="R22" s="401">
        <f>Q22+I22+E22+P22</f>
        <v>17</v>
      </c>
      <c r="S22" s="65"/>
    </row>
    <row r="23" spans="1:19" ht="13.8" thickTop="1">
      <c r="A23" s="395" t="s">
        <v>136</v>
      </c>
      <c r="B23" s="162">
        <v>9</v>
      </c>
      <c r="C23" s="162">
        <v>13</v>
      </c>
      <c r="D23" s="162">
        <v>2</v>
      </c>
      <c r="E23" s="401">
        <f t="shared" si="10"/>
        <v>24</v>
      </c>
      <c r="F23" s="594">
        <v>6</v>
      </c>
      <c r="G23" s="594">
        <v>11</v>
      </c>
      <c r="H23" s="594">
        <v>4</v>
      </c>
      <c r="I23" s="401">
        <f t="shared" si="11"/>
        <v>21</v>
      </c>
      <c r="J23" s="582">
        <v>5</v>
      </c>
      <c r="K23" s="582">
        <v>3</v>
      </c>
      <c r="L23" s="582">
        <v>4</v>
      </c>
      <c r="M23" s="572">
        <v>8</v>
      </c>
      <c r="N23" s="572">
        <v>3</v>
      </c>
      <c r="O23" s="572">
        <v>4</v>
      </c>
      <c r="P23" s="401">
        <f t="shared" si="12"/>
        <v>15</v>
      </c>
      <c r="Q23" s="401">
        <f>SUM(J23:L23)</f>
        <v>12</v>
      </c>
      <c r="R23" s="401">
        <f>Q23+I23+E23+P23</f>
        <v>72</v>
      </c>
      <c r="S23" s="65"/>
    </row>
    <row r="24" spans="1:19">
      <c r="A24" s="393" t="s">
        <v>104</v>
      </c>
      <c r="B24" s="160">
        <v>2</v>
      </c>
      <c r="C24" s="160">
        <v>4</v>
      </c>
      <c r="D24" s="160">
        <v>0</v>
      </c>
      <c r="E24" s="209"/>
      <c r="F24" s="588">
        <v>2</v>
      </c>
      <c r="G24" s="588">
        <v>4</v>
      </c>
      <c r="H24" s="588">
        <v>2</v>
      </c>
      <c r="I24" s="209"/>
      <c r="J24" s="579">
        <v>2</v>
      </c>
      <c r="K24" s="579">
        <v>3</v>
      </c>
      <c r="L24" s="579">
        <v>1</v>
      </c>
      <c r="M24" s="569">
        <v>5</v>
      </c>
      <c r="N24" s="569">
        <v>2</v>
      </c>
      <c r="O24" s="569">
        <v>2</v>
      </c>
      <c r="P24" s="209"/>
      <c r="Q24" s="209"/>
      <c r="R24" s="209"/>
      <c r="S24" s="65"/>
    </row>
    <row r="25" spans="1:19">
      <c r="A25" s="393" t="s">
        <v>105</v>
      </c>
      <c r="B25" s="756">
        <v>7</v>
      </c>
      <c r="C25" s="160">
        <v>7</v>
      </c>
      <c r="D25" s="160">
        <v>6</v>
      </c>
      <c r="E25" s="401">
        <f t="shared" ref="E25:E29" si="13">SUM(B25:D25)</f>
        <v>20</v>
      </c>
      <c r="F25" s="588">
        <v>4</v>
      </c>
      <c r="G25" s="588">
        <v>2</v>
      </c>
      <c r="H25" s="588">
        <v>4</v>
      </c>
      <c r="I25" s="401">
        <f t="shared" ref="I25:I29" si="14">SUM(F25:H25)</f>
        <v>10</v>
      </c>
      <c r="J25" s="579">
        <v>4</v>
      </c>
      <c r="K25" s="579">
        <v>1</v>
      </c>
      <c r="L25" s="579">
        <v>1</v>
      </c>
      <c r="M25" s="569">
        <v>3</v>
      </c>
      <c r="N25" s="569">
        <v>3</v>
      </c>
      <c r="O25" s="569">
        <v>3</v>
      </c>
      <c r="P25" s="401">
        <f t="shared" ref="P25:P29" si="15">SUM(M25:O25)</f>
        <v>9</v>
      </c>
      <c r="Q25" s="401">
        <f>SUM(J25:L25)</f>
        <v>6</v>
      </c>
      <c r="R25" s="401">
        <f>Q25+I25+E25+P25</f>
        <v>45</v>
      </c>
      <c r="S25" s="65"/>
    </row>
    <row r="26" spans="1:19" ht="13.8" thickBot="1">
      <c r="A26" s="396" t="s">
        <v>106</v>
      </c>
      <c r="B26" s="163">
        <v>4</v>
      </c>
      <c r="C26" s="163">
        <v>4</v>
      </c>
      <c r="D26" s="163">
        <v>0</v>
      </c>
      <c r="E26" s="401">
        <f t="shared" si="13"/>
        <v>8</v>
      </c>
      <c r="F26" s="595">
        <v>4</v>
      </c>
      <c r="G26" s="595">
        <v>4</v>
      </c>
      <c r="H26" s="595">
        <v>3</v>
      </c>
      <c r="I26" s="401">
        <f t="shared" si="14"/>
        <v>11</v>
      </c>
      <c r="J26" s="583">
        <v>1</v>
      </c>
      <c r="K26" s="583">
        <v>1</v>
      </c>
      <c r="L26" s="583">
        <v>2</v>
      </c>
      <c r="M26" s="573">
        <v>4</v>
      </c>
      <c r="N26" s="573">
        <v>1</v>
      </c>
      <c r="O26" s="573">
        <v>5</v>
      </c>
      <c r="P26" s="401">
        <f t="shared" si="15"/>
        <v>10</v>
      </c>
      <c r="Q26" s="401">
        <f>SUM(J26:L26)</f>
        <v>4</v>
      </c>
      <c r="R26" s="401">
        <f>Q26+I26+E26+P26</f>
        <v>33</v>
      </c>
      <c r="S26" s="65"/>
    </row>
    <row r="27" spans="1:19" ht="13.8" thickTop="1">
      <c r="A27" s="392" t="s">
        <v>193</v>
      </c>
      <c r="B27" s="159">
        <v>0</v>
      </c>
      <c r="C27" s="159">
        <v>0</v>
      </c>
      <c r="D27" s="159">
        <v>0</v>
      </c>
      <c r="E27" s="401">
        <f t="shared" si="13"/>
        <v>0</v>
      </c>
      <c r="F27" s="590">
        <v>0</v>
      </c>
      <c r="G27" s="590">
        <v>0</v>
      </c>
      <c r="H27" s="590">
        <v>0</v>
      </c>
      <c r="I27" s="401">
        <f t="shared" si="14"/>
        <v>0</v>
      </c>
      <c r="J27" s="580">
        <v>0</v>
      </c>
      <c r="K27" s="580">
        <v>0</v>
      </c>
      <c r="L27" s="580">
        <v>0</v>
      </c>
      <c r="M27" s="570">
        <v>0</v>
      </c>
      <c r="N27" s="570">
        <v>0</v>
      </c>
      <c r="O27" s="570">
        <v>0</v>
      </c>
      <c r="P27" s="401">
        <f t="shared" si="15"/>
        <v>0</v>
      </c>
      <c r="Q27" s="401">
        <f>SUM(J27:L27)</f>
        <v>0</v>
      </c>
      <c r="R27" s="401">
        <f>Q27+I27+E27+P27</f>
        <v>0</v>
      </c>
      <c r="S27" s="65"/>
    </row>
    <row r="28" spans="1:19" ht="13.8" thickBot="1">
      <c r="A28" s="394" t="s">
        <v>107</v>
      </c>
      <c r="B28" s="161">
        <v>1</v>
      </c>
      <c r="C28" s="161">
        <v>0</v>
      </c>
      <c r="D28" s="161">
        <v>0</v>
      </c>
      <c r="E28" s="401">
        <f t="shared" si="13"/>
        <v>1</v>
      </c>
      <c r="F28" s="592">
        <v>0</v>
      </c>
      <c r="G28" s="592">
        <v>0</v>
      </c>
      <c r="H28" s="592">
        <v>0</v>
      </c>
      <c r="I28" s="401">
        <f t="shared" si="14"/>
        <v>0</v>
      </c>
      <c r="J28" s="581">
        <v>0</v>
      </c>
      <c r="K28" s="581">
        <v>0</v>
      </c>
      <c r="L28" s="581">
        <v>0</v>
      </c>
      <c r="M28" s="571">
        <v>0</v>
      </c>
      <c r="N28" s="571">
        <v>0</v>
      </c>
      <c r="O28" s="571">
        <v>0</v>
      </c>
      <c r="P28" s="401">
        <f t="shared" si="15"/>
        <v>0</v>
      </c>
      <c r="Q28" s="401">
        <f>SUM(J28:L28)</f>
        <v>0</v>
      </c>
      <c r="R28" s="401">
        <f>Q28+I28+E28+P28</f>
        <v>1</v>
      </c>
      <c r="S28" s="65"/>
    </row>
    <row r="29" spans="1:19" ht="14.4" thickTop="1" thickBot="1">
      <c r="A29" s="394" t="s">
        <v>108</v>
      </c>
      <c r="B29" s="161">
        <v>0</v>
      </c>
      <c r="C29" s="161">
        <v>1</v>
      </c>
      <c r="D29" s="161">
        <v>1</v>
      </c>
      <c r="E29" s="401">
        <f t="shared" si="13"/>
        <v>2</v>
      </c>
      <c r="F29" s="592">
        <v>0</v>
      </c>
      <c r="G29" s="592">
        <v>2</v>
      </c>
      <c r="H29" s="592">
        <v>0</v>
      </c>
      <c r="I29" s="401">
        <f t="shared" si="14"/>
        <v>2</v>
      </c>
      <c r="J29" s="581">
        <v>1</v>
      </c>
      <c r="K29" s="581">
        <v>0</v>
      </c>
      <c r="L29" s="581">
        <v>4</v>
      </c>
      <c r="M29" s="571">
        <v>0</v>
      </c>
      <c r="N29" s="571">
        <v>1</v>
      </c>
      <c r="O29" s="571">
        <v>0</v>
      </c>
      <c r="P29" s="401">
        <f t="shared" si="15"/>
        <v>1</v>
      </c>
      <c r="Q29" s="401">
        <f>SUM(J29:L29)</f>
        <v>5</v>
      </c>
      <c r="R29" s="401">
        <f>Q29+I29+E29+P29</f>
        <v>10</v>
      </c>
      <c r="S29" s="65"/>
    </row>
    <row r="30" spans="1:19" ht="13.8" thickTop="1">
      <c r="A30" s="397" t="s">
        <v>109</v>
      </c>
      <c r="B30" s="166">
        <v>9</v>
      </c>
      <c r="C30" s="166">
        <v>8</v>
      </c>
      <c r="D30" s="166">
        <v>6</v>
      </c>
      <c r="E30" s="158"/>
      <c r="F30" s="596">
        <v>12</v>
      </c>
      <c r="G30" s="596">
        <v>10</v>
      </c>
      <c r="H30" s="591">
        <v>9</v>
      </c>
      <c r="I30" s="158"/>
      <c r="J30" s="584">
        <v>9</v>
      </c>
      <c r="K30" s="584">
        <v>9</v>
      </c>
      <c r="L30" s="584">
        <v>10</v>
      </c>
      <c r="M30" s="574">
        <v>12</v>
      </c>
      <c r="N30" s="574">
        <v>11</v>
      </c>
      <c r="O30" s="574">
        <v>9</v>
      </c>
      <c r="P30" s="158"/>
      <c r="Q30" s="158"/>
      <c r="R30" s="158"/>
      <c r="S30" s="65"/>
    </row>
    <row r="31" spans="1:19">
      <c r="A31" s="398" t="s">
        <v>110</v>
      </c>
      <c r="B31" s="167">
        <v>0</v>
      </c>
      <c r="C31" s="167">
        <v>2</v>
      </c>
      <c r="D31" s="167">
        <v>4</v>
      </c>
      <c r="E31" s="401">
        <f t="shared" ref="E31:E33" si="16">SUM(B31:D31)</f>
        <v>6</v>
      </c>
      <c r="F31" s="597">
        <v>3</v>
      </c>
      <c r="G31" s="597">
        <v>0</v>
      </c>
      <c r="H31" s="589">
        <v>2</v>
      </c>
      <c r="I31" s="401">
        <f t="shared" ref="I31:I33" si="17">SUM(F31:H31)</f>
        <v>5</v>
      </c>
      <c r="J31" s="585">
        <v>0</v>
      </c>
      <c r="K31" s="585">
        <v>0</v>
      </c>
      <c r="L31" s="585">
        <v>1</v>
      </c>
      <c r="M31" s="575">
        <v>0</v>
      </c>
      <c r="N31" s="575">
        <v>0</v>
      </c>
      <c r="O31" s="575">
        <v>0</v>
      </c>
      <c r="P31" s="401">
        <f t="shared" ref="P31:P33" si="18">SUM(M31:O31)</f>
        <v>0</v>
      </c>
      <c r="Q31" s="401">
        <f>SUM(J31:L31)</f>
        <v>1</v>
      </c>
      <c r="R31" s="401">
        <f>Q31+I31+E31+P31</f>
        <v>12</v>
      </c>
      <c r="S31" s="65"/>
    </row>
    <row r="32" spans="1:19">
      <c r="A32" s="398" t="s">
        <v>111</v>
      </c>
      <c r="B32" s="167">
        <v>0</v>
      </c>
      <c r="C32" s="463">
        <v>3</v>
      </c>
      <c r="D32" s="465">
        <v>5</v>
      </c>
      <c r="E32" s="401">
        <f t="shared" si="16"/>
        <v>8</v>
      </c>
      <c r="F32" s="597">
        <v>0</v>
      </c>
      <c r="G32" s="597">
        <v>1</v>
      </c>
      <c r="H32" s="589">
        <v>2</v>
      </c>
      <c r="I32" s="401">
        <f t="shared" si="17"/>
        <v>3</v>
      </c>
      <c r="J32" s="585">
        <v>0</v>
      </c>
      <c r="K32" s="585">
        <v>0</v>
      </c>
      <c r="L32" s="585">
        <v>0</v>
      </c>
      <c r="M32" s="575">
        <v>0</v>
      </c>
      <c r="N32" s="575">
        <v>1</v>
      </c>
      <c r="O32" s="575">
        <v>0</v>
      </c>
      <c r="P32" s="401">
        <f t="shared" si="18"/>
        <v>1</v>
      </c>
      <c r="Q32" s="401">
        <f>SUM(J32:L32)</f>
        <v>0</v>
      </c>
      <c r="R32" s="401">
        <f>Q32+I32+E32+P32</f>
        <v>12</v>
      </c>
      <c r="S32" s="65"/>
    </row>
    <row r="33" spans="1:19">
      <c r="A33" s="398" t="s">
        <v>112</v>
      </c>
      <c r="B33" s="167">
        <v>0</v>
      </c>
      <c r="C33" s="463">
        <v>1</v>
      </c>
      <c r="D33" s="465">
        <v>0</v>
      </c>
      <c r="E33" s="401">
        <f t="shared" si="16"/>
        <v>1</v>
      </c>
      <c r="F33" s="597">
        <v>1</v>
      </c>
      <c r="G33" s="597">
        <v>1</v>
      </c>
      <c r="H33" s="589">
        <v>0</v>
      </c>
      <c r="I33" s="401">
        <f t="shared" si="17"/>
        <v>2</v>
      </c>
      <c r="J33" s="585">
        <v>0</v>
      </c>
      <c r="K33" s="585">
        <v>0</v>
      </c>
      <c r="L33" s="585">
        <v>0</v>
      </c>
      <c r="M33" s="575">
        <v>0</v>
      </c>
      <c r="N33" s="575">
        <v>0</v>
      </c>
      <c r="O33" s="575">
        <v>0</v>
      </c>
      <c r="P33" s="401">
        <f t="shared" si="18"/>
        <v>0</v>
      </c>
      <c r="Q33" s="401">
        <f>SUM(J33:L33)</f>
        <v>0</v>
      </c>
      <c r="R33" s="401">
        <f>Q33+I33+E33+P33</f>
        <v>3</v>
      </c>
      <c r="S33" s="65"/>
    </row>
    <row r="34" spans="1:19" ht="13.8" thickBot="1">
      <c r="A34" s="399" t="s">
        <v>113</v>
      </c>
      <c r="B34" s="414">
        <v>0</v>
      </c>
      <c r="C34" s="464">
        <v>0</v>
      </c>
      <c r="D34" s="466">
        <v>0</v>
      </c>
      <c r="E34" s="210"/>
      <c r="F34" s="598">
        <v>0</v>
      </c>
      <c r="G34" s="598">
        <v>0</v>
      </c>
      <c r="H34" s="593">
        <v>0</v>
      </c>
      <c r="I34" s="210"/>
      <c r="J34" s="586">
        <v>0</v>
      </c>
      <c r="K34" s="586">
        <v>0</v>
      </c>
      <c r="L34" s="586">
        <v>0</v>
      </c>
      <c r="M34" s="576">
        <v>0</v>
      </c>
      <c r="N34" s="576">
        <v>0</v>
      </c>
      <c r="O34" s="576">
        <v>0</v>
      </c>
      <c r="P34" s="210"/>
      <c r="Q34" s="210"/>
      <c r="R34" s="210"/>
      <c r="S34" s="65"/>
    </row>
    <row r="35" spans="1:19" ht="13.8" thickTop="1">
      <c r="A35"/>
      <c r="B35" s="65"/>
      <c r="C35" s="65"/>
      <c r="D35" s="164"/>
      <c r="E35" s="16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13"/>
    </row>
  </sheetData>
  <mergeCells count="1">
    <mergeCell ref="M1:P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opLeftCell="A19" zoomScale="85" zoomScaleNormal="85" workbookViewId="0">
      <selection activeCell="B37" sqref="B37:D54"/>
    </sheetView>
  </sheetViews>
  <sheetFormatPr defaultColWidth="9.109375" defaultRowHeight="10.199999999999999"/>
  <cols>
    <col min="1" max="1" width="45" style="16" customWidth="1"/>
    <col min="2" max="4" width="11.6640625" style="12" customWidth="1"/>
    <col min="5" max="5" width="11.44140625" style="142" customWidth="1"/>
    <col min="6" max="8" width="11.6640625" style="12" customWidth="1"/>
    <col min="9" max="9" width="11.44140625" style="142" customWidth="1"/>
    <col min="10" max="12" width="11.6640625" style="12" customWidth="1"/>
    <col min="13" max="13" width="11.44140625" style="142" customWidth="1"/>
    <col min="14" max="14" width="11.6640625" style="12" customWidth="1"/>
    <col min="15" max="16" width="13.5546875" style="12" customWidth="1"/>
    <col min="17" max="17" width="12" style="142" customWidth="1"/>
    <col min="18" max="18" width="13.44140625" style="142" customWidth="1"/>
    <col min="19" max="19" width="9.109375" style="12"/>
    <col min="20" max="16384" width="9.109375" style="17"/>
  </cols>
  <sheetData>
    <row r="1" spans="1:19" s="12" customFormat="1" ht="15" customHeight="1">
      <c r="A1" s="31" t="s">
        <v>77</v>
      </c>
      <c r="B1" s="773" t="s">
        <v>159</v>
      </c>
      <c r="C1" s="758"/>
      <c r="D1" s="758"/>
      <c r="E1" s="758"/>
      <c r="F1" s="773" t="s">
        <v>155</v>
      </c>
      <c r="G1" s="758"/>
      <c r="H1" s="758"/>
      <c r="I1" s="758"/>
      <c r="J1" s="773" t="s">
        <v>148</v>
      </c>
      <c r="K1" s="758"/>
      <c r="L1" s="758"/>
      <c r="M1" s="758"/>
      <c r="N1" s="773" t="s">
        <v>131</v>
      </c>
      <c r="O1" s="758"/>
      <c r="P1" s="758"/>
      <c r="Q1" s="758"/>
      <c r="R1" s="177"/>
    </row>
    <row r="2" spans="1:19" s="12" customFormat="1" ht="15" customHeight="1">
      <c r="A2" s="5" t="s">
        <v>0</v>
      </c>
      <c r="B2" s="50" t="s">
        <v>10</v>
      </c>
      <c r="C2" s="50" t="s">
        <v>11</v>
      </c>
      <c r="D2" s="50" t="s">
        <v>12</v>
      </c>
      <c r="E2" s="188" t="s">
        <v>128</v>
      </c>
      <c r="F2" s="50" t="s">
        <v>7</v>
      </c>
      <c r="G2" s="50" t="s">
        <v>8</v>
      </c>
      <c r="H2" s="50" t="s">
        <v>9</v>
      </c>
      <c r="I2" s="188" t="s">
        <v>127</v>
      </c>
      <c r="J2" s="50" t="s">
        <v>4</v>
      </c>
      <c r="K2" s="50" t="s">
        <v>5</v>
      </c>
      <c r="L2" s="50" t="s">
        <v>6</v>
      </c>
      <c r="M2" s="188" t="s">
        <v>126</v>
      </c>
      <c r="N2" s="50" t="s">
        <v>1</v>
      </c>
      <c r="O2" s="50" t="s">
        <v>2</v>
      </c>
      <c r="P2" s="50" t="s">
        <v>3</v>
      </c>
      <c r="Q2" s="188" t="s">
        <v>115</v>
      </c>
      <c r="R2" s="107" t="s">
        <v>129</v>
      </c>
    </row>
    <row r="3" spans="1:19" s="12" customFormat="1" ht="1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9" s="12" customFormat="1" ht="15" customHeight="1">
      <c r="A4" s="108" t="s">
        <v>36</v>
      </c>
      <c r="B4" s="84">
        <f>'Target 2021'!L7</f>
        <v>60166.666666666664</v>
      </c>
      <c r="C4" s="84">
        <f>'Target 2021'!M7</f>
        <v>66500</v>
      </c>
      <c r="D4" s="84">
        <f>'Target 2021'!N7</f>
        <v>63333.333333333336</v>
      </c>
      <c r="E4" s="190">
        <f>SUM(B4:D4)</f>
        <v>190000</v>
      </c>
      <c r="F4" s="84">
        <f>'Target 2021'!I7</f>
        <v>63000</v>
      </c>
      <c r="G4" s="84">
        <f>'Target 2021'!J7-4000</f>
        <v>66000</v>
      </c>
      <c r="H4" s="84">
        <f>'Target 2021'!K7+3000+4000</f>
        <v>84000</v>
      </c>
      <c r="I4" s="190">
        <f>SUM(F4:H4)</f>
        <v>213000</v>
      </c>
      <c r="J4" s="84">
        <f>'Target 2021'!F7</f>
        <v>61500</v>
      </c>
      <c r="K4" s="84">
        <f>'Target 2021'!G7</f>
        <v>68333.333333333328</v>
      </c>
      <c r="L4" s="84">
        <f>'Target 2021'!H7-4000</f>
        <v>71166.666666666672</v>
      </c>
      <c r="M4" s="190">
        <f>SUM(J4:L4)</f>
        <v>201000</v>
      </c>
      <c r="N4" s="84">
        <f>'Target 2021'!C7-6700</f>
        <v>54500</v>
      </c>
      <c r="O4" s="84">
        <f>'Target 2021'!D7-5000</f>
        <v>63000</v>
      </c>
      <c r="P4" s="84">
        <f>'Target 2021'!E7+6700+5000</f>
        <v>86500</v>
      </c>
      <c r="Q4" s="190">
        <f>SUM(N4:P4)</f>
        <v>204000</v>
      </c>
      <c r="R4" s="109">
        <f>Q4+M4+I4+E4</f>
        <v>808000</v>
      </c>
    </row>
    <row r="5" spans="1:19" s="12" customFormat="1" ht="15" customHeight="1">
      <c r="A5" s="110" t="s">
        <v>35</v>
      </c>
      <c r="B5" s="88">
        <f>B4</f>
        <v>60166.666666666664</v>
      </c>
      <c r="C5" s="88">
        <f>C4+B5</f>
        <v>126666.66666666666</v>
      </c>
      <c r="D5" s="88">
        <f>D4+C5</f>
        <v>190000</v>
      </c>
      <c r="E5" s="191"/>
      <c r="F5" s="88">
        <f>F4</f>
        <v>63000</v>
      </c>
      <c r="G5" s="88">
        <f>G4+F5</f>
        <v>129000</v>
      </c>
      <c r="H5" s="88">
        <f>H4+G5</f>
        <v>213000</v>
      </c>
      <c r="I5" s="191"/>
      <c r="J5" s="85">
        <f>J4</f>
        <v>61500</v>
      </c>
      <c r="K5" s="88">
        <f>K4+J5</f>
        <v>129833.33333333333</v>
      </c>
      <c r="L5" s="88">
        <f>L4+K5</f>
        <v>201000</v>
      </c>
      <c r="M5" s="191"/>
      <c r="N5" s="85">
        <f>N4</f>
        <v>54500</v>
      </c>
      <c r="O5" s="85">
        <f>O4+N5</f>
        <v>117500</v>
      </c>
      <c r="P5" s="85">
        <f>P4+O5</f>
        <v>204000</v>
      </c>
      <c r="Q5" s="191"/>
      <c r="R5" s="434">
        <f>R6/R4</f>
        <v>0.92169753106435648</v>
      </c>
    </row>
    <row r="6" spans="1:19" s="29" customFormat="1" ht="15" customHeight="1">
      <c r="A6" s="112" t="s">
        <v>37</v>
      </c>
      <c r="B6" s="28">
        <f>SUMIF(X!A:A,$A$1,X!I:I)</f>
        <v>58474.130599999997</v>
      </c>
      <c r="C6" s="28">
        <f>SUMIF(XI!A:A,$A$1,XI!I:I)</f>
        <v>70566.398400000005</v>
      </c>
      <c r="D6" s="28">
        <f>SUMIF(XII!A:A,$A$1,XII!I:I)</f>
        <v>68388.283100000001</v>
      </c>
      <c r="E6" s="190">
        <f>SUM(B6:D6)</f>
        <v>197428.81210000001</v>
      </c>
      <c r="F6" s="28">
        <f>SUMIF(VII!A:A,$A$1,VII!I:I)</f>
        <v>67795.8897</v>
      </c>
      <c r="G6" s="28">
        <f>SUMIF(VIII!A:A,$A$1,VIII!I:I)</f>
        <v>55693.686700000006</v>
      </c>
      <c r="H6" s="28">
        <f>SUMIF(IX!A:A,$A$1,IX!I:I)</f>
        <v>79028.110300000015</v>
      </c>
      <c r="I6" s="190">
        <f>SUM(F6:H6)</f>
        <v>202517.68670000002</v>
      </c>
      <c r="J6" s="28">
        <f>SUMIF(IV!A:A,$A$1,IV!I:I)</f>
        <v>68381.763800000001</v>
      </c>
      <c r="K6" s="28">
        <f>SUMIF(V!A:A,$A$1,V!I:I)</f>
        <v>67462.390599999999</v>
      </c>
      <c r="L6" s="28">
        <f>SUMIF(VI!A:A,$A$1,VI!I:I)</f>
        <v>45131.943399999996</v>
      </c>
      <c r="M6" s="190">
        <f>SUM(J6:L6)</f>
        <v>180976.09779999999</v>
      </c>
      <c r="N6" s="86">
        <f>SUMIF(I!A:A,$A$1,I!I:I)</f>
        <v>49214.050799999997</v>
      </c>
      <c r="O6" s="28">
        <f>SUMIF(II!A:A,$A$1,II!I:I)</f>
        <v>46091.910799999998</v>
      </c>
      <c r="P6" s="28">
        <f>SUMIF(III!A:A,$A$1,III!I:I)</f>
        <v>68503.046900000001</v>
      </c>
      <c r="Q6" s="190">
        <f>SUM(N6:P6)</f>
        <v>163809.0085</v>
      </c>
      <c r="R6" s="109">
        <f>Q6+M6+I6+E6</f>
        <v>744731.60510000004</v>
      </c>
      <c r="S6" s="12"/>
    </row>
    <row r="7" spans="1:19" s="12" customFormat="1" ht="15" customHeight="1">
      <c r="A7" s="110" t="s">
        <v>38</v>
      </c>
      <c r="B7" s="8">
        <f>B6</f>
        <v>58474.130599999997</v>
      </c>
      <c r="C7" s="8">
        <f>C6+B7</f>
        <v>129040.52900000001</v>
      </c>
      <c r="D7" s="8">
        <f>D6+C7</f>
        <v>197428.81210000001</v>
      </c>
      <c r="E7" s="191"/>
      <c r="F7" s="8">
        <f>F6</f>
        <v>67795.8897</v>
      </c>
      <c r="G7" s="8">
        <f>G6+F7</f>
        <v>123489.57640000001</v>
      </c>
      <c r="H7" s="8">
        <f>H6+G7</f>
        <v>202517.68670000002</v>
      </c>
      <c r="I7" s="191"/>
      <c r="J7" s="85">
        <f>J6</f>
        <v>68381.763800000001</v>
      </c>
      <c r="K7" s="8">
        <f>K6+J7</f>
        <v>135844.1544</v>
      </c>
      <c r="L7" s="8">
        <f>L6+K7</f>
        <v>180976.09779999999</v>
      </c>
      <c r="M7" s="191"/>
      <c r="N7" s="85">
        <f>N6</f>
        <v>49214.050799999997</v>
      </c>
      <c r="O7" s="85">
        <f>O6+N7</f>
        <v>95305.961599999995</v>
      </c>
      <c r="P7" s="85">
        <f>P6+O7</f>
        <v>163809.0085</v>
      </c>
      <c r="Q7" s="191"/>
      <c r="R7" s="111"/>
    </row>
    <row r="8" spans="1:19" s="12" customFormat="1" ht="15" customHeight="1">
      <c r="A8" s="114" t="s">
        <v>39</v>
      </c>
      <c r="B8" s="26">
        <f t="shared" ref="B8:D9" si="0">B6/B4</f>
        <v>0.97186920664819942</v>
      </c>
      <c r="C8" s="26">
        <f t="shared" si="0"/>
        <v>1.0611488481203009</v>
      </c>
      <c r="D8" s="26">
        <f t="shared" si="0"/>
        <v>1.0798149963157895</v>
      </c>
      <c r="E8" s="202">
        <f>E4*1.05</f>
        <v>199500</v>
      </c>
      <c r="F8" s="26">
        <f t="shared" ref="F8:H9" si="1">F6/F4</f>
        <v>1.0761252333333333</v>
      </c>
      <c r="G8" s="26">
        <f t="shared" si="1"/>
        <v>0.84384373787878797</v>
      </c>
      <c r="H8" s="26">
        <f t="shared" si="1"/>
        <v>0.94081083690476208</v>
      </c>
      <c r="I8" s="192"/>
      <c r="J8" s="87">
        <f t="shared" ref="J8:L9" si="2">J6/J4</f>
        <v>1.1118985983739837</v>
      </c>
      <c r="K8" s="26">
        <f t="shared" si="2"/>
        <v>0.9872544965853659</v>
      </c>
      <c r="L8" s="26">
        <f t="shared" si="2"/>
        <v>0.634172506791569</v>
      </c>
      <c r="M8" s="192"/>
      <c r="N8" s="87">
        <f t="shared" ref="N8:P9" si="3">N6/N4</f>
        <v>0.90301010642201829</v>
      </c>
      <c r="O8" s="87">
        <f t="shared" si="3"/>
        <v>0.73161763174603167</v>
      </c>
      <c r="P8" s="87">
        <f t="shared" si="3"/>
        <v>0.79194273872832366</v>
      </c>
      <c r="Q8" s="202">
        <f>N5*0.9</f>
        <v>49050</v>
      </c>
      <c r="R8" s="115"/>
    </row>
    <row r="9" spans="1:19" s="27" customFormat="1" ht="15" customHeight="1">
      <c r="A9" s="114" t="s">
        <v>40</v>
      </c>
      <c r="B9" s="26">
        <f t="shared" si="0"/>
        <v>0.97186920664819942</v>
      </c>
      <c r="C9" s="26">
        <f t="shared" si="0"/>
        <v>1.0187410184210528</v>
      </c>
      <c r="D9" s="26">
        <f t="shared" si="0"/>
        <v>1.0390990110526317</v>
      </c>
      <c r="E9" s="751">
        <f>E8-E6</f>
        <v>2071.1878999999899</v>
      </c>
      <c r="F9" s="26">
        <f t="shared" si="1"/>
        <v>1.0761252333333333</v>
      </c>
      <c r="G9" s="26">
        <f t="shared" si="1"/>
        <v>0.95728353798449617</v>
      </c>
      <c r="H9" s="26">
        <f t="shared" si="1"/>
        <v>0.95078726150234749</v>
      </c>
      <c r="I9" s="192"/>
      <c r="J9" s="87">
        <f t="shared" si="2"/>
        <v>1.1118985983739837</v>
      </c>
      <c r="K9" s="26">
        <f t="shared" si="2"/>
        <v>1.0462964395378691</v>
      </c>
      <c r="L9" s="26">
        <f t="shared" si="2"/>
        <v>0.90037859601990045</v>
      </c>
      <c r="M9" s="192"/>
      <c r="N9" s="87">
        <f t="shared" si="3"/>
        <v>0.90301010642201829</v>
      </c>
      <c r="O9" s="26">
        <f t="shared" si="3"/>
        <v>0.81111456680851057</v>
      </c>
      <c r="P9" s="26">
        <f t="shared" si="3"/>
        <v>0.80298533578431375</v>
      </c>
      <c r="Q9" s="192"/>
      <c r="R9" s="116"/>
      <c r="S9" s="14"/>
    </row>
    <row r="10" spans="1:19" s="43" customFormat="1" ht="15" customHeight="1">
      <c r="A10" s="110" t="s">
        <v>48</v>
      </c>
      <c r="B10" s="24">
        <f>B7-B5</f>
        <v>-1692.5360666666675</v>
      </c>
      <c r="C10" s="24">
        <f>C7-C5</f>
        <v>2373.8623333333526</v>
      </c>
      <c r="D10" s="24">
        <f>D7-D5</f>
        <v>7428.8121000000101</v>
      </c>
      <c r="E10" s="191"/>
      <c r="F10" s="24">
        <f>F7-F5</f>
        <v>4795.8896999999997</v>
      </c>
      <c r="G10" s="24">
        <f>G7-G5</f>
        <v>-5510.4235999999946</v>
      </c>
      <c r="H10" s="24">
        <f>H7-H5</f>
        <v>-10482.31329999998</v>
      </c>
      <c r="I10" s="191"/>
      <c r="J10" s="85">
        <f>J7-J5</f>
        <v>6881.7638000000006</v>
      </c>
      <c r="K10" s="24">
        <f>K7-K5</f>
        <v>6010.821066666671</v>
      </c>
      <c r="L10" s="24">
        <f>L7-L5</f>
        <v>-20023.902200000011</v>
      </c>
      <c r="M10" s="191"/>
      <c r="N10" s="85">
        <f>N7-N5</f>
        <v>-5285.9492000000027</v>
      </c>
      <c r="O10" s="24">
        <f>O7-O5</f>
        <v>-22194.038400000005</v>
      </c>
      <c r="P10" s="24">
        <f>P7-P5</f>
        <v>-40190.991500000004</v>
      </c>
      <c r="Q10" s="191"/>
      <c r="R10" s="111"/>
    </row>
    <row r="11" spans="1:19" s="12" customFormat="1" ht="15" customHeight="1">
      <c r="A11" s="112" t="s">
        <v>217</v>
      </c>
      <c r="B11" s="28">
        <f>SUMIF(X!A:A,$A$1,X!G:G)</f>
        <v>169157.6875</v>
      </c>
      <c r="C11" s="28">
        <f>SUMIF(XI!A:A,$A$1,XI!G:G)</f>
        <v>167411.375</v>
      </c>
      <c r="D11" s="28">
        <f>SUMIF(XII!A:A,$A$1,XII!G:G)</f>
        <v>215811.1563</v>
      </c>
      <c r="E11" s="190">
        <f>SUM(B11:D11)</f>
        <v>552380.21880000003</v>
      </c>
      <c r="F11" s="28">
        <f>SUMIF(VII!A:A,$A$1,VII!G:G)</f>
        <v>214979.7188</v>
      </c>
      <c r="G11" s="28">
        <f>SUMIF(VIII!A:A,$A$1,VIII!G:G)</f>
        <v>246649.64060000001</v>
      </c>
      <c r="H11" s="28">
        <f>SUMIF(IX!A:A,$A$1,IX!G:G)</f>
        <v>222187.92189999999</v>
      </c>
      <c r="I11" s="190">
        <f>SUM(F11:H11)</f>
        <v>683817.28130000003</v>
      </c>
      <c r="J11" s="28">
        <f>SUMIF(IV!A:A,$A$1,IV!G:G)</f>
        <v>177010.75</v>
      </c>
      <c r="K11" s="28">
        <f>SUMIF(V!A:A,$A$1,V!G:G)</f>
        <v>238140.20310000001</v>
      </c>
      <c r="L11" s="28">
        <f>SUMIF(VI!A:A,$A$1,VI!G:G)</f>
        <v>140238.07810000001</v>
      </c>
      <c r="M11" s="190">
        <f>SUM(J11:L11)</f>
        <v>555389.03120000008</v>
      </c>
      <c r="N11" s="86">
        <f>SUMIF(I!A:A,$A$1,I!G:G)</f>
        <v>153605.17189999999</v>
      </c>
      <c r="O11" s="28">
        <f>SUMIF(II!A:A,$A$1,II!G:G)</f>
        <v>141858.26560000001</v>
      </c>
      <c r="P11" s="28">
        <f>SUMIF(III!A:A,$A$1,III!G:G)</f>
        <v>200199.95310000001</v>
      </c>
      <c r="Q11" s="190">
        <f>SUM(N11:P11)</f>
        <v>495663.39060000004</v>
      </c>
      <c r="R11" s="109">
        <f>Q11+M11+I11+E11</f>
        <v>2287249.9219</v>
      </c>
      <c r="S11" s="14"/>
    </row>
    <row r="12" spans="1:19" customFormat="1" ht="13.2">
      <c r="A12" s="110" t="s">
        <v>218</v>
      </c>
      <c r="B12" s="8">
        <f>B11</f>
        <v>169157.6875</v>
      </c>
      <c r="C12" s="8">
        <f>C11+B12</f>
        <v>336569.0625</v>
      </c>
      <c r="D12" s="8">
        <f>D11+C12</f>
        <v>552380.21880000003</v>
      </c>
      <c r="E12" s="191"/>
      <c r="F12" s="8">
        <f>F11</f>
        <v>214979.7188</v>
      </c>
      <c r="G12" s="8">
        <f>G11+F12</f>
        <v>461629.35940000002</v>
      </c>
      <c r="H12" s="8">
        <f>H11+G12</f>
        <v>683817.28130000003</v>
      </c>
      <c r="I12" s="191"/>
      <c r="J12" s="85">
        <f>J11</f>
        <v>177010.75</v>
      </c>
      <c r="K12" s="8">
        <f>K11+J12</f>
        <v>415150.95310000004</v>
      </c>
      <c r="L12" s="8">
        <f>L11+K12</f>
        <v>555389.03120000008</v>
      </c>
      <c r="M12" s="191"/>
      <c r="N12" s="85">
        <f>N11</f>
        <v>153605.17189999999</v>
      </c>
      <c r="O12" s="8">
        <f>O11+N12</f>
        <v>295463.4375</v>
      </c>
      <c r="P12" s="8">
        <f>P11+O12</f>
        <v>495663.39060000004</v>
      </c>
      <c r="Q12" s="191"/>
      <c r="R12" s="111"/>
    </row>
    <row r="13" spans="1:19" s="29" customFormat="1" ht="15" customHeight="1">
      <c r="A13" s="118" t="s">
        <v>32</v>
      </c>
      <c r="B13" s="11">
        <f t="shared" ref="B13:D14" si="4">B6/B11</f>
        <v>0.34567823351214821</v>
      </c>
      <c r="C13" s="11">
        <f t="shared" si="4"/>
        <v>0.42151495619697293</v>
      </c>
      <c r="D13" s="11">
        <f t="shared" si="4"/>
        <v>0.31688947074141599</v>
      </c>
      <c r="E13" s="193"/>
      <c r="F13" s="11">
        <f t="shared" ref="F13:H14" si="5">F6/F11</f>
        <v>0.31535946776017459</v>
      </c>
      <c r="G13" s="11">
        <f t="shared" si="5"/>
        <v>0.22580080216017961</v>
      </c>
      <c r="H13" s="11">
        <f t="shared" si="5"/>
        <v>0.35568139628925538</v>
      </c>
      <c r="I13" s="193"/>
      <c r="J13" s="89">
        <f t="shared" ref="J13:L14" si="6">J6/J11</f>
        <v>0.38631418600282752</v>
      </c>
      <c r="K13" s="11">
        <f t="shared" si="6"/>
        <v>0.28328854062357184</v>
      </c>
      <c r="L13" s="11">
        <f t="shared" si="6"/>
        <v>0.32182374438857908</v>
      </c>
      <c r="M13" s="193"/>
      <c r="N13" s="89">
        <f t="shared" ref="N13:P14" si="7">N6/N11</f>
        <v>0.32039318853169424</v>
      </c>
      <c r="O13" s="11">
        <f t="shared" si="7"/>
        <v>0.32491522862662148</v>
      </c>
      <c r="P13" s="11">
        <f t="shared" si="7"/>
        <v>0.34217314159800366</v>
      </c>
      <c r="Q13" s="193"/>
      <c r="R13" s="119"/>
      <c r="S13" s="14"/>
    </row>
    <row r="14" spans="1:19" s="12" customFormat="1" ht="15" customHeight="1">
      <c r="A14" s="118" t="s">
        <v>33</v>
      </c>
      <c r="B14" s="11">
        <f t="shared" si="4"/>
        <v>0.34567823351214821</v>
      </c>
      <c r="C14" s="11">
        <f t="shared" si="4"/>
        <v>0.38339985274196142</v>
      </c>
      <c r="D14" s="11">
        <f t="shared" si="4"/>
        <v>0.35741470346077497</v>
      </c>
      <c r="E14" s="193"/>
      <c r="F14" s="11">
        <f t="shared" si="5"/>
        <v>0.31535946776017459</v>
      </c>
      <c r="G14" s="11">
        <f t="shared" si="5"/>
        <v>0.26750806439283853</v>
      </c>
      <c r="H14" s="11">
        <f t="shared" si="5"/>
        <v>0.29615760267859148</v>
      </c>
      <c r="I14" s="193"/>
      <c r="J14" s="89">
        <f t="shared" si="6"/>
        <v>0.38631418600282752</v>
      </c>
      <c r="K14" s="11">
        <f t="shared" si="6"/>
        <v>0.32721628936566205</v>
      </c>
      <c r="L14" s="11">
        <f t="shared" si="6"/>
        <v>0.32585464896376221</v>
      </c>
      <c r="M14" s="193"/>
      <c r="N14" s="89">
        <f t="shared" si="7"/>
        <v>0.32039318853169424</v>
      </c>
      <c r="O14" s="11">
        <f t="shared" si="7"/>
        <v>0.32256431593164553</v>
      </c>
      <c r="P14" s="11">
        <f t="shared" si="7"/>
        <v>0.33048438034067706</v>
      </c>
      <c r="Q14" s="193"/>
      <c r="R14" s="119"/>
    </row>
    <row r="15" spans="1:19" s="67" customFormat="1" ht="15" customHeight="1">
      <c r="A15" s="96"/>
      <c r="B15" s="97"/>
      <c r="C15" s="97"/>
      <c r="D15" s="97"/>
      <c r="E15" s="194"/>
      <c r="F15" s="97"/>
      <c r="G15" s="97"/>
      <c r="H15" s="97"/>
      <c r="I15" s="194"/>
      <c r="J15" s="97"/>
      <c r="K15" s="97"/>
      <c r="L15" s="97"/>
      <c r="M15" s="194"/>
      <c r="N15" s="97"/>
      <c r="O15" s="97"/>
      <c r="P15" s="97"/>
      <c r="Q15" s="194"/>
      <c r="R15" s="120"/>
      <c r="S15" s="66"/>
    </row>
    <row r="16" spans="1:19" s="12" customFormat="1" ht="15" customHeight="1">
      <c r="A16" s="52"/>
      <c r="B16" s="451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8" t="s">
        <v>26</v>
      </c>
      <c r="O16" s="451"/>
      <c r="P16" s="451"/>
      <c r="Q16" s="451"/>
      <c r="R16" s="213"/>
    </row>
    <row r="17" spans="1:19" s="12" customFormat="1" ht="15" customHeight="1">
      <c r="A17" s="69" t="s">
        <v>76</v>
      </c>
      <c r="B17" s="80">
        <v>5000</v>
      </c>
      <c r="C17" s="80">
        <v>5000</v>
      </c>
      <c r="D17" s="80">
        <v>5000</v>
      </c>
      <c r="E17" s="196"/>
      <c r="F17" s="80">
        <v>5000</v>
      </c>
      <c r="G17" s="80">
        <v>5000</v>
      </c>
      <c r="H17" s="80">
        <v>5000</v>
      </c>
      <c r="I17" s="196"/>
      <c r="J17" s="80">
        <v>5000</v>
      </c>
      <c r="K17" s="80">
        <v>5000</v>
      </c>
      <c r="L17" s="80">
        <v>5000</v>
      </c>
      <c r="M17" s="196"/>
      <c r="N17" s="73">
        <v>4600</v>
      </c>
      <c r="O17" s="73">
        <v>5000</v>
      </c>
      <c r="P17" s="73">
        <v>5000</v>
      </c>
      <c r="Q17" s="196"/>
      <c r="R17" s="124"/>
    </row>
    <row r="18" spans="1:19" s="12" customFormat="1" ht="15" customHeight="1">
      <c r="A18" s="19" t="s">
        <v>50</v>
      </c>
      <c r="B18" s="74">
        <f>B5</f>
        <v>60166.666666666664</v>
      </c>
      <c r="C18" s="74">
        <f>C5</f>
        <v>126666.66666666666</v>
      </c>
      <c r="D18" s="74">
        <f>D5</f>
        <v>190000</v>
      </c>
      <c r="E18" s="197"/>
      <c r="F18" s="74">
        <f>F5</f>
        <v>63000</v>
      </c>
      <c r="G18" s="74">
        <f>G5</f>
        <v>129000</v>
      </c>
      <c r="H18" s="74">
        <f>H5</f>
        <v>213000</v>
      </c>
      <c r="I18" s="197"/>
      <c r="J18" s="74">
        <f>J5</f>
        <v>61500</v>
      </c>
      <c r="K18" s="74">
        <f>K5</f>
        <v>129833.33333333333</v>
      </c>
      <c r="L18" s="74">
        <f>L5</f>
        <v>201000</v>
      </c>
      <c r="M18" s="197"/>
      <c r="N18" s="74">
        <f>N5</f>
        <v>54500</v>
      </c>
      <c r="O18" s="74">
        <f>O5</f>
        <v>117500</v>
      </c>
      <c r="P18" s="74">
        <f>P5</f>
        <v>204000</v>
      </c>
      <c r="Q18" s="197"/>
      <c r="R18" s="126"/>
    </row>
    <row r="19" spans="1:19" s="27" customFormat="1" ht="15" customHeight="1">
      <c r="A19" s="39" t="s">
        <v>51</v>
      </c>
      <c r="B19" s="77">
        <f>B7</f>
        <v>58474.130599999997</v>
      </c>
      <c r="C19" s="77">
        <f>C7</f>
        <v>129040.52900000001</v>
      </c>
      <c r="D19" s="77">
        <f>D7</f>
        <v>197428.81210000001</v>
      </c>
      <c r="E19" s="198"/>
      <c r="F19" s="77">
        <f>F7</f>
        <v>67795.8897</v>
      </c>
      <c r="G19" s="77">
        <f>G7</f>
        <v>123489.57640000001</v>
      </c>
      <c r="H19" s="77">
        <f>H7</f>
        <v>202517.68670000002</v>
      </c>
      <c r="I19" s="198"/>
      <c r="J19" s="77">
        <f>J7</f>
        <v>68381.763800000001</v>
      </c>
      <c r="K19" s="77">
        <f>K7</f>
        <v>135844.1544</v>
      </c>
      <c r="L19" s="77">
        <f>L7</f>
        <v>180976.09779999999</v>
      </c>
      <c r="M19" s="198"/>
      <c r="N19" s="77">
        <f>N7</f>
        <v>49214.050799999997</v>
      </c>
      <c r="O19" s="77">
        <f>O7</f>
        <v>95305.961599999995</v>
      </c>
      <c r="P19" s="77">
        <f>P7</f>
        <v>163809.0085</v>
      </c>
      <c r="Q19" s="198"/>
      <c r="R19" s="126"/>
      <c r="S19" s="12"/>
    </row>
    <row r="20" spans="1:19" s="27" customFormat="1" ht="15" customHeight="1">
      <c r="A20" s="39" t="s">
        <v>52</v>
      </c>
      <c r="B20" s="128">
        <f>B19/B18</f>
        <v>0.97186920664819942</v>
      </c>
      <c r="C20" s="128">
        <f>C19/C18</f>
        <v>1.0187410184210528</v>
      </c>
      <c r="D20" s="128">
        <f>D19/D18</f>
        <v>1.0390990110526317</v>
      </c>
      <c r="E20" s="199"/>
      <c r="F20" s="128">
        <f>F19/F18</f>
        <v>1.0761252333333333</v>
      </c>
      <c r="G20" s="128">
        <f>G19/G18</f>
        <v>0.95728353798449617</v>
      </c>
      <c r="H20" s="128">
        <f>H19/H18</f>
        <v>0.95078726150234749</v>
      </c>
      <c r="I20" s="199"/>
      <c r="J20" s="128">
        <f>J19/J18</f>
        <v>1.1118985983739837</v>
      </c>
      <c r="K20" s="128">
        <f>K19/K18</f>
        <v>1.0462964395378691</v>
      </c>
      <c r="L20" s="128">
        <f>L19/L18</f>
        <v>0.90037859601990045</v>
      </c>
      <c r="M20" s="199"/>
      <c r="N20" s="128">
        <f>N19/N18</f>
        <v>0.90301010642201829</v>
      </c>
      <c r="O20" s="128">
        <f>O19/O18</f>
        <v>0.81111456680851057</v>
      </c>
      <c r="P20" s="128">
        <f>P19/P18</f>
        <v>0.80298533578431375</v>
      </c>
      <c r="Q20" s="199"/>
      <c r="R20" s="126"/>
      <c r="S20" s="12"/>
    </row>
    <row r="21" spans="1:19" s="16" customFormat="1" ht="15" customHeight="1">
      <c r="A21" s="38" t="s">
        <v>60</v>
      </c>
      <c r="B21" s="81">
        <f>B17*0.35</f>
        <v>1750</v>
      </c>
      <c r="C21" s="81">
        <f>C17*0.35</f>
        <v>1750</v>
      </c>
      <c r="D21" s="81">
        <f>D17*0.35</f>
        <v>1750</v>
      </c>
      <c r="E21" s="200"/>
      <c r="F21" s="81">
        <f>F17*0.35</f>
        <v>1750</v>
      </c>
      <c r="G21" s="81">
        <f>G17*0.35</f>
        <v>1750</v>
      </c>
      <c r="H21" s="81">
        <f>H17*0.35</f>
        <v>1750</v>
      </c>
      <c r="I21" s="200"/>
      <c r="J21" s="81">
        <f>J17*0.35</f>
        <v>1750</v>
      </c>
      <c r="K21" s="81">
        <f>K17*0.35</f>
        <v>1750</v>
      </c>
      <c r="L21" s="81">
        <f>L17*0.35</f>
        <v>1750</v>
      </c>
      <c r="M21" s="200"/>
      <c r="N21" s="81">
        <f>N17*0.35</f>
        <v>1610</v>
      </c>
      <c r="O21" s="81">
        <f>O17*0.35</f>
        <v>1750</v>
      </c>
      <c r="P21" s="81">
        <f>P17*0.35</f>
        <v>1750</v>
      </c>
      <c r="Q21" s="200"/>
      <c r="R21" s="129"/>
      <c r="S21" s="12"/>
    </row>
    <row r="22" spans="1:19" s="12" customFormat="1" ht="15" customHeight="1">
      <c r="A22" s="39" t="s">
        <v>53</v>
      </c>
      <c r="B22" s="77">
        <f>IF(B20&lt;80%,0,IF(B20&lt;90%,0.5,IF(B20&lt;95%,0.75,1)))</f>
        <v>1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8"/>
      <c r="F22" s="77">
        <f>IF(F20&lt;80%,0,IF(F20&lt;90%,0.5,IF(F20&lt;95%,0.75,1)))</f>
        <v>1</v>
      </c>
      <c r="G22" s="77">
        <f>IF(G20&lt;80%,0,IF(G20&lt;90%,0.5,IF(G20&lt;95%,0.75,1)))</f>
        <v>1</v>
      </c>
      <c r="H22" s="77">
        <f>IF(H20&lt;80%,0,IF(H20&lt;90%,0.5,IF(H20&lt;95%,0.75,1)))</f>
        <v>1</v>
      </c>
      <c r="I22" s="198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0.75</v>
      </c>
      <c r="M22" s="198"/>
      <c r="N22" s="77">
        <f>IF(N20&lt;80%,0,IF(N20&lt;90%,0.5,IF(N20&lt;95%,0.75,1)))</f>
        <v>0.75</v>
      </c>
      <c r="O22" s="77">
        <f>IF(O20&lt;80%,0,IF(O20&lt;90%,0.5,IF(O20&lt;95%,0.75,1)))</f>
        <v>0.5</v>
      </c>
      <c r="P22" s="77">
        <f>IF(P20&lt;80%,0,IF(P20&lt;90%,0.5,IF(P20&lt;95%,0.75,1)))</f>
        <v>0.5</v>
      </c>
      <c r="Q22" s="198"/>
      <c r="R22" s="126"/>
      <c r="S22" s="18"/>
    </row>
    <row r="23" spans="1:19" s="12" customFormat="1" ht="15" customHeight="1">
      <c r="A23" s="55" t="s">
        <v>54</v>
      </c>
      <c r="B23" s="76">
        <f>B22*B21</f>
        <v>1750</v>
      </c>
      <c r="C23" s="76">
        <f>C22*C21</f>
        <v>1750</v>
      </c>
      <c r="D23" s="76">
        <f>D22*D21</f>
        <v>1750</v>
      </c>
      <c r="E23" s="201"/>
      <c r="F23" s="76">
        <f>F22*F21</f>
        <v>1750</v>
      </c>
      <c r="G23" s="76">
        <f>G22*G21</f>
        <v>1750</v>
      </c>
      <c r="H23" s="76">
        <f>H22*H21</f>
        <v>1750</v>
      </c>
      <c r="I23" s="201"/>
      <c r="J23" s="76">
        <f>J22*J21</f>
        <v>1750</v>
      </c>
      <c r="K23" s="76">
        <f>K22*K21</f>
        <v>1750</v>
      </c>
      <c r="L23" s="76">
        <f>L22*L21</f>
        <v>1312.5</v>
      </c>
      <c r="M23" s="201"/>
      <c r="N23" s="76">
        <f>N22*N21</f>
        <v>1207.5</v>
      </c>
      <c r="O23" s="76">
        <f>O22*O21</f>
        <v>875</v>
      </c>
      <c r="P23" s="76">
        <f>P22*P21</f>
        <v>875</v>
      </c>
      <c r="Q23" s="201"/>
      <c r="R23" s="130"/>
      <c r="S23" s="14"/>
    </row>
    <row r="24" spans="1:19" s="14" customFormat="1" ht="15" customHeight="1">
      <c r="A24" s="19" t="s">
        <v>34</v>
      </c>
      <c r="B24" s="74">
        <v>1</v>
      </c>
      <c r="C24" s="74">
        <v>1</v>
      </c>
      <c r="D24" s="74">
        <v>1</v>
      </c>
      <c r="E24" s="197"/>
      <c r="F24" s="74">
        <v>1</v>
      </c>
      <c r="G24" s="74">
        <v>1</v>
      </c>
      <c r="H24" s="74">
        <v>1</v>
      </c>
      <c r="I24" s="197"/>
      <c r="J24" s="74">
        <v>1</v>
      </c>
      <c r="K24" s="74">
        <v>1</v>
      </c>
      <c r="L24" s="74">
        <v>1</v>
      </c>
      <c r="M24" s="197"/>
      <c r="N24" s="74">
        <v>1</v>
      </c>
      <c r="O24" s="74">
        <v>1</v>
      </c>
      <c r="P24" s="74">
        <v>1</v>
      </c>
      <c r="Q24" s="197"/>
      <c r="R24" s="131"/>
      <c r="S24" s="33"/>
    </row>
    <row r="25" spans="1:19" s="44" customFormat="1" ht="15" customHeight="1">
      <c r="A25" s="49" t="s">
        <v>59</v>
      </c>
      <c r="B25" s="132">
        <f>B17*0.05</f>
        <v>250</v>
      </c>
      <c r="C25" s="132">
        <f>C17*0.05</f>
        <v>250</v>
      </c>
      <c r="D25" s="132">
        <f>D17*0.05</f>
        <v>250</v>
      </c>
      <c r="E25" s="202"/>
      <c r="F25" s="132">
        <f>F17*0.05</f>
        <v>250</v>
      </c>
      <c r="G25" s="132">
        <f>G17*0.05</f>
        <v>250</v>
      </c>
      <c r="H25" s="132">
        <f>H17*0.05</f>
        <v>250</v>
      </c>
      <c r="I25" s="202"/>
      <c r="J25" s="132">
        <f>J17*0.05</f>
        <v>250</v>
      </c>
      <c r="K25" s="132">
        <f>K17*0.05</f>
        <v>250</v>
      </c>
      <c r="L25" s="132">
        <f>L17*0.05</f>
        <v>250</v>
      </c>
      <c r="M25" s="202"/>
      <c r="N25" s="132">
        <f>N17*0.05</f>
        <v>230</v>
      </c>
      <c r="O25" s="132">
        <f>O17*0.05</f>
        <v>250</v>
      </c>
      <c r="P25" s="132">
        <f>P17*0.05</f>
        <v>250</v>
      </c>
      <c r="Q25" s="202"/>
      <c r="R25" s="129"/>
    </row>
    <row r="26" spans="1:19" s="12" customFormat="1" ht="15" customHeight="1">
      <c r="A26" s="39" t="s">
        <v>62</v>
      </c>
      <c r="B26" s="77">
        <v>1</v>
      </c>
      <c r="C26" s="77">
        <v>1</v>
      </c>
      <c r="D26" s="77">
        <v>1</v>
      </c>
      <c r="E26" s="198"/>
      <c r="F26" s="77">
        <v>1</v>
      </c>
      <c r="G26" s="77">
        <v>1</v>
      </c>
      <c r="H26" s="77">
        <v>1</v>
      </c>
      <c r="I26" s="198"/>
      <c r="J26" s="77">
        <v>0.5</v>
      </c>
      <c r="K26" s="77">
        <v>1</v>
      </c>
      <c r="L26" s="77">
        <v>1</v>
      </c>
      <c r="M26" s="198"/>
      <c r="N26" s="77">
        <v>1</v>
      </c>
      <c r="O26" s="77">
        <v>1</v>
      </c>
      <c r="P26" s="77">
        <v>0.5</v>
      </c>
      <c r="Q26" s="198"/>
      <c r="R26" s="126"/>
      <c r="S26" s="29"/>
    </row>
    <row r="27" spans="1:19" s="21" customFormat="1" ht="15" customHeight="1">
      <c r="A27" s="62" t="s">
        <v>63</v>
      </c>
      <c r="B27" s="76">
        <f>B26*B25</f>
        <v>250</v>
      </c>
      <c r="C27" s="76">
        <f>C26*C25</f>
        <v>250</v>
      </c>
      <c r="D27" s="76">
        <f>D26*D25</f>
        <v>250</v>
      </c>
      <c r="E27" s="201"/>
      <c r="F27" s="76">
        <f>F26*F25</f>
        <v>250</v>
      </c>
      <c r="G27" s="76">
        <f>G26*G25</f>
        <v>250</v>
      </c>
      <c r="H27" s="76">
        <f>H26*H25</f>
        <v>250</v>
      </c>
      <c r="I27" s="201"/>
      <c r="J27" s="76">
        <f>J26*J25</f>
        <v>125</v>
      </c>
      <c r="K27" s="76">
        <f>K26*K25</f>
        <v>250</v>
      </c>
      <c r="L27" s="76">
        <f>L26*L25</f>
        <v>250</v>
      </c>
      <c r="M27" s="201"/>
      <c r="N27" s="76">
        <f>N26*N25</f>
        <v>230</v>
      </c>
      <c r="O27" s="76">
        <f>O26*O25</f>
        <v>250</v>
      </c>
      <c r="P27" s="76">
        <f>P26*P25</f>
        <v>125</v>
      </c>
      <c r="Q27" s="201"/>
      <c r="R27" s="133"/>
      <c r="S27" s="14"/>
    </row>
    <row r="28" spans="1:19" s="42" customFormat="1" ht="15" customHeight="1">
      <c r="A28" s="52" t="s">
        <v>67</v>
      </c>
      <c r="B28" s="79">
        <f>B23+B27</f>
        <v>2000</v>
      </c>
      <c r="C28" s="79">
        <f>C23+C27</f>
        <v>2000</v>
      </c>
      <c r="D28" s="79">
        <f>D23+D27</f>
        <v>2000</v>
      </c>
      <c r="E28" s="203"/>
      <c r="F28" s="79">
        <f>F23+F27</f>
        <v>2000</v>
      </c>
      <c r="G28" s="79">
        <f>G23+G27</f>
        <v>2000</v>
      </c>
      <c r="H28" s="79">
        <f>H23+H27</f>
        <v>2000</v>
      </c>
      <c r="I28" s="203"/>
      <c r="J28" s="79">
        <f>J23+J27</f>
        <v>1875</v>
      </c>
      <c r="K28" s="79">
        <f>K23+K27</f>
        <v>2000</v>
      </c>
      <c r="L28" s="79">
        <f>L23+L27</f>
        <v>1562.5</v>
      </c>
      <c r="M28" s="203"/>
      <c r="N28" s="79">
        <f>N23+N27</f>
        <v>1437.5</v>
      </c>
      <c r="O28" s="79">
        <f>O23+O27</f>
        <v>1125</v>
      </c>
      <c r="P28" s="79">
        <f>P23+P27</f>
        <v>1000</v>
      </c>
      <c r="Q28" s="203"/>
      <c r="R28" s="134">
        <f>SUM(B28:P28)</f>
        <v>21000</v>
      </c>
      <c r="S28" s="16"/>
    </row>
    <row r="29" spans="1:19" s="12" customFormat="1" ht="15" customHeight="1">
      <c r="A29" s="125" t="s">
        <v>125</v>
      </c>
      <c r="B29" s="760">
        <f>D5</f>
        <v>190000</v>
      </c>
      <c r="C29" s="761"/>
      <c r="D29" s="761"/>
      <c r="E29" s="762"/>
      <c r="F29" s="760">
        <f>H5</f>
        <v>213000</v>
      </c>
      <c r="G29" s="761"/>
      <c r="H29" s="761"/>
      <c r="I29" s="762"/>
      <c r="J29" s="760">
        <f>L5</f>
        <v>201000</v>
      </c>
      <c r="K29" s="761"/>
      <c r="L29" s="761"/>
      <c r="M29" s="762"/>
      <c r="N29" s="760">
        <f>P5</f>
        <v>204000</v>
      </c>
      <c r="O29" s="761"/>
      <c r="P29" s="761"/>
      <c r="Q29" s="762"/>
      <c r="R29" s="129"/>
    </row>
    <row r="30" spans="1:19" s="12" customFormat="1" ht="15" customHeight="1">
      <c r="A30" s="127" t="s">
        <v>69</v>
      </c>
      <c r="B30" s="763">
        <f>D7</f>
        <v>197428.81210000001</v>
      </c>
      <c r="C30" s="764"/>
      <c r="D30" s="764"/>
      <c r="E30" s="762"/>
      <c r="F30" s="763">
        <f>H7</f>
        <v>202517.68670000002</v>
      </c>
      <c r="G30" s="764"/>
      <c r="H30" s="764"/>
      <c r="I30" s="762"/>
      <c r="J30" s="763">
        <f>L7</f>
        <v>180976.09779999999</v>
      </c>
      <c r="K30" s="764"/>
      <c r="L30" s="764"/>
      <c r="M30" s="762"/>
      <c r="N30" s="763">
        <f>P7</f>
        <v>163809.0085</v>
      </c>
      <c r="O30" s="764"/>
      <c r="P30" s="764"/>
      <c r="Q30" s="762"/>
      <c r="R30" s="129"/>
    </row>
    <row r="31" spans="1:19" s="18" customFormat="1" ht="15" customHeight="1">
      <c r="A31" s="127" t="s">
        <v>68</v>
      </c>
      <c r="B31" s="765">
        <f>B30/B29</f>
        <v>1.0390990110526317</v>
      </c>
      <c r="C31" s="766"/>
      <c r="D31" s="766"/>
      <c r="E31" s="762"/>
      <c r="F31" s="765">
        <f>F30/F29</f>
        <v>0.95078726150234749</v>
      </c>
      <c r="G31" s="766"/>
      <c r="H31" s="766"/>
      <c r="I31" s="762"/>
      <c r="J31" s="765">
        <f>J30/J29</f>
        <v>0.90037859601990045</v>
      </c>
      <c r="K31" s="766"/>
      <c r="L31" s="766"/>
      <c r="M31" s="762"/>
      <c r="N31" s="765">
        <f>N30/N29</f>
        <v>0.80298533578431375</v>
      </c>
      <c r="O31" s="766"/>
      <c r="P31" s="766"/>
      <c r="Q31" s="762"/>
      <c r="R31" s="135"/>
      <c r="S31" s="12"/>
    </row>
    <row r="32" spans="1:19" s="14" customFormat="1" ht="15" customHeight="1">
      <c r="A32" s="127" t="s">
        <v>65</v>
      </c>
      <c r="B32" s="767">
        <f>D17</f>
        <v>5000</v>
      </c>
      <c r="C32" s="768"/>
      <c r="D32" s="768"/>
      <c r="E32" s="762"/>
      <c r="F32" s="767">
        <f>H17</f>
        <v>5000</v>
      </c>
      <c r="G32" s="768"/>
      <c r="H32" s="768"/>
      <c r="I32" s="762"/>
      <c r="J32" s="767">
        <f>L17</f>
        <v>5000</v>
      </c>
      <c r="K32" s="768"/>
      <c r="L32" s="768"/>
      <c r="M32" s="762"/>
      <c r="N32" s="767">
        <f>P17</f>
        <v>5000</v>
      </c>
      <c r="O32" s="768"/>
      <c r="P32" s="768"/>
      <c r="Q32" s="762"/>
      <c r="R32" s="129"/>
      <c r="S32" s="12"/>
    </row>
    <row r="33" spans="1:19" s="12" customFormat="1" ht="15" customHeight="1">
      <c r="A33" s="83" t="s">
        <v>66</v>
      </c>
      <c r="B33" s="769">
        <f>IF(B31&lt;100%,0,IF(B31&lt;105%,0.5,IF(B31&lt;110%,0.7,1)))</f>
        <v>0.5</v>
      </c>
      <c r="C33" s="770"/>
      <c r="D33" s="770"/>
      <c r="E33" s="759"/>
      <c r="F33" s="769">
        <f>IF(F31&lt;100%,0,IF(F31&lt;105%,0.5,IF(F31&lt;110%,0.7,1)))</f>
        <v>0</v>
      </c>
      <c r="G33" s="770"/>
      <c r="H33" s="770"/>
      <c r="I33" s="759"/>
      <c r="J33" s="769">
        <f>IF(J31&lt;100%,0,IF(J31&lt;105%,0.5,IF(J31&lt;110%,0.7,1)))</f>
        <v>0</v>
      </c>
      <c r="K33" s="770"/>
      <c r="L33" s="770"/>
      <c r="M33" s="759"/>
      <c r="N33" s="769">
        <f>IF(N31&lt;100%,0,IF(N31&lt;105%,0.5,IF(N31&lt;110%,0.7,1)))</f>
        <v>0</v>
      </c>
      <c r="O33" s="770"/>
      <c r="P33" s="770"/>
      <c r="Q33" s="759"/>
      <c r="R33" s="136"/>
    </row>
    <row r="34" spans="1:19" s="12" customFormat="1" ht="15" customHeight="1">
      <c r="A34" s="52" t="s">
        <v>64</v>
      </c>
      <c r="B34" s="771">
        <f>B33*B32</f>
        <v>2500</v>
      </c>
      <c r="C34" s="772"/>
      <c r="D34" s="772"/>
      <c r="E34" s="759"/>
      <c r="F34" s="771">
        <f>F33*F32</f>
        <v>0</v>
      </c>
      <c r="G34" s="772"/>
      <c r="H34" s="772"/>
      <c r="I34" s="759"/>
      <c r="J34" s="771">
        <f>J33*J32</f>
        <v>0</v>
      </c>
      <c r="K34" s="772"/>
      <c r="L34" s="772"/>
      <c r="M34" s="759"/>
      <c r="N34" s="771">
        <f>N33*N32</f>
        <v>0</v>
      </c>
      <c r="O34" s="772"/>
      <c r="P34" s="772"/>
      <c r="Q34" s="759"/>
      <c r="R34" s="134">
        <f>SUM(B34:P34)</f>
        <v>2500</v>
      </c>
    </row>
    <row r="35" spans="1:19" s="12" customFormat="1" ht="15" customHeight="1" thickBot="1">
      <c r="A35" s="59"/>
      <c r="B35" s="60"/>
      <c r="C35" s="60"/>
      <c r="D35" s="60"/>
      <c r="E35" s="139"/>
      <c r="F35" s="60"/>
      <c r="G35" s="60"/>
      <c r="H35" s="60"/>
      <c r="I35" s="139"/>
      <c r="J35" s="60"/>
      <c r="K35" s="60"/>
      <c r="L35" s="60"/>
      <c r="M35" s="139"/>
      <c r="N35" s="60"/>
      <c r="O35" s="60"/>
      <c r="P35" s="60"/>
      <c r="Q35" s="139"/>
      <c r="R35" s="140"/>
    </row>
    <row r="36" spans="1:19" ht="13.5" customHeight="1" thickBot="1">
      <c r="A36" s="391" t="s">
        <v>96</v>
      </c>
      <c r="B36" s="402" t="s">
        <v>97</v>
      </c>
      <c r="C36" s="402" t="s">
        <v>11</v>
      </c>
      <c r="D36" s="402" t="s">
        <v>12</v>
      </c>
      <c r="E36" s="400" t="s">
        <v>98</v>
      </c>
      <c r="F36" s="402" t="s">
        <v>7</v>
      </c>
      <c r="G36" s="402" t="s">
        <v>8</v>
      </c>
      <c r="H36" s="402" t="s">
        <v>9</v>
      </c>
      <c r="I36" s="400" t="s">
        <v>98</v>
      </c>
      <c r="J36" s="402" t="s">
        <v>4</v>
      </c>
      <c r="K36" s="402" t="s">
        <v>5</v>
      </c>
      <c r="L36" s="402" t="s">
        <v>6</v>
      </c>
      <c r="M36" s="400" t="s">
        <v>98</v>
      </c>
      <c r="N36" s="402" t="s">
        <v>1</v>
      </c>
      <c r="O36" s="402" t="s">
        <v>2</v>
      </c>
      <c r="P36" s="402" t="s">
        <v>3</v>
      </c>
      <c r="Q36" s="400" t="s">
        <v>98</v>
      </c>
      <c r="R36" s="400" t="s">
        <v>98</v>
      </c>
    </row>
    <row r="37" spans="1:19" ht="13.5" customHeight="1" thickTop="1">
      <c r="A37" s="392" t="s">
        <v>99</v>
      </c>
      <c r="B37" s="159">
        <v>1</v>
      </c>
      <c r="C37" s="159">
        <v>0</v>
      </c>
      <c r="D37" s="159">
        <v>1</v>
      </c>
      <c r="E37" s="401">
        <f>SUM(B37:D37)</f>
        <v>2</v>
      </c>
      <c r="F37" s="649">
        <v>4</v>
      </c>
      <c r="G37" s="649">
        <v>1</v>
      </c>
      <c r="H37" s="649">
        <v>2</v>
      </c>
      <c r="I37" s="401">
        <f>SUM(F37:H37)</f>
        <v>7</v>
      </c>
      <c r="J37" s="639">
        <v>0</v>
      </c>
      <c r="K37" s="639">
        <v>0</v>
      </c>
      <c r="L37" s="639">
        <v>0</v>
      </c>
      <c r="M37" s="401">
        <f>SUM(J37:L37)</f>
        <v>0</v>
      </c>
      <c r="N37" s="630">
        <v>1</v>
      </c>
      <c r="O37" s="630">
        <v>1</v>
      </c>
      <c r="P37" s="630">
        <v>0</v>
      </c>
      <c r="Q37" s="401">
        <f>SUM(N37:P37)</f>
        <v>2</v>
      </c>
      <c r="R37" s="401">
        <f>M37+I37+E37+Q37</f>
        <v>11</v>
      </c>
      <c r="S37" s="65"/>
    </row>
    <row r="38" spans="1:19" ht="13.5" customHeight="1">
      <c r="A38" s="393" t="s">
        <v>100</v>
      </c>
      <c r="B38" s="160">
        <v>83</v>
      </c>
      <c r="C38" s="160">
        <v>84</v>
      </c>
      <c r="D38" s="160">
        <v>85</v>
      </c>
      <c r="E38" s="207"/>
      <c r="F38" s="647">
        <v>77</v>
      </c>
      <c r="G38" s="647">
        <v>79</v>
      </c>
      <c r="H38" s="647">
        <v>81</v>
      </c>
      <c r="I38" s="207"/>
      <c r="J38" s="638">
        <v>73</v>
      </c>
      <c r="K38" s="638">
        <v>73</v>
      </c>
      <c r="L38" s="638">
        <v>73</v>
      </c>
      <c r="M38" s="207"/>
      <c r="N38" s="629">
        <v>67</v>
      </c>
      <c r="O38" s="629">
        <v>69</v>
      </c>
      <c r="P38" s="629">
        <v>71</v>
      </c>
      <c r="Q38" s="207"/>
      <c r="R38" s="207"/>
      <c r="S38" s="65"/>
    </row>
    <row r="39" spans="1:19" ht="13.5" customHeight="1">
      <c r="A39" s="393" t="s">
        <v>101</v>
      </c>
      <c r="B39" s="160">
        <v>9</v>
      </c>
      <c r="C39" s="160">
        <v>12</v>
      </c>
      <c r="D39" s="160">
        <v>11</v>
      </c>
      <c r="E39" s="207"/>
      <c r="F39" s="647">
        <v>24</v>
      </c>
      <c r="G39" s="647">
        <v>25</v>
      </c>
      <c r="H39" s="647">
        <v>20</v>
      </c>
      <c r="I39" s="207"/>
      <c r="J39" s="638">
        <v>18</v>
      </c>
      <c r="K39" s="638">
        <v>22</v>
      </c>
      <c r="L39" s="638">
        <v>25</v>
      </c>
      <c r="M39" s="207"/>
      <c r="N39" s="629">
        <v>18</v>
      </c>
      <c r="O39" s="629">
        <v>17</v>
      </c>
      <c r="P39" s="629">
        <v>17</v>
      </c>
      <c r="Q39" s="207"/>
      <c r="R39" s="207"/>
      <c r="S39" s="65"/>
    </row>
    <row r="40" spans="1:19" ht="13.5" customHeight="1">
      <c r="A40" s="393" t="s">
        <v>135</v>
      </c>
      <c r="B40" s="160">
        <v>11</v>
      </c>
      <c r="C40" s="160">
        <v>9</v>
      </c>
      <c r="D40" s="160">
        <v>9</v>
      </c>
      <c r="E40" s="207"/>
      <c r="F40" s="647">
        <v>24</v>
      </c>
      <c r="G40" s="647">
        <v>23</v>
      </c>
      <c r="H40" s="647">
        <v>23</v>
      </c>
      <c r="I40" s="207"/>
      <c r="J40" s="638">
        <v>21</v>
      </c>
      <c r="K40" s="638">
        <v>22</v>
      </c>
      <c r="L40" s="638">
        <v>23</v>
      </c>
      <c r="M40" s="207"/>
      <c r="N40" s="629">
        <v>22</v>
      </c>
      <c r="O40" s="629">
        <v>21</v>
      </c>
      <c r="P40" s="629">
        <v>22</v>
      </c>
      <c r="Q40" s="207"/>
      <c r="R40" s="207"/>
      <c r="S40" s="65"/>
    </row>
    <row r="41" spans="1:19" ht="13.5" customHeight="1">
      <c r="A41" s="393" t="s">
        <v>102</v>
      </c>
      <c r="B41" s="482">
        <f t="shared" ref="B41:D41" si="8">SUM(B38:B40)</f>
        <v>103</v>
      </c>
      <c r="C41" s="482">
        <f t="shared" si="8"/>
        <v>105</v>
      </c>
      <c r="D41" s="482">
        <f t="shared" si="8"/>
        <v>105</v>
      </c>
      <c r="E41" s="208"/>
      <c r="F41" s="658">
        <v>125</v>
      </c>
      <c r="G41" s="658">
        <v>127</v>
      </c>
      <c r="H41" s="658">
        <v>124</v>
      </c>
      <c r="I41" s="208"/>
      <c r="J41" s="646">
        <v>112</v>
      </c>
      <c r="K41" s="646">
        <v>117</v>
      </c>
      <c r="L41" s="646">
        <v>121</v>
      </c>
      <c r="M41" s="208"/>
      <c r="N41" s="637">
        <v>107</v>
      </c>
      <c r="O41" s="637">
        <v>107</v>
      </c>
      <c r="P41" s="637">
        <v>110</v>
      </c>
      <c r="Q41" s="208"/>
      <c r="R41" s="208"/>
      <c r="S41" s="65"/>
    </row>
    <row r="42" spans="1:19" ht="13.5" customHeight="1" thickBot="1">
      <c r="A42" s="394" t="s">
        <v>103</v>
      </c>
      <c r="B42" s="161">
        <v>2</v>
      </c>
      <c r="C42" s="161">
        <v>1</v>
      </c>
      <c r="D42" s="161">
        <v>5</v>
      </c>
      <c r="E42" s="401">
        <f t="shared" ref="E42:E43" si="9">SUM(B42:D42)</f>
        <v>8</v>
      </c>
      <c r="F42" s="651">
        <v>4</v>
      </c>
      <c r="G42" s="651">
        <v>20</v>
      </c>
      <c r="H42" s="651">
        <v>1</v>
      </c>
      <c r="I42" s="401">
        <f>SUM(F42:H42)</f>
        <v>25</v>
      </c>
      <c r="J42" s="640">
        <v>1</v>
      </c>
      <c r="K42" s="640">
        <v>0</v>
      </c>
      <c r="L42" s="640">
        <v>1</v>
      </c>
      <c r="M42" s="401">
        <f t="shared" ref="M42:M43" si="10">SUM(J42:L42)</f>
        <v>2</v>
      </c>
      <c r="N42" s="631">
        <v>2</v>
      </c>
      <c r="O42" s="631">
        <v>1</v>
      </c>
      <c r="P42" s="631">
        <v>2</v>
      </c>
      <c r="Q42" s="401">
        <f t="shared" ref="Q42:Q43" si="11">SUM(N42:P42)</f>
        <v>5</v>
      </c>
      <c r="R42" s="401">
        <f>M42+I42+E42+Q42</f>
        <v>40</v>
      </c>
      <c r="S42" s="65"/>
    </row>
    <row r="43" spans="1:19" ht="13.5" customHeight="1" thickTop="1">
      <c r="A43" s="395" t="s">
        <v>136</v>
      </c>
      <c r="B43" s="162">
        <v>19</v>
      </c>
      <c r="C43" s="162">
        <v>19</v>
      </c>
      <c r="D43" s="162">
        <v>30</v>
      </c>
      <c r="E43" s="401">
        <f t="shared" si="9"/>
        <v>68</v>
      </c>
      <c r="F43" s="653">
        <v>27</v>
      </c>
      <c r="G43" s="653">
        <v>19</v>
      </c>
      <c r="H43" s="653">
        <v>20</v>
      </c>
      <c r="I43" s="401">
        <f>SUM(F43:H43)</f>
        <v>66</v>
      </c>
      <c r="J43" s="641">
        <v>39</v>
      </c>
      <c r="K43" s="641">
        <v>23</v>
      </c>
      <c r="L43" s="641">
        <v>32</v>
      </c>
      <c r="M43" s="401">
        <f t="shared" si="10"/>
        <v>94</v>
      </c>
      <c r="N43" s="632">
        <v>32</v>
      </c>
      <c r="O43" s="632">
        <v>42</v>
      </c>
      <c r="P43" s="632">
        <v>39</v>
      </c>
      <c r="Q43" s="401">
        <f t="shared" si="11"/>
        <v>113</v>
      </c>
      <c r="R43" s="401">
        <f>M43+I43+E43+Q43</f>
        <v>341</v>
      </c>
      <c r="S43" s="65"/>
    </row>
    <row r="44" spans="1:19" ht="13.5" customHeight="1">
      <c r="A44" s="393" t="s">
        <v>104</v>
      </c>
      <c r="B44" s="160">
        <v>10</v>
      </c>
      <c r="C44" s="160">
        <v>10</v>
      </c>
      <c r="D44" s="160">
        <v>5</v>
      </c>
      <c r="E44" s="209"/>
      <c r="F44" s="647">
        <v>3</v>
      </c>
      <c r="G44" s="647">
        <v>9</v>
      </c>
      <c r="H44" s="647">
        <v>3</v>
      </c>
      <c r="I44" s="209"/>
      <c r="J44" s="638">
        <v>15</v>
      </c>
      <c r="K44" s="638">
        <v>10</v>
      </c>
      <c r="L44" s="638">
        <v>9</v>
      </c>
      <c r="M44" s="209"/>
      <c r="N44" s="629">
        <v>12</v>
      </c>
      <c r="O44" s="629">
        <v>18</v>
      </c>
      <c r="P44" s="629">
        <v>20</v>
      </c>
      <c r="Q44" s="209"/>
      <c r="R44" s="209"/>
      <c r="S44" s="65"/>
    </row>
    <row r="45" spans="1:19" ht="13.5" customHeight="1">
      <c r="A45" s="393" t="s">
        <v>105</v>
      </c>
      <c r="B45" s="160">
        <v>7</v>
      </c>
      <c r="C45" s="160">
        <v>6</v>
      </c>
      <c r="D45" s="160">
        <v>21</v>
      </c>
      <c r="E45" s="401">
        <f t="shared" ref="E45:E49" si="12">SUM(B45:D45)</f>
        <v>34</v>
      </c>
      <c r="F45" s="647">
        <v>15</v>
      </c>
      <c r="G45" s="647">
        <v>10</v>
      </c>
      <c r="H45" s="647">
        <v>14</v>
      </c>
      <c r="I45" s="401">
        <f>SUM(F45:H45)</f>
        <v>39</v>
      </c>
      <c r="J45" s="638">
        <v>24</v>
      </c>
      <c r="K45" s="638">
        <v>10</v>
      </c>
      <c r="L45" s="638">
        <v>13</v>
      </c>
      <c r="M45" s="401">
        <f t="shared" ref="M45:M49" si="13">SUM(J45:L45)</f>
        <v>47</v>
      </c>
      <c r="N45" s="629">
        <v>7</v>
      </c>
      <c r="O45" s="629">
        <v>23</v>
      </c>
      <c r="P45" s="629">
        <v>20</v>
      </c>
      <c r="Q45" s="401">
        <f t="shared" ref="Q45:Q49" si="14">SUM(N45:P45)</f>
        <v>50</v>
      </c>
      <c r="R45" s="401">
        <f>M45+I45+E45+Q45</f>
        <v>170</v>
      </c>
      <c r="S45" s="65"/>
    </row>
    <row r="46" spans="1:19" ht="13.5" customHeight="1" thickBot="1">
      <c r="A46" s="396" t="s">
        <v>106</v>
      </c>
      <c r="B46" s="163">
        <v>5</v>
      </c>
      <c r="C46" s="163">
        <v>11</v>
      </c>
      <c r="D46" s="163">
        <v>16</v>
      </c>
      <c r="E46" s="401">
        <f t="shared" si="12"/>
        <v>32</v>
      </c>
      <c r="F46" s="654">
        <v>19</v>
      </c>
      <c r="G46" s="654">
        <v>5</v>
      </c>
      <c r="H46" s="654">
        <v>12</v>
      </c>
      <c r="I46" s="401">
        <f>SUM(F46:H46)</f>
        <v>36</v>
      </c>
      <c r="J46" s="642">
        <v>20</v>
      </c>
      <c r="K46" s="642">
        <v>19</v>
      </c>
      <c r="L46" s="642">
        <v>17</v>
      </c>
      <c r="M46" s="401">
        <f t="shared" si="13"/>
        <v>56</v>
      </c>
      <c r="N46" s="633">
        <v>20</v>
      </c>
      <c r="O46" s="633">
        <v>11</v>
      </c>
      <c r="P46" s="633">
        <v>18</v>
      </c>
      <c r="Q46" s="401">
        <f t="shared" si="14"/>
        <v>49</v>
      </c>
      <c r="R46" s="401">
        <f>M46+I46+E46+Q46</f>
        <v>173</v>
      </c>
      <c r="S46" s="65"/>
    </row>
    <row r="47" spans="1:19" ht="13.5" customHeight="1" thickTop="1">
      <c r="A47" s="392" t="s">
        <v>193</v>
      </c>
      <c r="B47" s="159">
        <v>3</v>
      </c>
      <c r="C47" s="159">
        <v>2</v>
      </c>
      <c r="D47" s="159">
        <v>1</v>
      </c>
      <c r="E47" s="401">
        <f t="shared" si="12"/>
        <v>6</v>
      </c>
      <c r="F47" s="649">
        <v>4</v>
      </c>
      <c r="G47" s="649">
        <v>1</v>
      </c>
      <c r="H47" s="649">
        <v>0</v>
      </c>
      <c r="I47" s="401">
        <f>SUM(F47:H47)</f>
        <v>5</v>
      </c>
      <c r="J47" s="639">
        <v>4</v>
      </c>
      <c r="K47" s="639">
        <v>1</v>
      </c>
      <c r="L47" s="639">
        <v>3</v>
      </c>
      <c r="M47" s="401">
        <f t="shared" si="13"/>
        <v>8</v>
      </c>
      <c r="N47" s="630">
        <v>2</v>
      </c>
      <c r="O47" s="630">
        <v>2</v>
      </c>
      <c r="P47" s="630">
        <v>1</v>
      </c>
      <c r="Q47" s="401">
        <f t="shared" si="14"/>
        <v>5</v>
      </c>
      <c r="R47" s="401">
        <f>M47+I47+E47+Q47</f>
        <v>24</v>
      </c>
      <c r="S47" s="65"/>
    </row>
    <row r="48" spans="1:19" ht="13.5" customHeight="1" thickBot="1">
      <c r="A48" s="394" t="s">
        <v>107</v>
      </c>
      <c r="B48" s="161">
        <v>0</v>
      </c>
      <c r="C48" s="161">
        <v>0</v>
      </c>
      <c r="D48" s="161">
        <v>0</v>
      </c>
      <c r="E48" s="401">
        <f t="shared" si="12"/>
        <v>0</v>
      </c>
      <c r="F48" s="651">
        <v>0</v>
      </c>
      <c r="G48" s="651">
        <v>0</v>
      </c>
      <c r="H48" s="651">
        <v>0</v>
      </c>
      <c r="I48" s="401">
        <f>SUM(F48:H48)</f>
        <v>0</v>
      </c>
      <c r="J48" s="640">
        <v>0</v>
      </c>
      <c r="K48" s="640">
        <v>0</v>
      </c>
      <c r="L48" s="640">
        <v>0</v>
      </c>
      <c r="M48" s="401">
        <f t="shared" si="13"/>
        <v>0</v>
      </c>
      <c r="N48" s="631">
        <v>0</v>
      </c>
      <c r="O48" s="631">
        <v>0</v>
      </c>
      <c r="P48" s="631">
        <v>0</v>
      </c>
      <c r="Q48" s="401">
        <f t="shared" si="14"/>
        <v>0</v>
      </c>
      <c r="R48" s="401">
        <f>M48+I48+E48+Q48</f>
        <v>0</v>
      </c>
      <c r="S48" s="65"/>
    </row>
    <row r="49" spans="1:19" ht="13.5" customHeight="1" thickTop="1" thickBot="1">
      <c r="A49" s="394" t="s">
        <v>108</v>
      </c>
      <c r="B49" s="161">
        <v>1</v>
      </c>
      <c r="C49" s="161">
        <v>5</v>
      </c>
      <c r="D49" s="161">
        <v>3</v>
      </c>
      <c r="E49" s="401">
        <f t="shared" si="12"/>
        <v>9</v>
      </c>
      <c r="F49" s="651">
        <v>2</v>
      </c>
      <c r="G49" s="651">
        <v>4</v>
      </c>
      <c r="H49" s="651">
        <v>1</v>
      </c>
      <c r="I49" s="401">
        <f>SUM(F49:H49)</f>
        <v>7</v>
      </c>
      <c r="J49" s="640">
        <v>1</v>
      </c>
      <c r="K49" s="640">
        <v>0</v>
      </c>
      <c r="L49" s="640">
        <v>6</v>
      </c>
      <c r="M49" s="401">
        <f t="shared" si="13"/>
        <v>7</v>
      </c>
      <c r="N49" s="631">
        <v>1</v>
      </c>
      <c r="O49" s="631">
        <v>0</v>
      </c>
      <c r="P49" s="631">
        <v>0</v>
      </c>
      <c r="Q49" s="401">
        <f t="shared" si="14"/>
        <v>1</v>
      </c>
      <c r="R49" s="401">
        <f>M49+I49+E49+Q49</f>
        <v>24</v>
      </c>
      <c r="S49" s="65"/>
    </row>
    <row r="50" spans="1:19" ht="13.5" customHeight="1" thickTop="1">
      <c r="A50" s="397" t="s">
        <v>109</v>
      </c>
      <c r="B50" s="166">
        <v>23</v>
      </c>
      <c r="C50" s="166">
        <v>26</v>
      </c>
      <c r="D50" s="166">
        <v>28</v>
      </c>
      <c r="E50" s="158"/>
      <c r="F50" s="655">
        <v>28</v>
      </c>
      <c r="G50" s="655">
        <v>27</v>
      </c>
      <c r="H50" s="650">
        <v>23</v>
      </c>
      <c r="I50" s="158"/>
      <c r="J50" s="643">
        <v>32</v>
      </c>
      <c r="K50" s="643">
        <v>30</v>
      </c>
      <c r="L50" s="643">
        <v>33</v>
      </c>
      <c r="M50" s="158"/>
      <c r="N50" s="634">
        <v>39</v>
      </c>
      <c r="O50" s="634">
        <v>38</v>
      </c>
      <c r="P50" s="634">
        <v>29</v>
      </c>
      <c r="Q50" s="158"/>
      <c r="R50" s="158"/>
      <c r="S50" s="65"/>
    </row>
    <row r="51" spans="1:19" ht="13.5" customHeight="1">
      <c r="A51" s="398" t="s">
        <v>110</v>
      </c>
      <c r="B51" s="167">
        <v>13</v>
      </c>
      <c r="C51" s="167">
        <v>10</v>
      </c>
      <c r="D51" s="167">
        <v>17</v>
      </c>
      <c r="E51" s="401">
        <f t="shared" ref="E51:E53" si="15">SUM(B51:D51)</f>
        <v>40</v>
      </c>
      <c r="F51" s="656">
        <v>11</v>
      </c>
      <c r="G51" s="656">
        <v>12</v>
      </c>
      <c r="H51" s="648">
        <v>10</v>
      </c>
      <c r="I51" s="401">
        <f>SUM(F51:H51)</f>
        <v>33</v>
      </c>
      <c r="J51" s="644">
        <v>17</v>
      </c>
      <c r="K51" s="644">
        <v>11</v>
      </c>
      <c r="L51" s="644">
        <v>17</v>
      </c>
      <c r="M51" s="401">
        <f t="shared" ref="M51:M53" si="16">SUM(J51:L51)</f>
        <v>45</v>
      </c>
      <c r="N51" s="635">
        <v>11</v>
      </c>
      <c r="O51" s="635">
        <v>15</v>
      </c>
      <c r="P51" s="635">
        <v>12</v>
      </c>
      <c r="Q51" s="401">
        <f t="shared" ref="Q51:Q53" si="17">SUM(N51:P51)</f>
        <v>38</v>
      </c>
      <c r="R51" s="401">
        <f>M51+I51+E51+Q51</f>
        <v>156</v>
      </c>
      <c r="S51" s="65"/>
    </row>
    <row r="52" spans="1:19" ht="13.5" customHeight="1">
      <c r="A52" s="398" t="s">
        <v>111</v>
      </c>
      <c r="B52" s="167">
        <v>7</v>
      </c>
      <c r="C52" s="463">
        <v>3</v>
      </c>
      <c r="D52" s="465">
        <v>13</v>
      </c>
      <c r="E52" s="401">
        <f t="shared" si="15"/>
        <v>23</v>
      </c>
      <c r="F52" s="656">
        <v>9</v>
      </c>
      <c r="G52" s="656">
        <v>6</v>
      </c>
      <c r="H52" s="648">
        <v>5</v>
      </c>
      <c r="I52" s="401">
        <f>SUM(F52:H52)</f>
        <v>20</v>
      </c>
      <c r="J52" s="644">
        <v>7</v>
      </c>
      <c r="K52" s="644">
        <v>4</v>
      </c>
      <c r="L52" s="644">
        <v>8</v>
      </c>
      <c r="M52" s="401">
        <f t="shared" si="16"/>
        <v>19</v>
      </c>
      <c r="N52" s="635">
        <v>2</v>
      </c>
      <c r="O52" s="635">
        <v>11</v>
      </c>
      <c r="P52" s="635">
        <v>12</v>
      </c>
      <c r="Q52" s="401">
        <f t="shared" si="17"/>
        <v>25</v>
      </c>
      <c r="R52" s="401">
        <f>M52+I52+E52+Q52</f>
        <v>87</v>
      </c>
      <c r="S52" s="65"/>
    </row>
    <row r="53" spans="1:19" ht="13.5" customHeight="1">
      <c r="A53" s="398" t="s">
        <v>112</v>
      </c>
      <c r="B53" s="167">
        <v>7</v>
      </c>
      <c r="C53" s="463">
        <v>4</v>
      </c>
      <c r="D53" s="465">
        <v>1</v>
      </c>
      <c r="E53" s="401">
        <f t="shared" si="15"/>
        <v>12</v>
      </c>
      <c r="F53" s="656">
        <v>8</v>
      </c>
      <c r="G53" s="656">
        <v>7</v>
      </c>
      <c r="H53" s="648">
        <v>9</v>
      </c>
      <c r="I53" s="401">
        <f>SUM(F53:H53)</f>
        <v>24</v>
      </c>
      <c r="J53" s="644">
        <v>9</v>
      </c>
      <c r="K53" s="644">
        <v>10</v>
      </c>
      <c r="L53" s="644">
        <v>7</v>
      </c>
      <c r="M53" s="401">
        <f t="shared" si="16"/>
        <v>26</v>
      </c>
      <c r="N53" s="635">
        <v>4</v>
      </c>
      <c r="O53" s="635">
        <v>5</v>
      </c>
      <c r="P53" s="635">
        <v>9</v>
      </c>
      <c r="Q53" s="401">
        <f t="shared" si="17"/>
        <v>18</v>
      </c>
      <c r="R53" s="401">
        <f>M53+I53+E53+Q53</f>
        <v>80</v>
      </c>
      <c r="S53" s="65"/>
    </row>
    <row r="54" spans="1:19" ht="13.5" customHeight="1" thickBot="1">
      <c r="A54" s="399" t="s">
        <v>113</v>
      </c>
      <c r="B54" s="414">
        <v>2</v>
      </c>
      <c r="C54" s="464">
        <v>2</v>
      </c>
      <c r="D54" s="466">
        <v>2</v>
      </c>
      <c r="E54" s="210"/>
      <c r="F54" s="657">
        <v>2</v>
      </c>
      <c r="G54" s="657">
        <v>2</v>
      </c>
      <c r="H54" s="652">
        <v>2</v>
      </c>
      <c r="I54" s="210"/>
      <c r="J54" s="645">
        <v>4</v>
      </c>
      <c r="K54" s="645">
        <v>4</v>
      </c>
      <c r="L54" s="645">
        <v>3</v>
      </c>
      <c r="M54" s="210"/>
      <c r="N54" s="636">
        <v>3</v>
      </c>
      <c r="O54" s="636">
        <v>4</v>
      </c>
      <c r="P54" s="636">
        <v>4</v>
      </c>
      <c r="Q54" s="210"/>
      <c r="R54" s="210"/>
      <c r="S54" s="65"/>
    </row>
    <row r="55" spans="1:19" ht="13.8" thickTop="1">
      <c r="A55"/>
      <c r="B55" s="65"/>
      <c r="C55" s="65"/>
      <c r="D55" s="164"/>
      <c r="E55" s="65"/>
      <c r="F55" s="65"/>
      <c r="G55" s="65"/>
      <c r="H55" s="65"/>
      <c r="I55" s="65"/>
      <c r="J55" s="65"/>
      <c r="K55" s="65"/>
      <c r="L55" s="65"/>
      <c r="M55" s="65"/>
      <c r="N55" s="628"/>
      <c r="O55" s="628"/>
      <c r="P55" s="628"/>
      <c r="Q55" s="65"/>
      <c r="R55" s="65"/>
      <c r="S55" s="13"/>
    </row>
  </sheetData>
  <mergeCells count="28">
    <mergeCell ref="N31:Q31"/>
    <mergeCell ref="J31:M31"/>
    <mergeCell ref="F31:I31"/>
    <mergeCell ref="B31:E31"/>
    <mergeCell ref="N30:Q30"/>
    <mergeCell ref="J30:M30"/>
    <mergeCell ref="F30:I30"/>
    <mergeCell ref="B30:E30"/>
    <mergeCell ref="B1:E1"/>
    <mergeCell ref="N1:Q1"/>
    <mergeCell ref="N29:Q29"/>
    <mergeCell ref="J29:M29"/>
    <mergeCell ref="F29:I29"/>
    <mergeCell ref="F1:I1"/>
    <mergeCell ref="J1:M1"/>
    <mergeCell ref="B29:E29"/>
    <mergeCell ref="J34:M34"/>
    <mergeCell ref="F33:I33"/>
    <mergeCell ref="N32:Q32"/>
    <mergeCell ref="B33:E33"/>
    <mergeCell ref="N33:Q33"/>
    <mergeCell ref="J33:M33"/>
    <mergeCell ref="J32:M32"/>
    <mergeCell ref="B32:E32"/>
    <mergeCell ref="F32:I32"/>
    <mergeCell ref="F34:I34"/>
    <mergeCell ref="B34:E34"/>
    <mergeCell ref="N34:Q34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opLeftCell="B1" zoomScale="85" zoomScaleNormal="85" workbookViewId="0">
      <selection activeCell="R6" sqref="R6"/>
    </sheetView>
  </sheetViews>
  <sheetFormatPr defaultColWidth="9.109375" defaultRowHeight="13.2"/>
  <cols>
    <col min="1" max="1" width="42.33203125" style="16" customWidth="1"/>
    <col min="2" max="4" width="12.6640625" style="12" customWidth="1"/>
    <col min="5" max="5" width="11.44140625" style="142" customWidth="1"/>
    <col min="6" max="8" width="11.6640625" style="12" customWidth="1"/>
    <col min="9" max="9" width="11.44140625" style="142" customWidth="1"/>
    <col min="10" max="12" width="11.6640625" style="12" customWidth="1"/>
    <col min="13" max="13" width="11.44140625" style="142" customWidth="1"/>
    <col min="14" max="14" width="11.6640625" style="12" customWidth="1"/>
    <col min="15" max="16" width="13.5546875" style="12" customWidth="1"/>
    <col min="17" max="17" width="13.5546875" style="142" customWidth="1"/>
    <col min="18" max="18" width="13.33203125" style="142" customWidth="1"/>
    <col min="19" max="19" width="9.109375" style="12"/>
    <col min="20" max="16384" width="9.109375" style="13"/>
  </cols>
  <sheetData>
    <row r="1" spans="1:19" s="20" customFormat="1" ht="15" customHeight="1">
      <c r="A1" s="31" t="s">
        <v>24</v>
      </c>
      <c r="B1" s="773" t="s">
        <v>160</v>
      </c>
      <c r="C1" s="758"/>
      <c r="D1" s="758"/>
      <c r="E1" s="759"/>
      <c r="F1" s="773" t="s">
        <v>156</v>
      </c>
      <c r="G1" s="758"/>
      <c r="H1" s="758"/>
      <c r="I1" s="759"/>
      <c r="J1" s="773" t="s">
        <v>149</v>
      </c>
      <c r="K1" s="758"/>
      <c r="L1" s="758"/>
      <c r="M1" s="759"/>
      <c r="N1" s="773" t="s">
        <v>133</v>
      </c>
      <c r="O1" s="758"/>
      <c r="P1" s="758"/>
      <c r="Q1" s="759"/>
      <c r="R1" s="177"/>
      <c r="S1" s="12"/>
    </row>
    <row r="2" spans="1:19" s="20" customFormat="1" ht="15" customHeight="1">
      <c r="A2" s="5" t="s">
        <v>0</v>
      </c>
      <c r="B2" s="50" t="s">
        <v>10</v>
      </c>
      <c r="C2" s="50" t="s">
        <v>11</v>
      </c>
      <c r="D2" s="50" t="s">
        <v>12</v>
      </c>
      <c r="E2" s="188" t="s">
        <v>128</v>
      </c>
      <c r="F2" s="50" t="s">
        <v>7</v>
      </c>
      <c r="G2" s="50" t="s">
        <v>8</v>
      </c>
      <c r="H2" s="50" t="s">
        <v>9</v>
      </c>
      <c r="I2" s="188" t="s">
        <v>127</v>
      </c>
      <c r="J2" s="50" t="s">
        <v>4</v>
      </c>
      <c r="K2" s="50" t="s">
        <v>5</v>
      </c>
      <c r="L2" s="50" t="s">
        <v>6</v>
      </c>
      <c r="M2" s="188" t="s">
        <v>126</v>
      </c>
      <c r="N2" s="50" t="s">
        <v>1</v>
      </c>
      <c r="O2" s="50" t="s">
        <v>2</v>
      </c>
      <c r="P2" s="50" t="s">
        <v>3</v>
      </c>
      <c r="Q2" s="188" t="s">
        <v>115</v>
      </c>
      <c r="R2" s="107" t="s">
        <v>129</v>
      </c>
      <c r="S2" s="12"/>
    </row>
    <row r="3" spans="1:19" s="20" customFormat="1" ht="15" customHeight="1">
      <c r="A3" s="180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2"/>
    </row>
    <row r="4" spans="1:19" s="20" customFormat="1" ht="15" customHeight="1">
      <c r="A4" s="108" t="s">
        <v>36</v>
      </c>
      <c r="B4" s="92">
        <f>'Target 2021'!L8-12000</f>
        <v>68750</v>
      </c>
      <c r="C4" s="92">
        <f>'Target 2021'!M8-23000</f>
        <v>66250</v>
      </c>
      <c r="D4" s="92">
        <f>'Target 2021'!N8+12000+23000</f>
        <v>120000</v>
      </c>
      <c r="E4" s="190">
        <f>SUM(B4:D4)</f>
        <v>255000</v>
      </c>
      <c r="F4" s="92">
        <f>'Target 2021'!I8</f>
        <v>70500</v>
      </c>
      <c r="G4" s="92">
        <f>'Target 2021'!J8-1000</f>
        <v>77333.333333333328</v>
      </c>
      <c r="H4" s="92">
        <f>'Target 2021'!K8+5000+1000</f>
        <v>92166.666666666672</v>
      </c>
      <c r="I4" s="190">
        <f>SUM(F4:H4)</f>
        <v>240000</v>
      </c>
      <c r="J4" s="92">
        <f>'Target 2021'!F8</f>
        <v>73500</v>
      </c>
      <c r="K4" s="92">
        <f>'Target 2021'!G8-2000</f>
        <v>79666.666666666672</v>
      </c>
      <c r="L4" s="92">
        <f>'Target 2021'!H8+2000-5000</f>
        <v>86833.333333333343</v>
      </c>
      <c r="M4" s="190">
        <f>SUM(J4:L4)</f>
        <v>240000.00000000003</v>
      </c>
      <c r="N4" s="92">
        <f>'Target 2021'!C8</f>
        <v>71400</v>
      </c>
      <c r="O4" s="92">
        <f>'Target 2021'!D8</f>
        <v>79333.333333333328</v>
      </c>
      <c r="P4" s="92">
        <f>'Target 2021'!E8</f>
        <v>87266.666666666672</v>
      </c>
      <c r="Q4" s="190">
        <f>SUM(N4:P4)</f>
        <v>238000</v>
      </c>
      <c r="R4" s="109">
        <f>Q4+M4+I4+E4</f>
        <v>973000</v>
      </c>
      <c r="S4" s="12"/>
    </row>
    <row r="5" spans="1:19" s="20" customFormat="1" ht="15" customHeight="1">
      <c r="A5" s="110" t="s">
        <v>35</v>
      </c>
      <c r="B5" s="88">
        <f>B4</f>
        <v>68750</v>
      </c>
      <c r="C5" s="88">
        <f>C4+B5</f>
        <v>135000</v>
      </c>
      <c r="D5" s="88">
        <f>D4+C5</f>
        <v>255000</v>
      </c>
      <c r="E5" s="191"/>
      <c r="F5" s="88">
        <f>F4</f>
        <v>70500</v>
      </c>
      <c r="G5" s="88">
        <f>G4+F5</f>
        <v>147833.33333333331</v>
      </c>
      <c r="H5" s="88">
        <f>H4+G5</f>
        <v>240000</v>
      </c>
      <c r="I5" s="191"/>
      <c r="J5" s="88">
        <f>J4</f>
        <v>73500</v>
      </c>
      <c r="K5" s="88">
        <f>K4+J5</f>
        <v>153166.66666666669</v>
      </c>
      <c r="L5" s="88">
        <f>L4+K5</f>
        <v>240000.00000000003</v>
      </c>
      <c r="M5" s="191"/>
      <c r="N5" s="88">
        <f>N4</f>
        <v>71400</v>
      </c>
      <c r="O5" s="88">
        <f>O4+N5</f>
        <v>150733.33333333331</v>
      </c>
      <c r="P5" s="88">
        <f>P4+O5</f>
        <v>238000</v>
      </c>
      <c r="Q5" s="191"/>
      <c r="R5" s="434">
        <f>R6/R4</f>
        <v>0.91521475159301136</v>
      </c>
      <c r="S5" s="12"/>
    </row>
    <row r="6" spans="1:19" s="20" customFormat="1" ht="15" customHeight="1">
      <c r="A6" s="112" t="s">
        <v>37</v>
      </c>
      <c r="B6" s="28">
        <f>SUMIF(X!A:A,$A$1,X!I:I)</f>
        <v>62422.597300000001</v>
      </c>
      <c r="C6" s="28">
        <f>SUMIF(XI!A:A,$A$1,XI!I:I)</f>
        <v>66483.164099999995</v>
      </c>
      <c r="D6" s="28">
        <f>SUMIF(XII!A:A,$A$1,XII!I:I)</f>
        <v>116592.6075</v>
      </c>
      <c r="E6" s="190">
        <f>SUM(B6:D6)</f>
        <v>245498.3689</v>
      </c>
      <c r="F6" s="28">
        <f>SUMIF(VII!A:A,$A$1,VII!I:I)</f>
        <v>71647.117199999993</v>
      </c>
      <c r="G6" s="28">
        <f>SUMIF(VIII!A:A,$A$1,VIII!I:I)</f>
        <v>61722.894500000002</v>
      </c>
      <c r="H6" s="28">
        <f>SUMIF(IX!A:A,$A$1,IX!I:I)</f>
        <v>60502.816400000003</v>
      </c>
      <c r="I6" s="190">
        <f>SUM(F6:H6)</f>
        <v>193872.82810000001</v>
      </c>
      <c r="J6" s="28">
        <f>SUMIF(IV!A:A,$A$1,IV!I:I)</f>
        <v>71769.631899999993</v>
      </c>
      <c r="K6" s="28">
        <f>SUMIF(V!A:A,$A$1,V!I:I)</f>
        <v>73763.5</v>
      </c>
      <c r="L6" s="28">
        <f>SUMIF(VI!A:A,$A$1,VI!I:I)</f>
        <v>72068.012499999997</v>
      </c>
      <c r="M6" s="190">
        <f>SUM(J6:L6)</f>
        <v>217601.14439999999</v>
      </c>
      <c r="N6" s="86">
        <f>SUMIF(I!A:A,$A$1,I!I:I)</f>
        <v>83846.695300000007</v>
      </c>
      <c r="O6" s="28">
        <f>SUMIF(II!A:A,$A$1,II!I:I)</f>
        <v>65079.807200000003</v>
      </c>
      <c r="P6" s="28">
        <f>SUMIF(III!A:A,$A$1,III!I:I)</f>
        <v>84605.109400000001</v>
      </c>
      <c r="Q6" s="190">
        <f>SUM(N6:P6)</f>
        <v>233531.61190000002</v>
      </c>
      <c r="R6" s="109">
        <f>Q6+M6+I6+E6</f>
        <v>890503.95330000005</v>
      </c>
      <c r="S6" s="12"/>
    </row>
    <row r="7" spans="1:19" s="20" customFormat="1" ht="15" customHeight="1">
      <c r="A7" s="110" t="s">
        <v>38</v>
      </c>
      <c r="B7" s="8">
        <f>B6</f>
        <v>62422.597300000001</v>
      </c>
      <c r="C7" s="8">
        <f>C6+B7</f>
        <v>128905.76139999999</v>
      </c>
      <c r="D7" s="8">
        <f>D6+C7</f>
        <v>245498.3689</v>
      </c>
      <c r="E7" s="191"/>
      <c r="F7" s="8">
        <f>F6</f>
        <v>71647.117199999993</v>
      </c>
      <c r="G7" s="8">
        <f>G6+F7</f>
        <v>133370.0117</v>
      </c>
      <c r="H7" s="8">
        <f>H6+G7</f>
        <v>193872.82810000001</v>
      </c>
      <c r="I7" s="191"/>
      <c r="J7" s="8">
        <f>J6</f>
        <v>71769.631899999993</v>
      </c>
      <c r="K7" s="8">
        <f>K6+J7</f>
        <v>145533.13189999998</v>
      </c>
      <c r="L7" s="8">
        <f>L6+K7</f>
        <v>217601.14439999999</v>
      </c>
      <c r="M7" s="191"/>
      <c r="N7" s="8">
        <f>N6</f>
        <v>83846.695300000007</v>
      </c>
      <c r="O7" s="8">
        <f>O6+N7</f>
        <v>148926.5025</v>
      </c>
      <c r="P7" s="8">
        <f>P6+O7</f>
        <v>233531.61190000002</v>
      </c>
      <c r="Q7" s="191"/>
      <c r="R7" s="111"/>
      <c r="S7" s="12"/>
    </row>
    <row r="8" spans="1:19" s="20" customFormat="1" ht="15" customHeight="1">
      <c r="A8" s="114" t="s">
        <v>39</v>
      </c>
      <c r="B8" s="26">
        <f t="shared" ref="B8:D9" si="0">B6/B4</f>
        <v>0.90796505163636365</v>
      </c>
      <c r="C8" s="26">
        <f t="shared" si="0"/>
        <v>1.0035194581132074</v>
      </c>
      <c r="D8" s="26">
        <f t="shared" si="0"/>
        <v>0.97160506250000001</v>
      </c>
      <c r="E8" s="202"/>
      <c r="F8" s="26">
        <f t="shared" ref="F8:H9" si="1">F6/F4</f>
        <v>1.0162711659574468</v>
      </c>
      <c r="G8" s="26">
        <f t="shared" si="1"/>
        <v>0.79814087715517246</v>
      </c>
      <c r="H8" s="26">
        <f t="shared" si="1"/>
        <v>0.65645008752260403</v>
      </c>
      <c r="I8" s="192"/>
      <c r="J8" s="26">
        <f t="shared" ref="J8:L9" si="2">J6/J4</f>
        <v>0.97645757687074819</v>
      </c>
      <c r="K8" s="26">
        <f t="shared" si="2"/>
        <v>0.92590167364016729</v>
      </c>
      <c r="L8" s="26">
        <f t="shared" si="2"/>
        <v>0.82995791746641068</v>
      </c>
      <c r="M8" s="192"/>
      <c r="N8" s="26">
        <f t="shared" ref="N8:P9" si="3">N6/N4</f>
        <v>1.1743234635854343</v>
      </c>
      <c r="O8" s="26">
        <f t="shared" si="3"/>
        <v>0.82033370420168072</v>
      </c>
      <c r="P8" s="26">
        <f t="shared" si="3"/>
        <v>0.969500871657754</v>
      </c>
      <c r="Q8" s="192"/>
      <c r="R8" s="115"/>
      <c r="S8" s="12"/>
    </row>
    <row r="9" spans="1:19" s="21" customFormat="1" ht="15" customHeight="1">
      <c r="A9" s="114" t="s">
        <v>40</v>
      </c>
      <c r="B9" s="26">
        <f t="shared" si="0"/>
        <v>0.90796505163636365</v>
      </c>
      <c r="C9" s="26">
        <f t="shared" si="0"/>
        <v>0.95485749185185176</v>
      </c>
      <c r="D9" s="26">
        <f t="shared" si="0"/>
        <v>0.96273870156862751</v>
      </c>
      <c r="E9" s="192"/>
      <c r="F9" s="26">
        <f t="shared" si="1"/>
        <v>1.0162711659574468</v>
      </c>
      <c r="G9" s="26">
        <f t="shared" si="1"/>
        <v>0.90216467891770025</v>
      </c>
      <c r="H9" s="26">
        <f t="shared" si="1"/>
        <v>0.80780345041666668</v>
      </c>
      <c r="I9" s="192"/>
      <c r="J9" s="26">
        <f t="shared" si="2"/>
        <v>0.97645757687074819</v>
      </c>
      <c r="K9" s="26">
        <f t="shared" si="2"/>
        <v>0.95016190576713788</v>
      </c>
      <c r="L9" s="26">
        <f t="shared" si="2"/>
        <v>0.9066714349999998</v>
      </c>
      <c r="M9" s="192"/>
      <c r="N9" s="26">
        <f t="shared" si="3"/>
        <v>1.1743234635854343</v>
      </c>
      <c r="O9" s="26">
        <f t="shared" si="3"/>
        <v>0.98801306390977461</v>
      </c>
      <c r="P9" s="26">
        <f t="shared" si="3"/>
        <v>0.98122526008403366</v>
      </c>
      <c r="Q9" s="192"/>
      <c r="R9" s="116"/>
      <c r="S9" s="14"/>
    </row>
    <row r="10" spans="1:19" s="43" customFormat="1" ht="15" customHeight="1">
      <c r="A10" s="110" t="s">
        <v>48</v>
      </c>
      <c r="B10" s="24">
        <f>B7-B5</f>
        <v>-6327.4026999999987</v>
      </c>
      <c r="C10" s="24">
        <f>C7-C5</f>
        <v>-6094.2386000000115</v>
      </c>
      <c r="D10" s="24">
        <f>D7-D5</f>
        <v>-9501.6310999999987</v>
      </c>
      <c r="E10" s="191"/>
      <c r="F10" s="24">
        <f>F7-F5</f>
        <v>1147.1171999999933</v>
      </c>
      <c r="G10" s="24">
        <f>G7-G5</f>
        <v>-14463.321633333311</v>
      </c>
      <c r="H10" s="24">
        <f>H7-H5</f>
        <v>-46127.171899999987</v>
      </c>
      <c r="I10" s="191"/>
      <c r="J10" s="24">
        <f>J7-J5</f>
        <v>-1730.368100000007</v>
      </c>
      <c r="K10" s="24">
        <f>K7-K5</f>
        <v>-7633.5347666667076</v>
      </c>
      <c r="L10" s="24">
        <f>L7-L5</f>
        <v>-22398.855600000039</v>
      </c>
      <c r="M10" s="191"/>
      <c r="N10" s="24">
        <f>N7-N5</f>
        <v>12446.695300000007</v>
      </c>
      <c r="O10" s="24">
        <f>O7-O5</f>
        <v>-1806.8308333333116</v>
      </c>
      <c r="P10" s="24">
        <f>P7-P5</f>
        <v>-4468.3880999999819</v>
      </c>
      <c r="Q10" s="191"/>
      <c r="R10" s="111"/>
    </row>
    <row r="11" spans="1:19" s="21" customFormat="1" ht="15" customHeight="1">
      <c r="A11" s="112" t="s">
        <v>217</v>
      </c>
      <c r="B11" s="28">
        <f>SUMIF(X!A:A,$A$1,X!G:G)</f>
        <v>199106.4063</v>
      </c>
      <c r="C11" s="28">
        <f>SUMIF(XI!A:A,$A$1,XI!G:G)</f>
        <v>209845.29689999999</v>
      </c>
      <c r="D11" s="28">
        <f>SUMIF(XII!A:A,$A$1,XII!G:G)</f>
        <v>330831.71879999997</v>
      </c>
      <c r="E11" s="190">
        <f>SUM(B11:D11)</f>
        <v>739783.42200000002</v>
      </c>
      <c r="F11" s="28">
        <f>SUMIF(VII!A:A,$A$1,VII!G:G)</f>
        <v>212738.04689999999</v>
      </c>
      <c r="G11" s="28">
        <f>SUMIF(VIII!A:A,$A$1,VIII!G:G)</f>
        <v>197491.26560000001</v>
      </c>
      <c r="H11" s="28">
        <f>SUMIF(IX!A:A,$A$1,IX!G:G)</f>
        <v>189834.75</v>
      </c>
      <c r="I11" s="190">
        <f>SUM(F11:H11)</f>
        <v>600064.0625</v>
      </c>
      <c r="J11" s="28">
        <f>SUMIF(IV!A:A,$A$1,IV!G:G)</f>
        <v>211151.29689999999</v>
      </c>
      <c r="K11" s="28">
        <f>SUMIF(V!A:A,$A$1,V!G:G)</f>
        <v>231363.4063</v>
      </c>
      <c r="L11" s="28">
        <f>SUMIF(VI!A:A,$A$1,VI!G:G)</f>
        <v>244813.6875</v>
      </c>
      <c r="M11" s="190">
        <f>SUM(J11:L11)</f>
        <v>687328.39069999999</v>
      </c>
      <c r="N11" s="86">
        <f>SUMIF(I!A:A,$A$1,I!G:G)</f>
        <v>249591.7813</v>
      </c>
      <c r="O11" s="28">
        <f>SUMIF(II!A:A,$A$1,II!G:G)</f>
        <v>240161.82810000001</v>
      </c>
      <c r="P11" s="28">
        <f>SUMIF(III!A:A,$A$1,III!G:G)</f>
        <v>245824.3438</v>
      </c>
      <c r="Q11" s="190">
        <f>SUM(N11:P11)</f>
        <v>735577.95319999999</v>
      </c>
      <c r="R11" s="109">
        <f>Q11+M11+I11+E11</f>
        <v>2762753.8284</v>
      </c>
      <c r="S11" s="14"/>
    </row>
    <row r="12" spans="1:19" customFormat="1">
      <c r="A12" s="110" t="s">
        <v>218</v>
      </c>
      <c r="B12" s="8">
        <f>B11</f>
        <v>199106.4063</v>
      </c>
      <c r="C12" s="8">
        <f>C11+B12</f>
        <v>408951.70319999999</v>
      </c>
      <c r="D12" s="8">
        <f>D11+C12</f>
        <v>739783.42200000002</v>
      </c>
      <c r="E12" s="191"/>
      <c r="F12" s="8">
        <f>F11</f>
        <v>212738.04689999999</v>
      </c>
      <c r="G12" s="8">
        <f>G11+F12</f>
        <v>410229.3125</v>
      </c>
      <c r="H12" s="8">
        <f>H11+G12</f>
        <v>600064.0625</v>
      </c>
      <c r="I12" s="191"/>
      <c r="J12" s="8">
        <f>J11</f>
        <v>211151.29689999999</v>
      </c>
      <c r="K12" s="8">
        <f>K11+J12</f>
        <v>442514.70319999999</v>
      </c>
      <c r="L12" s="8">
        <f>L11+K12</f>
        <v>687328.39069999999</v>
      </c>
      <c r="M12" s="191"/>
      <c r="N12" s="8">
        <f>N11</f>
        <v>249591.7813</v>
      </c>
      <c r="O12" s="8">
        <f>O11+N12</f>
        <v>489753.60940000002</v>
      </c>
      <c r="P12" s="8">
        <f>P11+O12</f>
        <v>735577.95319999999</v>
      </c>
      <c r="Q12" s="191"/>
      <c r="R12" s="111"/>
    </row>
    <row r="13" spans="1:19" s="20" customFormat="1" ht="15" customHeight="1">
      <c r="A13" s="118" t="s">
        <v>32</v>
      </c>
      <c r="B13" s="11">
        <f t="shared" ref="B13:D14" si="4">B6/B11</f>
        <v>0.31351375608651122</v>
      </c>
      <c r="C13" s="11">
        <f t="shared" si="4"/>
        <v>0.31681989104421998</v>
      </c>
      <c r="D13" s="11">
        <f t="shared" si="4"/>
        <v>0.35242269974265844</v>
      </c>
      <c r="E13" s="193"/>
      <c r="F13" s="11">
        <f t="shared" ref="F13:H14" si="5">F6/F11</f>
        <v>0.33678563023415631</v>
      </c>
      <c r="G13" s="11">
        <f t="shared" si="5"/>
        <v>0.31253480660260652</v>
      </c>
      <c r="H13" s="11">
        <f t="shared" si="5"/>
        <v>0.31871307229050533</v>
      </c>
      <c r="I13" s="193"/>
      <c r="J13" s="11">
        <f t="shared" ref="J13:L14" si="6">J6/J11</f>
        <v>0.3398967136535736</v>
      </c>
      <c r="K13" s="11">
        <f t="shared" si="6"/>
        <v>0.31882094571322883</v>
      </c>
      <c r="L13" s="11">
        <f t="shared" si="6"/>
        <v>0.29437901628764118</v>
      </c>
      <c r="M13" s="193"/>
      <c r="N13" s="11">
        <f t="shared" ref="N13:P14" si="7">N6/N11</f>
        <v>0.33593532152094147</v>
      </c>
      <c r="O13" s="11">
        <f t="shared" si="7"/>
        <v>0.27098314380294308</v>
      </c>
      <c r="P13" s="11">
        <f t="shared" si="7"/>
        <v>0.34416896265096425</v>
      </c>
      <c r="Q13" s="193"/>
      <c r="R13" s="119"/>
      <c r="S13" s="12"/>
    </row>
    <row r="14" spans="1:19" s="21" customFormat="1" ht="15" customHeight="1">
      <c r="A14" s="118" t="s">
        <v>33</v>
      </c>
      <c r="B14" s="11">
        <f t="shared" si="4"/>
        <v>0.31351375608651122</v>
      </c>
      <c r="C14" s="11">
        <f t="shared" si="4"/>
        <v>0.3152102323852114</v>
      </c>
      <c r="D14" s="11">
        <f t="shared" si="4"/>
        <v>0.33185167658433956</v>
      </c>
      <c r="E14" s="193"/>
      <c r="F14" s="11">
        <f t="shared" si="5"/>
        <v>0.33678563023415631</v>
      </c>
      <c r="G14" s="11">
        <f t="shared" si="5"/>
        <v>0.3251108773461916</v>
      </c>
      <c r="H14" s="11">
        <f t="shared" si="5"/>
        <v>0.32308688391083246</v>
      </c>
      <c r="I14" s="193"/>
      <c r="J14" s="11">
        <f t="shared" si="6"/>
        <v>0.3398967136535736</v>
      </c>
      <c r="K14" s="11">
        <f t="shared" si="6"/>
        <v>0.32887750587176418</v>
      </c>
      <c r="L14" s="11">
        <f t="shared" si="6"/>
        <v>0.31658978058273884</v>
      </c>
      <c r="M14" s="193"/>
      <c r="N14" s="11">
        <f t="shared" si="7"/>
        <v>0.33593532152094147</v>
      </c>
      <c r="O14" s="11">
        <f t="shared" si="7"/>
        <v>0.30408454300612653</v>
      </c>
      <c r="P14" s="11">
        <f t="shared" si="7"/>
        <v>0.31748043954289634</v>
      </c>
      <c r="Q14" s="193"/>
      <c r="R14" s="119"/>
      <c r="S14" s="14"/>
    </row>
    <row r="15" spans="1:19" s="67" customFormat="1" ht="15" customHeight="1">
      <c r="A15" s="96"/>
      <c r="B15" s="97"/>
      <c r="C15" s="97"/>
      <c r="D15" s="97"/>
      <c r="E15" s="194"/>
      <c r="F15" s="97"/>
      <c r="G15" s="97"/>
      <c r="H15" s="97"/>
      <c r="I15" s="194"/>
      <c r="J15" s="97"/>
      <c r="K15" s="97"/>
      <c r="L15" s="97"/>
      <c r="M15" s="194"/>
      <c r="N15" s="97"/>
      <c r="O15" s="97"/>
      <c r="P15" s="97"/>
      <c r="Q15" s="194"/>
      <c r="R15" s="120"/>
      <c r="S15" s="66"/>
    </row>
    <row r="16" spans="1:19" s="20" customFormat="1" ht="15" customHeight="1">
      <c r="A16" s="52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8" t="s">
        <v>26</v>
      </c>
      <c r="O16" s="179"/>
      <c r="P16" s="179"/>
      <c r="Q16" s="179"/>
      <c r="R16" s="213"/>
      <c r="S16" s="12"/>
    </row>
    <row r="17" spans="1:19" s="20" customFormat="1" ht="15" customHeight="1">
      <c r="A17" s="69" t="s">
        <v>76</v>
      </c>
      <c r="B17" s="80">
        <v>5700</v>
      </c>
      <c r="C17" s="80">
        <v>5700</v>
      </c>
      <c r="D17" s="80">
        <v>5700</v>
      </c>
      <c r="E17" s="196"/>
      <c r="F17" s="80">
        <v>5700</v>
      </c>
      <c r="G17" s="80">
        <v>5700</v>
      </c>
      <c r="H17" s="80">
        <v>5700</v>
      </c>
      <c r="I17" s="196"/>
      <c r="J17" s="80">
        <v>5700</v>
      </c>
      <c r="K17" s="80">
        <v>5700</v>
      </c>
      <c r="L17" s="80">
        <v>5700</v>
      </c>
      <c r="M17" s="196"/>
      <c r="N17" s="80">
        <v>5300</v>
      </c>
      <c r="O17" s="80">
        <v>5700</v>
      </c>
      <c r="P17" s="80">
        <v>5700</v>
      </c>
      <c r="Q17" s="196"/>
      <c r="R17" s="124"/>
      <c r="S17" s="12"/>
    </row>
    <row r="18" spans="1:19" s="20" customFormat="1" ht="15" customHeight="1">
      <c r="A18" s="19" t="s">
        <v>50</v>
      </c>
      <c r="B18" s="74">
        <f>B5</f>
        <v>68750</v>
      </c>
      <c r="C18" s="74">
        <f>C5</f>
        <v>135000</v>
      </c>
      <c r="D18" s="74">
        <f>D5</f>
        <v>255000</v>
      </c>
      <c r="E18" s="197"/>
      <c r="F18" s="74">
        <f>F5</f>
        <v>70500</v>
      </c>
      <c r="G18" s="74">
        <f>G5</f>
        <v>147833.33333333331</v>
      </c>
      <c r="H18" s="74">
        <f>H5</f>
        <v>240000</v>
      </c>
      <c r="I18" s="197"/>
      <c r="J18" s="74">
        <f>J5</f>
        <v>73500</v>
      </c>
      <c r="K18" s="74">
        <f>K5</f>
        <v>153166.66666666669</v>
      </c>
      <c r="L18" s="74">
        <f>L5</f>
        <v>240000.00000000003</v>
      </c>
      <c r="M18" s="197"/>
      <c r="N18" s="74">
        <f>N5</f>
        <v>71400</v>
      </c>
      <c r="O18" s="74">
        <f>O5</f>
        <v>150733.33333333331</v>
      </c>
      <c r="P18" s="74">
        <f>P5</f>
        <v>238000</v>
      </c>
      <c r="Q18" s="197"/>
      <c r="R18" s="126"/>
      <c r="S18" s="12"/>
    </row>
    <row r="19" spans="1:19" s="34" customFormat="1" ht="15" customHeight="1">
      <c r="A19" s="39" t="s">
        <v>51</v>
      </c>
      <c r="B19" s="77">
        <f>B7</f>
        <v>62422.597300000001</v>
      </c>
      <c r="C19" s="77">
        <f>C7</f>
        <v>128905.76139999999</v>
      </c>
      <c r="D19" s="77">
        <f>D7</f>
        <v>245498.3689</v>
      </c>
      <c r="E19" s="198"/>
      <c r="F19" s="77">
        <f>F7</f>
        <v>71647.117199999993</v>
      </c>
      <c r="G19" s="77">
        <f>G7</f>
        <v>133370.0117</v>
      </c>
      <c r="H19" s="77">
        <f>H7</f>
        <v>193872.82810000001</v>
      </c>
      <c r="I19" s="198"/>
      <c r="J19" s="77">
        <f>J7</f>
        <v>71769.631899999993</v>
      </c>
      <c r="K19" s="77">
        <f>K7</f>
        <v>145533.13189999998</v>
      </c>
      <c r="L19" s="77">
        <f>L7</f>
        <v>217601.14439999999</v>
      </c>
      <c r="M19" s="198"/>
      <c r="N19" s="77">
        <f>N7</f>
        <v>83846.695300000007</v>
      </c>
      <c r="O19" s="77">
        <f>O7</f>
        <v>148926.5025</v>
      </c>
      <c r="P19" s="77">
        <f>P7</f>
        <v>233531.61190000002</v>
      </c>
      <c r="Q19" s="198"/>
      <c r="R19" s="126"/>
      <c r="S19" s="33"/>
    </row>
    <row r="20" spans="1:19" s="20" customFormat="1" ht="15" customHeight="1">
      <c r="A20" s="39" t="s">
        <v>52</v>
      </c>
      <c r="B20" s="128">
        <f>B19/B18</f>
        <v>0.90796505163636365</v>
      </c>
      <c r="C20" s="128">
        <f>C19/C18</f>
        <v>0.95485749185185176</v>
      </c>
      <c r="D20" s="128">
        <f>D19/D18</f>
        <v>0.96273870156862751</v>
      </c>
      <c r="E20" s="199"/>
      <c r="F20" s="128">
        <f>F19/F18</f>
        <v>1.0162711659574468</v>
      </c>
      <c r="G20" s="128">
        <f>G19/G18</f>
        <v>0.90216467891770025</v>
      </c>
      <c r="H20" s="128">
        <f>H19/H18</f>
        <v>0.80780345041666668</v>
      </c>
      <c r="I20" s="199"/>
      <c r="J20" s="128">
        <f>J19/J18</f>
        <v>0.97645757687074819</v>
      </c>
      <c r="K20" s="128">
        <f>K19/K18</f>
        <v>0.95016190576713788</v>
      </c>
      <c r="L20" s="128">
        <f>L19/L18</f>
        <v>0.9066714349999998</v>
      </c>
      <c r="M20" s="199"/>
      <c r="N20" s="128">
        <f>N19/N18</f>
        <v>1.1743234635854343</v>
      </c>
      <c r="O20" s="128">
        <f>O19/O18</f>
        <v>0.98801306390977461</v>
      </c>
      <c r="P20" s="128">
        <f>P19/P18</f>
        <v>0.98122526008403366</v>
      </c>
      <c r="Q20" s="199"/>
      <c r="R20" s="126"/>
      <c r="S20" s="12"/>
    </row>
    <row r="21" spans="1:19" s="20" customFormat="1" ht="15" customHeight="1">
      <c r="A21" s="38" t="s">
        <v>60</v>
      </c>
      <c r="B21" s="81">
        <f>B17*0.35</f>
        <v>1994.9999999999998</v>
      </c>
      <c r="C21" s="81">
        <f>C17*0.35</f>
        <v>1994.9999999999998</v>
      </c>
      <c r="D21" s="81">
        <f>D17*0.35</f>
        <v>1994.9999999999998</v>
      </c>
      <c r="E21" s="200"/>
      <c r="F21" s="81">
        <f>F17*0.35</f>
        <v>1994.9999999999998</v>
      </c>
      <c r="G21" s="81">
        <f>G17*0.35</f>
        <v>1994.9999999999998</v>
      </c>
      <c r="H21" s="81">
        <f>H17*0.35</f>
        <v>1994.9999999999998</v>
      </c>
      <c r="I21" s="200"/>
      <c r="J21" s="81">
        <f>J17*0.35</f>
        <v>1994.9999999999998</v>
      </c>
      <c r="K21" s="81">
        <f>K17*0.35</f>
        <v>1994.9999999999998</v>
      </c>
      <c r="L21" s="81">
        <f>L17*0.35</f>
        <v>1994.9999999999998</v>
      </c>
      <c r="M21" s="200"/>
      <c r="N21" s="81">
        <f>N17*0.35</f>
        <v>1854.9999999999998</v>
      </c>
      <c r="O21" s="81">
        <f>O17*0.35</f>
        <v>1994.9999999999998</v>
      </c>
      <c r="P21" s="81">
        <f>P17*0.35</f>
        <v>1994.9999999999998</v>
      </c>
      <c r="Q21" s="200"/>
      <c r="R21" s="129"/>
      <c r="S21" s="12"/>
    </row>
    <row r="22" spans="1:19" s="20" customFormat="1" ht="15" customHeight="1">
      <c r="A22" s="39" t="s">
        <v>53</v>
      </c>
      <c r="B22" s="77">
        <f>IF(B20&lt;80%,0,IF(B20&lt;90%,0.5,IF(B20&lt;95%,0.75,1)))</f>
        <v>0.75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8"/>
      <c r="F22" s="77">
        <f>IF(F20&lt;80%,0,IF(F20&lt;90%,0.5,IF(F20&lt;95%,0.75,1)))</f>
        <v>1</v>
      </c>
      <c r="G22" s="77">
        <f>IF(G20&lt;80%,0,IF(G20&lt;90%,0.5,IF(G20&lt;95%,0.75,1)))</f>
        <v>0.75</v>
      </c>
      <c r="H22" s="77">
        <f>IF(H20&lt;80%,0,IF(H20&lt;90%,0.5,IF(H20&lt;95%,0.75,1)))</f>
        <v>0.5</v>
      </c>
      <c r="I22" s="198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0.75</v>
      </c>
      <c r="M22" s="198"/>
      <c r="N22" s="77">
        <f>IF(N20&lt;80%,0,IF(N20&lt;90%,0.5,IF(N20&lt;95%,0.75,1)))</f>
        <v>1</v>
      </c>
      <c r="O22" s="77">
        <f>IF(O20&lt;80%,0,IF(O20&lt;90%,0.5,IF(O20&lt;95%,0.75,1)))</f>
        <v>1</v>
      </c>
      <c r="P22" s="77">
        <f>IF(P20&lt;80%,0,IF(P20&lt;90%,0.5,IF(P20&lt;95%,0.75,1)))</f>
        <v>1</v>
      </c>
      <c r="Q22" s="198"/>
      <c r="R22" s="126"/>
      <c r="S22" s="12"/>
    </row>
    <row r="23" spans="1:19" s="20" customFormat="1" ht="15" customHeight="1">
      <c r="A23" s="55" t="s">
        <v>54</v>
      </c>
      <c r="B23" s="76">
        <f>B22*B21</f>
        <v>1496.2499999999998</v>
      </c>
      <c r="C23" s="76">
        <f>C22*C21</f>
        <v>1994.9999999999998</v>
      </c>
      <c r="D23" s="76">
        <f>D22*D21</f>
        <v>1994.9999999999998</v>
      </c>
      <c r="E23" s="201"/>
      <c r="F23" s="76">
        <f>F22*F21</f>
        <v>1994.9999999999998</v>
      </c>
      <c r="G23" s="76">
        <f>G22*G21</f>
        <v>1496.2499999999998</v>
      </c>
      <c r="H23" s="76">
        <f>H22*H21</f>
        <v>997.49999999999989</v>
      </c>
      <c r="I23" s="201"/>
      <c r="J23" s="76">
        <f>J22*J21</f>
        <v>1994.9999999999998</v>
      </c>
      <c r="K23" s="76">
        <f>K22*K21</f>
        <v>1994.9999999999998</v>
      </c>
      <c r="L23" s="76">
        <f>L22*L21</f>
        <v>1496.2499999999998</v>
      </c>
      <c r="M23" s="201"/>
      <c r="N23" s="76">
        <f>N22*N21</f>
        <v>1854.9999999999998</v>
      </c>
      <c r="O23" s="76">
        <f>O22*O21</f>
        <v>1994.9999999999998</v>
      </c>
      <c r="P23" s="76">
        <f>P22*P21</f>
        <v>1994.9999999999998</v>
      </c>
      <c r="Q23" s="201"/>
      <c r="R23" s="130"/>
      <c r="S23" s="12"/>
    </row>
    <row r="24" spans="1:19" s="34" customFormat="1" ht="15" customHeight="1">
      <c r="A24" s="19" t="s">
        <v>34</v>
      </c>
      <c r="B24" s="74">
        <v>1</v>
      </c>
      <c r="C24" s="74">
        <v>1</v>
      </c>
      <c r="D24" s="74">
        <v>1</v>
      </c>
      <c r="E24" s="197"/>
      <c r="F24" s="74">
        <v>1</v>
      </c>
      <c r="G24" s="74">
        <v>1</v>
      </c>
      <c r="H24" s="74">
        <v>1</v>
      </c>
      <c r="I24" s="197"/>
      <c r="J24" s="74">
        <v>1</v>
      </c>
      <c r="K24" s="74">
        <v>1</v>
      </c>
      <c r="L24" s="74">
        <v>1</v>
      </c>
      <c r="M24" s="197"/>
      <c r="N24" s="74">
        <v>1</v>
      </c>
      <c r="O24" s="74">
        <v>1</v>
      </c>
      <c r="P24" s="74">
        <v>1</v>
      </c>
      <c r="Q24" s="197"/>
      <c r="R24" s="131"/>
      <c r="S24" s="33"/>
    </row>
    <row r="25" spans="1:19" s="34" customFormat="1" ht="15" customHeight="1">
      <c r="A25" s="49" t="s">
        <v>59</v>
      </c>
      <c r="B25" s="132">
        <f>B17*0.05</f>
        <v>285</v>
      </c>
      <c r="C25" s="132">
        <f>C17*0.05</f>
        <v>285</v>
      </c>
      <c r="D25" s="132">
        <f>D17*0.05</f>
        <v>285</v>
      </c>
      <c r="E25" s="202"/>
      <c r="F25" s="132">
        <f>F17*0.05</f>
        <v>285</v>
      </c>
      <c r="G25" s="132">
        <f>G17*0.05</f>
        <v>285</v>
      </c>
      <c r="H25" s="132">
        <f>H17*0.05</f>
        <v>285</v>
      </c>
      <c r="I25" s="202"/>
      <c r="J25" s="132">
        <f>J17*0.05</f>
        <v>285</v>
      </c>
      <c r="K25" s="132">
        <f>K17*0.05</f>
        <v>285</v>
      </c>
      <c r="L25" s="132">
        <f>L17*0.05</f>
        <v>285</v>
      </c>
      <c r="M25" s="202"/>
      <c r="N25" s="132">
        <f>N17*0.05</f>
        <v>265</v>
      </c>
      <c r="O25" s="132">
        <f>O17*0.05</f>
        <v>285</v>
      </c>
      <c r="P25" s="132">
        <f>P17*0.05</f>
        <v>285</v>
      </c>
      <c r="Q25" s="202"/>
      <c r="R25" s="129"/>
      <c r="S25" s="33"/>
    </row>
    <row r="26" spans="1:19" s="34" customFormat="1" ht="15" customHeight="1">
      <c r="A26" s="39" t="s">
        <v>62</v>
      </c>
      <c r="B26" s="77">
        <v>1</v>
      </c>
      <c r="C26" s="77">
        <v>1</v>
      </c>
      <c r="D26" s="77">
        <v>1</v>
      </c>
      <c r="E26" s="198"/>
      <c r="F26" s="77">
        <v>1</v>
      </c>
      <c r="G26" s="77">
        <v>1</v>
      </c>
      <c r="H26" s="77">
        <v>1</v>
      </c>
      <c r="I26" s="198"/>
      <c r="J26" s="77">
        <v>0.5</v>
      </c>
      <c r="K26" s="77">
        <v>1</v>
      </c>
      <c r="L26" s="77">
        <v>1</v>
      </c>
      <c r="M26" s="198"/>
      <c r="N26" s="77">
        <v>1</v>
      </c>
      <c r="O26" s="77">
        <v>1</v>
      </c>
      <c r="P26" s="77">
        <v>0.75</v>
      </c>
      <c r="Q26" s="198"/>
      <c r="R26" s="126"/>
      <c r="S26" s="33"/>
    </row>
    <row r="27" spans="1:19" s="21" customFormat="1" ht="15" customHeight="1">
      <c r="A27" s="62" t="s">
        <v>63</v>
      </c>
      <c r="B27" s="76">
        <f>B26*B25</f>
        <v>285</v>
      </c>
      <c r="C27" s="76">
        <f>C26*C25</f>
        <v>285</v>
      </c>
      <c r="D27" s="76">
        <f>D26*D25</f>
        <v>285</v>
      </c>
      <c r="E27" s="201"/>
      <c r="F27" s="76">
        <f>F26*F25</f>
        <v>285</v>
      </c>
      <c r="G27" s="76">
        <f>G26*G25</f>
        <v>285</v>
      </c>
      <c r="H27" s="76">
        <f>H26*H25</f>
        <v>285</v>
      </c>
      <c r="I27" s="201"/>
      <c r="J27" s="76">
        <f>J26*J25</f>
        <v>142.5</v>
      </c>
      <c r="K27" s="76">
        <f>K26*K25</f>
        <v>285</v>
      </c>
      <c r="L27" s="76">
        <f>L26*L25</f>
        <v>285</v>
      </c>
      <c r="M27" s="201"/>
      <c r="N27" s="76">
        <f>N26*N25</f>
        <v>265</v>
      </c>
      <c r="O27" s="76">
        <f>O26*O25</f>
        <v>285</v>
      </c>
      <c r="P27" s="76">
        <f>P26*P25</f>
        <v>213.75</v>
      </c>
      <c r="Q27" s="201"/>
      <c r="R27" s="133"/>
      <c r="S27" s="14"/>
    </row>
    <row r="28" spans="1:19" s="42" customFormat="1" ht="15" customHeight="1">
      <c r="A28" s="52" t="s">
        <v>67</v>
      </c>
      <c r="B28" s="79">
        <f>B23+B27</f>
        <v>1781.2499999999998</v>
      </c>
      <c r="C28" s="79">
        <f>C23+C27</f>
        <v>2280</v>
      </c>
      <c r="D28" s="79">
        <f>D23+D27</f>
        <v>2280</v>
      </c>
      <c r="E28" s="203"/>
      <c r="F28" s="79">
        <f>F23+F27</f>
        <v>2280</v>
      </c>
      <c r="G28" s="79">
        <f>G23+G27</f>
        <v>1781.2499999999998</v>
      </c>
      <c r="H28" s="79">
        <f>H23+H27</f>
        <v>1282.5</v>
      </c>
      <c r="I28" s="203"/>
      <c r="J28" s="79">
        <f>J23+J27</f>
        <v>2137.5</v>
      </c>
      <c r="K28" s="79">
        <f>K23+K27</f>
        <v>2280</v>
      </c>
      <c r="L28" s="79">
        <f>L23+L27</f>
        <v>1781.2499999999998</v>
      </c>
      <c r="M28" s="203"/>
      <c r="N28" s="79">
        <f>N23+N27</f>
        <v>2120</v>
      </c>
      <c r="O28" s="79">
        <f>O23+O27</f>
        <v>2280</v>
      </c>
      <c r="P28" s="79">
        <f>P23+P27</f>
        <v>2208.75</v>
      </c>
      <c r="Q28" s="203"/>
      <c r="R28" s="753">
        <f>SUM(B28:P28)</f>
        <v>24492.5</v>
      </c>
      <c r="S28" s="16"/>
    </row>
    <row r="29" spans="1:19" s="34" customFormat="1" ht="15" customHeight="1">
      <c r="A29" s="125" t="s">
        <v>125</v>
      </c>
      <c r="B29" s="760">
        <f>D5</f>
        <v>255000</v>
      </c>
      <c r="C29" s="761"/>
      <c r="D29" s="761"/>
      <c r="E29" s="762"/>
      <c r="F29" s="760">
        <f>H5</f>
        <v>240000</v>
      </c>
      <c r="G29" s="761"/>
      <c r="H29" s="761"/>
      <c r="I29" s="762"/>
      <c r="J29" s="760">
        <f>L5</f>
        <v>240000.00000000003</v>
      </c>
      <c r="K29" s="761"/>
      <c r="L29" s="761"/>
      <c r="M29" s="762"/>
      <c r="N29" s="760">
        <f>P5</f>
        <v>238000</v>
      </c>
      <c r="O29" s="761"/>
      <c r="P29" s="761"/>
      <c r="Q29" s="762"/>
      <c r="R29" s="129"/>
      <c r="S29" s="33"/>
    </row>
    <row r="30" spans="1:19" s="45" customFormat="1" ht="15" customHeight="1">
      <c r="A30" s="127" t="s">
        <v>69</v>
      </c>
      <c r="B30" s="763">
        <f>D7</f>
        <v>245498.3689</v>
      </c>
      <c r="C30" s="764"/>
      <c r="D30" s="764"/>
      <c r="E30" s="762"/>
      <c r="F30" s="763">
        <f>H7</f>
        <v>193872.82810000001</v>
      </c>
      <c r="G30" s="764"/>
      <c r="H30" s="764"/>
      <c r="I30" s="762"/>
      <c r="J30" s="763">
        <f>L7</f>
        <v>217601.14439999999</v>
      </c>
      <c r="K30" s="764"/>
      <c r="L30" s="764"/>
      <c r="M30" s="762"/>
      <c r="N30" s="763">
        <f>P7</f>
        <v>233531.61190000002</v>
      </c>
      <c r="O30" s="764"/>
      <c r="P30" s="764"/>
      <c r="Q30" s="762"/>
      <c r="R30" s="129"/>
      <c r="S30" s="44"/>
    </row>
    <row r="31" spans="1:19" s="37" customFormat="1" ht="15" customHeight="1">
      <c r="A31" s="127" t="s">
        <v>68</v>
      </c>
      <c r="B31" s="765">
        <f>B30/B29</f>
        <v>0.96273870156862751</v>
      </c>
      <c r="C31" s="766"/>
      <c r="D31" s="766"/>
      <c r="E31" s="762"/>
      <c r="F31" s="765">
        <f>F30/F29</f>
        <v>0.80780345041666668</v>
      </c>
      <c r="G31" s="766"/>
      <c r="H31" s="766"/>
      <c r="I31" s="762"/>
      <c r="J31" s="765">
        <f>J30/J29</f>
        <v>0.9066714349999998</v>
      </c>
      <c r="K31" s="766"/>
      <c r="L31" s="766"/>
      <c r="M31" s="762"/>
      <c r="N31" s="765">
        <f>N30/N29</f>
        <v>0.98122526008403366</v>
      </c>
      <c r="O31" s="766"/>
      <c r="P31" s="766"/>
      <c r="Q31" s="762"/>
      <c r="R31" s="135"/>
      <c r="S31" s="29"/>
    </row>
    <row r="32" spans="1:19" s="37" customFormat="1" ht="15" customHeight="1">
      <c r="A32" s="127" t="s">
        <v>65</v>
      </c>
      <c r="B32" s="767">
        <f>D17</f>
        <v>5700</v>
      </c>
      <c r="C32" s="768"/>
      <c r="D32" s="768"/>
      <c r="E32" s="762"/>
      <c r="F32" s="767">
        <f>H17</f>
        <v>5700</v>
      </c>
      <c r="G32" s="768"/>
      <c r="H32" s="768"/>
      <c r="I32" s="762"/>
      <c r="J32" s="767">
        <f>L17</f>
        <v>5700</v>
      </c>
      <c r="K32" s="768"/>
      <c r="L32" s="768"/>
      <c r="M32" s="762"/>
      <c r="N32" s="767">
        <f>P17</f>
        <v>5700</v>
      </c>
      <c r="O32" s="768"/>
      <c r="P32" s="768"/>
      <c r="Q32" s="762"/>
      <c r="R32" s="129"/>
      <c r="S32" s="29"/>
    </row>
    <row r="33" spans="1:19" s="20" customFormat="1" ht="15" customHeight="1">
      <c r="A33" s="83" t="s">
        <v>66</v>
      </c>
      <c r="B33" s="769">
        <f>IF(B31&lt;100%,0,IF(B31&lt;105%,0.5,IF(B31&lt;110%,0.7,1)))</f>
        <v>0</v>
      </c>
      <c r="C33" s="770"/>
      <c r="D33" s="770"/>
      <c r="E33" s="759"/>
      <c r="F33" s="769">
        <f>IF(F31&lt;100%,0,IF(F31&lt;105%,0.5,IF(F31&lt;110%,0.7,1)))</f>
        <v>0</v>
      </c>
      <c r="G33" s="770"/>
      <c r="H33" s="770"/>
      <c r="I33" s="759"/>
      <c r="J33" s="769">
        <f>IF(J31&lt;100%,0,IF(J31&lt;105%,0.5,IF(J31&lt;110%,0.7,1)))</f>
        <v>0</v>
      </c>
      <c r="K33" s="770"/>
      <c r="L33" s="770"/>
      <c r="M33" s="759"/>
      <c r="N33" s="769">
        <f>IF(N31&lt;100%,0,IF(N31&lt;105%,0.5,IF(N31&lt;110%,0.7,1)))</f>
        <v>0</v>
      </c>
      <c r="O33" s="770"/>
      <c r="P33" s="770"/>
      <c r="Q33" s="759"/>
      <c r="R33" s="136"/>
      <c r="S33" s="12"/>
    </row>
    <row r="34" spans="1:19" s="20" customFormat="1" ht="15" customHeight="1">
      <c r="A34" s="52" t="s">
        <v>64</v>
      </c>
      <c r="B34" s="771">
        <f>B33*B32</f>
        <v>0</v>
      </c>
      <c r="C34" s="772"/>
      <c r="D34" s="772"/>
      <c r="E34" s="759"/>
      <c r="F34" s="771">
        <f>F33*F32</f>
        <v>0</v>
      </c>
      <c r="G34" s="772"/>
      <c r="H34" s="772"/>
      <c r="I34" s="759"/>
      <c r="J34" s="771">
        <f>J33*J32</f>
        <v>0</v>
      </c>
      <c r="K34" s="772"/>
      <c r="L34" s="772"/>
      <c r="M34" s="759"/>
      <c r="N34" s="771">
        <f>N33*N32</f>
        <v>0</v>
      </c>
      <c r="O34" s="772"/>
      <c r="P34" s="772"/>
      <c r="Q34" s="759"/>
      <c r="R34" s="137"/>
      <c r="S34" s="12"/>
    </row>
    <row r="35" spans="1:19" s="20" customFormat="1" ht="15" customHeight="1" thickBot="1">
      <c r="A35" s="59"/>
      <c r="B35" s="60"/>
      <c r="C35" s="60"/>
      <c r="D35" s="60"/>
      <c r="E35" s="139"/>
      <c r="F35" s="60"/>
      <c r="G35" s="60"/>
      <c r="H35" s="60"/>
      <c r="I35" s="139"/>
      <c r="J35" s="60"/>
      <c r="K35" s="60"/>
      <c r="L35" s="60"/>
      <c r="M35" s="139"/>
      <c r="N35" s="60"/>
      <c r="O35" s="60"/>
      <c r="P35" s="60"/>
      <c r="Q35" s="139"/>
      <c r="R35" s="140"/>
      <c r="S35" s="12"/>
    </row>
    <row r="36" spans="1:19" ht="13.8" thickBot="1">
      <c r="A36" s="391" t="s">
        <v>96</v>
      </c>
      <c r="B36" s="402" t="s">
        <v>97</v>
      </c>
      <c r="C36" s="402" t="s">
        <v>11</v>
      </c>
      <c r="D36" s="402" t="s">
        <v>12</v>
      </c>
      <c r="E36" s="400" t="s">
        <v>98</v>
      </c>
      <c r="F36" s="402" t="s">
        <v>7</v>
      </c>
      <c r="G36" s="402" t="s">
        <v>8</v>
      </c>
      <c r="H36" s="402" t="s">
        <v>9</v>
      </c>
      <c r="I36" s="400" t="s">
        <v>98</v>
      </c>
      <c r="J36" s="402" t="s">
        <v>4</v>
      </c>
      <c r="K36" s="402" t="s">
        <v>5</v>
      </c>
      <c r="L36" s="402" t="s">
        <v>6</v>
      </c>
      <c r="M36" s="400" t="s">
        <v>98</v>
      </c>
      <c r="N36" s="402" t="s">
        <v>1</v>
      </c>
      <c r="O36" s="402" t="s">
        <v>2</v>
      </c>
      <c r="P36" s="402" t="s">
        <v>3</v>
      </c>
      <c r="Q36" s="400" t="s">
        <v>98</v>
      </c>
      <c r="R36" s="400" t="s">
        <v>98</v>
      </c>
    </row>
    <row r="37" spans="1:19" ht="13.8" thickTop="1">
      <c r="A37" s="392" t="s">
        <v>99</v>
      </c>
      <c r="B37" s="159">
        <v>2</v>
      </c>
      <c r="C37" s="159">
        <v>1</v>
      </c>
      <c r="D37" s="159">
        <v>1</v>
      </c>
      <c r="E37" s="401">
        <f>SUM(B37:D37)</f>
        <v>4</v>
      </c>
      <c r="F37" s="679">
        <v>1</v>
      </c>
      <c r="G37" s="679">
        <v>0</v>
      </c>
      <c r="H37" s="679">
        <v>0</v>
      </c>
      <c r="I37" s="401">
        <f>SUM(F37:H37)</f>
        <v>1</v>
      </c>
      <c r="J37" s="669">
        <v>1</v>
      </c>
      <c r="K37" s="669">
        <v>0</v>
      </c>
      <c r="L37" s="669">
        <v>0</v>
      </c>
      <c r="M37" s="401">
        <f>SUM(J37:L37)</f>
        <v>1</v>
      </c>
      <c r="N37" s="660">
        <v>0</v>
      </c>
      <c r="O37" s="660">
        <v>1</v>
      </c>
      <c r="P37" s="660">
        <v>1</v>
      </c>
      <c r="Q37" s="401">
        <f>SUM(N37:P37)</f>
        <v>2</v>
      </c>
      <c r="R37" s="401">
        <f>M37+I37+E37+Q37</f>
        <v>8</v>
      </c>
      <c r="S37" s="65"/>
    </row>
    <row r="38" spans="1:19">
      <c r="A38" s="393" t="s">
        <v>100</v>
      </c>
      <c r="B38" s="160">
        <v>68</v>
      </c>
      <c r="C38" s="160">
        <v>71</v>
      </c>
      <c r="D38" s="160">
        <v>71</v>
      </c>
      <c r="E38" s="207"/>
      <c r="F38" s="677">
        <v>66</v>
      </c>
      <c r="G38" s="677">
        <v>66</v>
      </c>
      <c r="H38" s="677">
        <v>66</v>
      </c>
      <c r="I38" s="207"/>
      <c r="J38" s="668">
        <v>63</v>
      </c>
      <c r="K38" s="668">
        <v>63</v>
      </c>
      <c r="L38" s="668">
        <v>65</v>
      </c>
      <c r="M38" s="207"/>
      <c r="N38" s="659">
        <v>59</v>
      </c>
      <c r="O38" s="659">
        <v>60</v>
      </c>
      <c r="P38" s="659">
        <v>62</v>
      </c>
      <c r="Q38" s="207"/>
      <c r="R38" s="207"/>
      <c r="S38" s="65"/>
    </row>
    <row r="39" spans="1:19">
      <c r="A39" s="393" t="s">
        <v>101</v>
      </c>
      <c r="B39" s="160">
        <v>42</v>
      </c>
      <c r="C39" s="160">
        <v>40</v>
      </c>
      <c r="D39" s="160">
        <v>40</v>
      </c>
      <c r="E39" s="207"/>
      <c r="F39" s="677">
        <v>43</v>
      </c>
      <c r="G39" s="677">
        <v>43</v>
      </c>
      <c r="H39" s="677">
        <v>43</v>
      </c>
      <c r="I39" s="207"/>
      <c r="J39" s="668">
        <v>42</v>
      </c>
      <c r="K39" s="668">
        <v>42</v>
      </c>
      <c r="L39" s="668">
        <v>44</v>
      </c>
      <c r="M39" s="207"/>
      <c r="N39" s="659">
        <v>46</v>
      </c>
      <c r="O39" s="659">
        <v>46</v>
      </c>
      <c r="P39" s="659">
        <v>44</v>
      </c>
      <c r="Q39" s="207"/>
      <c r="R39" s="207"/>
      <c r="S39" s="65"/>
    </row>
    <row r="40" spans="1:19">
      <c r="A40" s="393" t="s">
        <v>135</v>
      </c>
      <c r="B40" s="160">
        <v>24</v>
      </c>
      <c r="C40" s="160">
        <v>23</v>
      </c>
      <c r="D40" s="160">
        <v>24</v>
      </c>
      <c r="E40" s="207"/>
      <c r="F40" s="677">
        <v>24</v>
      </c>
      <c r="G40" s="677">
        <v>24</v>
      </c>
      <c r="H40" s="677">
        <v>24</v>
      </c>
      <c r="I40" s="207"/>
      <c r="J40" s="668">
        <v>26</v>
      </c>
      <c r="K40" s="668">
        <v>26</v>
      </c>
      <c r="L40" s="668">
        <v>24</v>
      </c>
      <c r="M40" s="207"/>
      <c r="N40" s="659">
        <v>27</v>
      </c>
      <c r="O40" s="659">
        <v>27</v>
      </c>
      <c r="P40" s="659">
        <v>26</v>
      </c>
      <c r="Q40" s="207"/>
      <c r="R40" s="207"/>
      <c r="S40" s="65"/>
    </row>
    <row r="41" spans="1:19">
      <c r="A41" s="393" t="s">
        <v>102</v>
      </c>
      <c r="B41" s="482">
        <f t="shared" ref="B41:D41" si="8">SUM(B38:B40)</f>
        <v>134</v>
      </c>
      <c r="C41" s="482">
        <v>134</v>
      </c>
      <c r="D41" s="482">
        <f t="shared" si="8"/>
        <v>135</v>
      </c>
      <c r="E41" s="208"/>
      <c r="F41" s="688">
        <v>133</v>
      </c>
      <c r="G41" s="688">
        <v>133</v>
      </c>
      <c r="H41" s="688">
        <v>133</v>
      </c>
      <c r="I41" s="208"/>
      <c r="J41" s="676">
        <v>131</v>
      </c>
      <c r="K41" s="676">
        <v>131</v>
      </c>
      <c r="L41" s="676">
        <v>133</v>
      </c>
      <c r="M41" s="208"/>
      <c r="N41" s="667">
        <v>132</v>
      </c>
      <c r="O41" s="667">
        <v>133</v>
      </c>
      <c r="P41" s="667">
        <v>132</v>
      </c>
      <c r="Q41" s="208"/>
      <c r="R41" s="208"/>
      <c r="S41" s="65"/>
    </row>
    <row r="42" spans="1:19" ht="13.8" thickBot="1">
      <c r="A42" s="394" t="s">
        <v>103</v>
      </c>
      <c r="B42" s="161">
        <v>1</v>
      </c>
      <c r="C42" s="161">
        <v>2</v>
      </c>
      <c r="D42" s="161">
        <v>1</v>
      </c>
      <c r="E42" s="401">
        <f t="shared" ref="E42:E43" si="9">SUM(B42:D42)</f>
        <v>4</v>
      </c>
      <c r="F42" s="681">
        <v>1</v>
      </c>
      <c r="G42" s="681">
        <v>4</v>
      </c>
      <c r="H42" s="681">
        <v>2</v>
      </c>
      <c r="I42" s="401">
        <f t="shared" ref="I42:I43" si="10">SUM(F42:H42)</f>
        <v>7</v>
      </c>
      <c r="J42" s="670">
        <v>0</v>
      </c>
      <c r="K42" s="670">
        <v>3</v>
      </c>
      <c r="L42" s="670">
        <v>2</v>
      </c>
      <c r="M42" s="401">
        <f t="shared" ref="M42:M43" si="11">SUM(J42:L42)</f>
        <v>5</v>
      </c>
      <c r="N42" s="661">
        <v>4</v>
      </c>
      <c r="O42" s="661">
        <v>2</v>
      </c>
      <c r="P42" s="661">
        <v>1</v>
      </c>
      <c r="Q42" s="401">
        <f t="shared" ref="Q42:Q43" si="12">SUM(N42:P42)</f>
        <v>7</v>
      </c>
      <c r="R42" s="401">
        <f>M42+I42+E42+Q42</f>
        <v>23</v>
      </c>
      <c r="S42" s="65"/>
    </row>
    <row r="43" spans="1:19" ht="13.8" thickTop="1">
      <c r="A43" s="395" t="s">
        <v>136</v>
      </c>
      <c r="B43" s="162">
        <v>29</v>
      </c>
      <c r="C43" s="162">
        <v>24</v>
      </c>
      <c r="D43" s="162">
        <v>20</v>
      </c>
      <c r="E43" s="401">
        <f t="shared" si="9"/>
        <v>73</v>
      </c>
      <c r="F43" s="683">
        <v>20</v>
      </c>
      <c r="G43" s="683">
        <v>29</v>
      </c>
      <c r="H43" s="683">
        <v>29</v>
      </c>
      <c r="I43" s="401">
        <f t="shared" si="10"/>
        <v>78</v>
      </c>
      <c r="J43" s="671">
        <v>19</v>
      </c>
      <c r="K43" s="671">
        <v>21</v>
      </c>
      <c r="L43" s="671">
        <v>34</v>
      </c>
      <c r="M43" s="401">
        <f t="shared" si="11"/>
        <v>74</v>
      </c>
      <c r="N43" s="662">
        <v>22</v>
      </c>
      <c r="O43" s="662">
        <v>50</v>
      </c>
      <c r="P43" s="662">
        <v>46</v>
      </c>
      <c r="Q43" s="401">
        <f t="shared" si="12"/>
        <v>118</v>
      </c>
      <c r="R43" s="401">
        <f>M43+I43+E43+Q43</f>
        <v>343</v>
      </c>
      <c r="S43" s="65"/>
    </row>
    <row r="44" spans="1:19">
      <c r="A44" s="393" t="s">
        <v>104</v>
      </c>
      <c r="B44" s="160">
        <v>12</v>
      </c>
      <c r="C44" s="160">
        <v>14</v>
      </c>
      <c r="D44" s="160">
        <v>14</v>
      </c>
      <c r="E44" s="209"/>
      <c r="F44" s="677">
        <v>13</v>
      </c>
      <c r="G44" s="677">
        <v>19</v>
      </c>
      <c r="H44" s="677">
        <v>28</v>
      </c>
      <c r="I44" s="209"/>
      <c r="J44" s="668">
        <v>18</v>
      </c>
      <c r="K44" s="668">
        <v>25</v>
      </c>
      <c r="L44" s="668">
        <v>26</v>
      </c>
      <c r="M44" s="209"/>
      <c r="N44" s="659">
        <v>23</v>
      </c>
      <c r="O44" s="659">
        <v>35</v>
      </c>
      <c r="P44" s="659">
        <v>31</v>
      </c>
      <c r="Q44" s="209"/>
      <c r="R44" s="209"/>
      <c r="S44" s="65"/>
    </row>
    <row r="45" spans="1:19">
      <c r="A45" s="393" t="s">
        <v>105</v>
      </c>
      <c r="B45" s="160">
        <v>29</v>
      </c>
      <c r="C45" s="160">
        <v>12</v>
      </c>
      <c r="D45" s="160">
        <v>16</v>
      </c>
      <c r="E45" s="401">
        <f t="shared" ref="E45:E49" si="13">SUM(B45:D45)</f>
        <v>57</v>
      </c>
      <c r="F45" s="677">
        <v>14</v>
      </c>
      <c r="G45" s="677">
        <v>17</v>
      </c>
      <c r="H45" s="677">
        <v>12</v>
      </c>
      <c r="I45" s="401">
        <f t="shared" ref="I45:I49" si="14">SUM(F45:H45)</f>
        <v>43</v>
      </c>
      <c r="J45" s="668">
        <v>20</v>
      </c>
      <c r="K45" s="668">
        <v>9</v>
      </c>
      <c r="L45" s="668">
        <v>14</v>
      </c>
      <c r="M45" s="401">
        <f t="shared" ref="M45:M49" si="15">SUM(J45:L45)</f>
        <v>43</v>
      </c>
      <c r="N45" s="659">
        <v>11</v>
      </c>
      <c r="O45" s="659">
        <v>25</v>
      </c>
      <c r="P45" s="659">
        <v>25</v>
      </c>
      <c r="Q45" s="401">
        <f t="shared" ref="Q45:Q49" si="16">SUM(N45:P45)</f>
        <v>61</v>
      </c>
      <c r="R45" s="401">
        <f>M45+I45+E45+Q45</f>
        <v>204</v>
      </c>
      <c r="S45" s="65"/>
    </row>
    <row r="46" spans="1:19" ht="13.8" thickBot="1">
      <c r="A46" s="396" t="s">
        <v>106</v>
      </c>
      <c r="B46" s="163">
        <v>15</v>
      </c>
      <c r="C46" s="163">
        <v>9</v>
      </c>
      <c r="D46" s="163">
        <v>5</v>
      </c>
      <c r="E46" s="401">
        <f t="shared" si="13"/>
        <v>29</v>
      </c>
      <c r="F46" s="684">
        <v>21</v>
      </c>
      <c r="G46" s="684">
        <v>10</v>
      </c>
      <c r="H46" s="684">
        <v>11</v>
      </c>
      <c r="I46" s="401">
        <f t="shared" si="14"/>
        <v>42</v>
      </c>
      <c r="J46" s="672">
        <v>13</v>
      </c>
      <c r="K46" s="672">
        <v>6</v>
      </c>
      <c r="L46" s="672">
        <v>13</v>
      </c>
      <c r="M46" s="401">
        <f t="shared" si="15"/>
        <v>32</v>
      </c>
      <c r="N46" s="663">
        <v>7</v>
      </c>
      <c r="O46" s="663">
        <v>13</v>
      </c>
      <c r="P46" s="663">
        <v>25</v>
      </c>
      <c r="Q46" s="401">
        <f t="shared" si="16"/>
        <v>45</v>
      </c>
      <c r="R46" s="401">
        <f>M46+I46+E46+Q46</f>
        <v>148</v>
      </c>
      <c r="S46" s="65"/>
    </row>
    <row r="47" spans="1:19" ht="13.8" thickTop="1">
      <c r="A47" s="392" t="s">
        <v>193</v>
      </c>
      <c r="B47" s="159">
        <v>1</v>
      </c>
      <c r="C47" s="159">
        <v>1</v>
      </c>
      <c r="D47" s="159">
        <v>2</v>
      </c>
      <c r="E47" s="401">
        <f t="shared" si="13"/>
        <v>4</v>
      </c>
      <c r="F47" s="679">
        <v>2</v>
      </c>
      <c r="G47" s="679">
        <v>0</v>
      </c>
      <c r="H47" s="679">
        <v>0</v>
      </c>
      <c r="I47" s="401">
        <f t="shared" si="14"/>
        <v>2</v>
      </c>
      <c r="J47" s="669">
        <v>0</v>
      </c>
      <c r="K47" s="669">
        <v>0</v>
      </c>
      <c r="L47" s="669">
        <v>1</v>
      </c>
      <c r="M47" s="401">
        <f t="shared" si="15"/>
        <v>1</v>
      </c>
      <c r="N47" s="660">
        <v>1</v>
      </c>
      <c r="O47" s="660">
        <v>1</v>
      </c>
      <c r="P47" s="660">
        <v>1</v>
      </c>
      <c r="Q47" s="401">
        <f t="shared" si="16"/>
        <v>3</v>
      </c>
      <c r="R47" s="401">
        <f>M47+I47+E47+Q47</f>
        <v>10</v>
      </c>
      <c r="S47" s="65"/>
    </row>
    <row r="48" spans="1:19" ht="13.8" thickBot="1">
      <c r="A48" s="394" t="s">
        <v>107</v>
      </c>
      <c r="B48" s="161">
        <v>0</v>
      </c>
      <c r="C48" s="161">
        <v>0</v>
      </c>
      <c r="D48" s="161">
        <v>0</v>
      </c>
      <c r="E48" s="401">
        <f t="shared" si="13"/>
        <v>0</v>
      </c>
      <c r="F48" s="681">
        <v>0</v>
      </c>
      <c r="G48" s="681">
        <v>0</v>
      </c>
      <c r="H48" s="681">
        <v>0</v>
      </c>
      <c r="I48" s="401">
        <f t="shared" si="14"/>
        <v>0</v>
      </c>
      <c r="J48" s="670">
        <v>0</v>
      </c>
      <c r="K48" s="670">
        <v>0</v>
      </c>
      <c r="L48" s="670">
        <v>0</v>
      </c>
      <c r="M48" s="401">
        <f t="shared" si="15"/>
        <v>0</v>
      </c>
      <c r="N48" s="661">
        <v>0</v>
      </c>
      <c r="O48" s="661">
        <v>0</v>
      </c>
      <c r="P48" s="661">
        <v>0</v>
      </c>
      <c r="Q48" s="401">
        <f t="shared" si="16"/>
        <v>0</v>
      </c>
      <c r="R48" s="401">
        <f>M48+I48+E48+Q48</f>
        <v>0</v>
      </c>
      <c r="S48" s="65"/>
    </row>
    <row r="49" spans="1:19" ht="14.4" thickTop="1" thickBot="1">
      <c r="A49" s="394" t="s">
        <v>108</v>
      </c>
      <c r="B49" s="161">
        <v>2</v>
      </c>
      <c r="C49" s="161">
        <v>0</v>
      </c>
      <c r="D49" s="161">
        <v>4</v>
      </c>
      <c r="E49" s="401">
        <f t="shared" si="13"/>
        <v>6</v>
      </c>
      <c r="F49" s="681">
        <v>3</v>
      </c>
      <c r="G49" s="681">
        <v>0</v>
      </c>
      <c r="H49" s="681">
        <v>1</v>
      </c>
      <c r="I49" s="401">
        <f t="shared" si="14"/>
        <v>4</v>
      </c>
      <c r="J49" s="670">
        <v>0</v>
      </c>
      <c r="K49" s="670">
        <v>0</v>
      </c>
      <c r="L49" s="670">
        <v>2</v>
      </c>
      <c r="M49" s="401">
        <f t="shared" si="15"/>
        <v>2</v>
      </c>
      <c r="N49" s="661">
        <v>3</v>
      </c>
      <c r="O49" s="661">
        <v>0</v>
      </c>
      <c r="P49" s="661">
        <v>1</v>
      </c>
      <c r="Q49" s="401">
        <f t="shared" si="16"/>
        <v>4</v>
      </c>
      <c r="R49" s="401">
        <f>M49+I49+E49+Q49</f>
        <v>16</v>
      </c>
      <c r="S49" s="65"/>
    </row>
    <row r="50" spans="1:19" ht="13.8" thickTop="1">
      <c r="A50" s="397" t="s">
        <v>109</v>
      </c>
      <c r="B50" s="166">
        <v>30</v>
      </c>
      <c r="C50" s="166">
        <v>32</v>
      </c>
      <c r="D50" s="166">
        <v>36</v>
      </c>
      <c r="E50" s="158"/>
      <c r="F50" s="685">
        <v>33</v>
      </c>
      <c r="G50" s="685">
        <v>32</v>
      </c>
      <c r="H50" s="680">
        <v>32</v>
      </c>
      <c r="I50" s="158"/>
      <c r="J50" s="673">
        <v>37</v>
      </c>
      <c r="K50" s="673">
        <v>38</v>
      </c>
      <c r="L50" s="673">
        <v>36</v>
      </c>
      <c r="M50" s="158"/>
      <c r="N50" s="664">
        <v>36</v>
      </c>
      <c r="O50" s="664">
        <v>42</v>
      </c>
      <c r="P50" s="664">
        <v>38</v>
      </c>
      <c r="Q50" s="158"/>
      <c r="R50" s="158"/>
      <c r="S50" s="65"/>
    </row>
    <row r="51" spans="1:19">
      <c r="A51" s="398" t="s">
        <v>110</v>
      </c>
      <c r="B51" s="167">
        <v>6</v>
      </c>
      <c r="C51" s="167">
        <v>3</v>
      </c>
      <c r="D51" s="167">
        <v>7</v>
      </c>
      <c r="E51" s="401">
        <f t="shared" ref="E51:E53" si="17">SUM(B51:D51)</f>
        <v>16</v>
      </c>
      <c r="F51" s="686">
        <v>4</v>
      </c>
      <c r="G51" s="686">
        <v>5</v>
      </c>
      <c r="H51" s="678">
        <v>5</v>
      </c>
      <c r="I51" s="401">
        <f t="shared" ref="I51:I53" si="18">SUM(F51:H51)</f>
        <v>14</v>
      </c>
      <c r="J51" s="674">
        <v>4</v>
      </c>
      <c r="K51" s="674">
        <v>2</v>
      </c>
      <c r="L51" s="674">
        <v>7</v>
      </c>
      <c r="M51" s="401">
        <f t="shared" ref="M51:M53" si="19">SUM(J51:L51)</f>
        <v>13</v>
      </c>
      <c r="N51" s="665">
        <v>1</v>
      </c>
      <c r="O51" s="665">
        <v>9</v>
      </c>
      <c r="P51" s="665">
        <v>13</v>
      </c>
      <c r="Q51" s="401">
        <f t="shared" ref="Q51:Q53" si="20">SUM(N51:P51)</f>
        <v>23</v>
      </c>
      <c r="R51" s="401">
        <f>M51+I51+E51+Q51</f>
        <v>66</v>
      </c>
      <c r="S51" s="65"/>
    </row>
    <row r="52" spans="1:19">
      <c r="A52" s="398" t="s">
        <v>111</v>
      </c>
      <c r="B52" s="167">
        <v>8</v>
      </c>
      <c r="C52" s="463">
        <v>0</v>
      </c>
      <c r="D52" s="465">
        <v>5</v>
      </c>
      <c r="E52" s="401">
        <f t="shared" si="17"/>
        <v>13</v>
      </c>
      <c r="F52" s="686">
        <v>4</v>
      </c>
      <c r="G52" s="686">
        <v>2</v>
      </c>
      <c r="H52" s="678">
        <v>2</v>
      </c>
      <c r="I52" s="401">
        <f t="shared" si="18"/>
        <v>8</v>
      </c>
      <c r="J52" s="674">
        <v>2</v>
      </c>
      <c r="K52" s="674">
        <v>2</v>
      </c>
      <c r="L52" s="674">
        <v>6</v>
      </c>
      <c r="M52" s="401">
        <f t="shared" si="19"/>
        <v>10</v>
      </c>
      <c r="N52" s="665">
        <v>2</v>
      </c>
      <c r="O52" s="665">
        <v>2</v>
      </c>
      <c r="P52" s="665">
        <v>5</v>
      </c>
      <c r="Q52" s="401">
        <f t="shared" si="20"/>
        <v>9</v>
      </c>
      <c r="R52" s="401">
        <f>M52+I52+E52+Q52</f>
        <v>40</v>
      </c>
      <c r="S52" s="65"/>
    </row>
    <row r="53" spans="1:19">
      <c r="A53" s="398" t="s">
        <v>112</v>
      </c>
      <c r="B53" s="167">
        <v>1</v>
      </c>
      <c r="C53" s="463">
        <v>1</v>
      </c>
      <c r="D53" s="465">
        <v>0</v>
      </c>
      <c r="E53" s="401">
        <f t="shared" si="17"/>
        <v>2</v>
      </c>
      <c r="F53" s="686">
        <v>3</v>
      </c>
      <c r="G53" s="686">
        <v>6</v>
      </c>
      <c r="H53" s="678">
        <v>1</v>
      </c>
      <c r="I53" s="401">
        <f t="shared" si="18"/>
        <v>10</v>
      </c>
      <c r="J53" s="674">
        <v>4</v>
      </c>
      <c r="K53" s="674">
        <v>0</v>
      </c>
      <c r="L53" s="674">
        <v>4</v>
      </c>
      <c r="M53" s="401">
        <f t="shared" si="19"/>
        <v>8</v>
      </c>
      <c r="N53" s="665">
        <v>1</v>
      </c>
      <c r="O53" s="665">
        <v>1</v>
      </c>
      <c r="P53" s="665">
        <v>10</v>
      </c>
      <c r="Q53" s="401">
        <f t="shared" si="20"/>
        <v>12</v>
      </c>
      <c r="R53" s="401">
        <f>M53+I53+E53+Q53</f>
        <v>32</v>
      </c>
      <c r="S53" s="65"/>
    </row>
    <row r="54" spans="1:19" ht="13.8" thickBot="1">
      <c r="A54" s="399" t="s">
        <v>113</v>
      </c>
      <c r="B54" s="414">
        <v>3</v>
      </c>
      <c r="C54" s="464">
        <v>3</v>
      </c>
      <c r="D54" s="466">
        <v>2</v>
      </c>
      <c r="E54" s="210"/>
      <c r="F54" s="687">
        <v>5</v>
      </c>
      <c r="G54" s="687">
        <v>4</v>
      </c>
      <c r="H54" s="682">
        <v>4</v>
      </c>
      <c r="I54" s="210"/>
      <c r="J54" s="675">
        <v>5</v>
      </c>
      <c r="K54" s="675">
        <v>5</v>
      </c>
      <c r="L54" s="675">
        <v>5</v>
      </c>
      <c r="M54" s="210"/>
      <c r="N54" s="666">
        <v>4</v>
      </c>
      <c r="O54" s="666">
        <v>4</v>
      </c>
      <c r="P54" s="666">
        <v>6</v>
      </c>
      <c r="Q54" s="210"/>
      <c r="R54" s="210"/>
      <c r="S54" s="65"/>
    </row>
    <row r="55" spans="1:19" ht="13.8" thickTop="1">
      <c r="A55"/>
      <c r="B55" s="65"/>
      <c r="C55" s="65"/>
      <c r="D55" s="164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13"/>
    </row>
  </sheetData>
  <mergeCells count="28">
    <mergeCell ref="B34:E34"/>
    <mergeCell ref="N34:Q34"/>
    <mergeCell ref="J34:M34"/>
    <mergeCell ref="F34:I34"/>
    <mergeCell ref="N1:Q1"/>
    <mergeCell ref="N33:Q33"/>
    <mergeCell ref="J33:M33"/>
    <mergeCell ref="F33:I33"/>
    <mergeCell ref="B33:E33"/>
    <mergeCell ref="N29:Q29"/>
    <mergeCell ref="J29:M29"/>
    <mergeCell ref="N32:Q32"/>
    <mergeCell ref="J30:M30"/>
    <mergeCell ref="B29:E29"/>
    <mergeCell ref="N30:Q30"/>
    <mergeCell ref="B31:E31"/>
    <mergeCell ref="B32:E32"/>
    <mergeCell ref="J32:M32"/>
    <mergeCell ref="F32:I32"/>
    <mergeCell ref="B30:E30"/>
    <mergeCell ref="F1:I1"/>
    <mergeCell ref="F31:I31"/>
    <mergeCell ref="F30:I30"/>
    <mergeCell ref="N31:Q31"/>
    <mergeCell ref="J1:M1"/>
    <mergeCell ref="B1:E1"/>
    <mergeCell ref="J31:M31"/>
    <mergeCell ref="F29:I29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opLeftCell="B16" zoomScale="85" zoomScaleNormal="85" workbookViewId="0">
      <selection activeCell="B37" sqref="B37:D54"/>
    </sheetView>
  </sheetViews>
  <sheetFormatPr defaultColWidth="9.109375" defaultRowHeight="13.2"/>
  <cols>
    <col min="1" max="1" width="45" style="16" customWidth="1"/>
    <col min="2" max="3" width="12.5546875" style="12" customWidth="1"/>
    <col min="4" max="4" width="13" style="12" customWidth="1"/>
    <col min="5" max="5" width="11.44140625" style="142" customWidth="1"/>
    <col min="6" max="8" width="11.44140625" style="12" customWidth="1"/>
    <col min="9" max="9" width="11.44140625" style="142" customWidth="1"/>
    <col min="10" max="12" width="12.88671875" style="12" customWidth="1"/>
    <col min="13" max="13" width="13.88671875" style="142" customWidth="1"/>
    <col min="14" max="16" width="11.5546875" style="12" customWidth="1"/>
    <col min="17" max="17" width="11.5546875" style="142" customWidth="1"/>
    <col min="18" max="18" width="13.109375" style="142" customWidth="1"/>
    <col min="19" max="16384" width="9.109375" style="13"/>
  </cols>
  <sheetData>
    <row r="1" spans="1:19" s="20" customFormat="1" ht="15" customHeight="1">
      <c r="A1" s="31" t="s">
        <v>25</v>
      </c>
      <c r="B1" s="773" t="s">
        <v>204</v>
      </c>
      <c r="C1" s="758"/>
      <c r="D1" s="758"/>
      <c r="E1" s="759"/>
      <c r="F1" s="773" t="s">
        <v>157</v>
      </c>
      <c r="G1" s="758"/>
      <c r="H1" s="758"/>
      <c r="I1" s="759"/>
      <c r="J1" s="773" t="s">
        <v>150</v>
      </c>
      <c r="K1" s="758"/>
      <c r="L1" s="758"/>
      <c r="M1" s="759"/>
      <c r="N1" s="773" t="s">
        <v>132</v>
      </c>
      <c r="O1" s="758"/>
      <c r="P1" s="758"/>
      <c r="Q1" s="759"/>
      <c r="R1" s="177"/>
    </row>
    <row r="2" spans="1:19" s="20" customFormat="1" ht="15" customHeight="1">
      <c r="A2" s="5" t="s">
        <v>0</v>
      </c>
      <c r="B2" s="50" t="s">
        <v>10</v>
      </c>
      <c r="C2" s="50" t="s">
        <v>11</v>
      </c>
      <c r="D2" s="50" t="s">
        <v>12</v>
      </c>
      <c r="E2" s="188" t="s">
        <v>128</v>
      </c>
      <c r="F2" s="50" t="s">
        <v>7</v>
      </c>
      <c r="G2" s="50" t="s">
        <v>8</v>
      </c>
      <c r="H2" s="50" t="s">
        <v>9</v>
      </c>
      <c r="I2" s="188" t="s">
        <v>127</v>
      </c>
      <c r="J2" s="50" t="s">
        <v>4</v>
      </c>
      <c r="K2" s="50" t="s">
        <v>5</v>
      </c>
      <c r="L2" s="50" t="s">
        <v>6</v>
      </c>
      <c r="M2" s="188" t="s">
        <v>126</v>
      </c>
      <c r="N2" s="50" t="s">
        <v>1</v>
      </c>
      <c r="O2" s="50" t="s">
        <v>2</v>
      </c>
      <c r="P2" s="50" t="s">
        <v>3</v>
      </c>
      <c r="Q2" s="188" t="s">
        <v>115</v>
      </c>
      <c r="R2" s="107" t="s">
        <v>129</v>
      </c>
    </row>
    <row r="3" spans="1:19" s="20" customFormat="1" ht="1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9" s="20" customFormat="1" ht="15" customHeight="1">
      <c r="A4" s="108" t="s">
        <v>36</v>
      </c>
      <c r="B4" s="92">
        <f>'Target 2021'!L9</f>
        <v>55416.666666666664</v>
      </c>
      <c r="C4" s="92">
        <f>'Target 2021'!M9</f>
        <v>61250.000000000007</v>
      </c>
      <c r="D4" s="92">
        <f>'Target 2021'!N9</f>
        <v>58333.333333333336</v>
      </c>
      <c r="E4" s="190">
        <f>SUM(B4:D4)</f>
        <v>175000</v>
      </c>
      <c r="F4" s="92">
        <f>'Target 2021'!I9</f>
        <v>50100</v>
      </c>
      <c r="G4" s="92">
        <f>'Target 2021'!J9</f>
        <v>55666.666666666664</v>
      </c>
      <c r="H4" s="92">
        <f>'Target 2021'!K9</f>
        <v>61233.333333333336</v>
      </c>
      <c r="I4" s="190">
        <f>SUM(F4:H4)</f>
        <v>167000</v>
      </c>
      <c r="J4" s="92">
        <f>'Target 2021'!F9</f>
        <v>51000</v>
      </c>
      <c r="K4" s="92">
        <f>'Target 2021'!G9-1000</f>
        <v>55666.666666666664</v>
      </c>
      <c r="L4" s="92">
        <f>'Target 2021'!H9+1000</f>
        <v>63333.333333333336</v>
      </c>
      <c r="M4" s="190">
        <f>SUM(J4:L4)</f>
        <v>170000</v>
      </c>
      <c r="N4" s="92">
        <f>'Target 2021'!C9-6500</f>
        <v>40600</v>
      </c>
      <c r="O4" s="92">
        <f>'Target 2021'!D9-7000</f>
        <v>45333.333333333336</v>
      </c>
      <c r="P4" s="92">
        <f>'Target 2021'!E9+6500+7000</f>
        <v>71066.666666666672</v>
      </c>
      <c r="Q4" s="190">
        <f>SUM(N4:P4)</f>
        <v>157000</v>
      </c>
      <c r="R4" s="109">
        <f>Q4+M4+I4+E4</f>
        <v>669000</v>
      </c>
    </row>
    <row r="5" spans="1:19" s="20" customFormat="1" ht="15" customHeight="1">
      <c r="A5" s="110" t="s">
        <v>35</v>
      </c>
      <c r="B5" s="88">
        <f>B4</f>
        <v>55416.666666666664</v>
      </c>
      <c r="C5" s="88">
        <f>C4+B5</f>
        <v>116666.66666666667</v>
      </c>
      <c r="D5" s="88">
        <f>D4+C5</f>
        <v>175000</v>
      </c>
      <c r="E5" s="191"/>
      <c r="F5" s="88">
        <f>F4</f>
        <v>50100</v>
      </c>
      <c r="G5" s="88">
        <f>G4+F5</f>
        <v>105766.66666666666</v>
      </c>
      <c r="H5" s="88">
        <f>H4+G5</f>
        <v>167000</v>
      </c>
      <c r="I5" s="191"/>
      <c r="J5" s="88">
        <f>J4</f>
        <v>51000</v>
      </c>
      <c r="K5" s="88">
        <f>K4+J5</f>
        <v>106666.66666666666</v>
      </c>
      <c r="L5" s="88">
        <f>L4+K5</f>
        <v>170000</v>
      </c>
      <c r="M5" s="191"/>
      <c r="N5" s="88">
        <f>N4</f>
        <v>40600</v>
      </c>
      <c r="O5" s="88">
        <f>O4+N5</f>
        <v>85933.333333333343</v>
      </c>
      <c r="P5" s="88">
        <f>P4+O5</f>
        <v>157000</v>
      </c>
      <c r="Q5" s="191"/>
      <c r="R5" s="434">
        <f>R6/R4</f>
        <v>1.0382733358744394</v>
      </c>
    </row>
    <row r="6" spans="1:19" s="20" customFormat="1" ht="15" customHeight="1">
      <c r="A6" s="112" t="s">
        <v>37</v>
      </c>
      <c r="B6" s="28">
        <f>SUMIF(X!A:A,$A$1,X!I:I)</f>
        <v>60656.167999999998</v>
      </c>
      <c r="C6" s="28">
        <f>SUMIF(XI!A:A,$A$1,XI!I:I)</f>
        <v>72131.046900000001</v>
      </c>
      <c r="D6" s="28">
        <f>SUMIF(XII!A:A,$A$1,XII!I:I)</f>
        <v>53325.697500000002</v>
      </c>
      <c r="E6" s="190">
        <f>SUM(B6:D6)</f>
        <v>186112.9124</v>
      </c>
      <c r="F6" s="28">
        <f>SUMIF(VII!A:A,$A$1,VII!I:I)</f>
        <v>53341.636700000003</v>
      </c>
      <c r="G6" s="28">
        <f>SUMIF(VIII!A:A,$A$1,VIII!I:I)</f>
        <v>65808.539099999995</v>
      </c>
      <c r="H6" s="28">
        <f>SUMIF(IX!A:A,$A$1,IX!I:I)</f>
        <v>50214.785199999998</v>
      </c>
      <c r="I6" s="190">
        <f>SUM(F6:H6)</f>
        <v>169364.96100000001</v>
      </c>
      <c r="J6" s="28">
        <f>SUMIF(IV!A:A,$A$1,IV!I:I)</f>
        <v>67325.867199999993</v>
      </c>
      <c r="K6" s="28">
        <f>SUMIF(V!A:A,$A$1,V!I:I)</f>
        <v>53389.667999999998</v>
      </c>
      <c r="L6" s="28">
        <f>SUMIF(VI!A:A,$A$1,VI!I:I)</f>
        <v>60601.933599999997</v>
      </c>
      <c r="M6" s="190">
        <f>SUM(J6:L6)</f>
        <v>181317.46879999997</v>
      </c>
      <c r="N6" s="86">
        <f>SUMIF(I!A:A,$A$1,I!I:I)</f>
        <v>32792.316400000003</v>
      </c>
      <c r="O6" s="28">
        <f>SUMIF(II!A:A,$A$1,II!I:I)</f>
        <v>49170.179700000001</v>
      </c>
      <c r="P6" s="28">
        <f>SUMIF(III!A:A,$A$1,III!I:I)</f>
        <v>75847.023400000005</v>
      </c>
      <c r="Q6" s="190">
        <f>SUM(N6:P6)</f>
        <v>157809.51949999999</v>
      </c>
      <c r="R6" s="109">
        <f>Q6+M6+I6+E6</f>
        <v>694604.86170000001</v>
      </c>
    </row>
    <row r="7" spans="1:19" s="20" customFormat="1" ht="15" customHeight="1">
      <c r="A7" s="110" t="s">
        <v>38</v>
      </c>
      <c r="B7" s="8">
        <f>B6</f>
        <v>60656.167999999998</v>
      </c>
      <c r="C7" s="8">
        <f>C6+B7</f>
        <v>132787.21489999999</v>
      </c>
      <c r="D7" s="8">
        <f>D6+C7</f>
        <v>186112.9124</v>
      </c>
      <c r="E7" s="191"/>
      <c r="F7" s="8">
        <f>F6</f>
        <v>53341.636700000003</v>
      </c>
      <c r="G7" s="8">
        <f>G6+F7</f>
        <v>119150.1758</v>
      </c>
      <c r="H7" s="8">
        <f>H6+G7</f>
        <v>169364.96100000001</v>
      </c>
      <c r="I7" s="191"/>
      <c r="J7" s="8">
        <f>J6</f>
        <v>67325.867199999993</v>
      </c>
      <c r="K7" s="8">
        <f>K6+J7</f>
        <v>120715.53519999998</v>
      </c>
      <c r="L7" s="8">
        <f>L6+K7</f>
        <v>181317.46879999997</v>
      </c>
      <c r="M7" s="191"/>
      <c r="N7" s="8">
        <f>N6</f>
        <v>32792.316400000003</v>
      </c>
      <c r="O7" s="8">
        <f>O6+N7</f>
        <v>81962.496100000004</v>
      </c>
      <c r="P7" s="8">
        <f>P6+O7</f>
        <v>157809.51949999999</v>
      </c>
      <c r="Q7" s="191"/>
      <c r="R7" s="111"/>
    </row>
    <row r="8" spans="1:19" s="20" customFormat="1" ht="15" customHeight="1">
      <c r="A8" s="114" t="s">
        <v>39</v>
      </c>
      <c r="B8" s="26">
        <f t="shared" ref="B8:D9" si="0">B6/B4</f>
        <v>1.094547392481203</v>
      </c>
      <c r="C8" s="26">
        <f t="shared" si="0"/>
        <v>1.1776497453061223</v>
      </c>
      <c r="D8" s="26">
        <f t="shared" si="0"/>
        <v>0.91415481428571432</v>
      </c>
      <c r="E8" s="192"/>
      <c r="F8" s="26">
        <f t="shared" ref="F8:H9" si="1">F6/F4</f>
        <v>1.0647033273453095</v>
      </c>
      <c r="G8" s="26">
        <f>G6/G4</f>
        <v>1.1821893251497007</v>
      </c>
      <c r="H8" s="26">
        <f t="shared" si="1"/>
        <v>0.82005637234621664</v>
      </c>
      <c r="I8" s="192"/>
      <c r="J8" s="26">
        <f t="shared" ref="J8:L9" si="2">J6/J4</f>
        <v>1.3201150431372548</v>
      </c>
      <c r="K8" s="26">
        <f t="shared" si="2"/>
        <v>0.95909583233532936</v>
      </c>
      <c r="L8" s="26">
        <f t="shared" si="2"/>
        <v>0.95687263578947357</v>
      </c>
      <c r="M8" s="192"/>
      <c r="N8" s="26">
        <f t="shared" ref="N8:P9" si="3">N6/N4</f>
        <v>0.80769252216748777</v>
      </c>
      <c r="O8" s="26">
        <f t="shared" si="3"/>
        <v>1.0846363169117648</v>
      </c>
      <c r="P8" s="26">
        <f t="shared" si="3"/>
        <v>1.0672658076923076</v>
      </c>
      <c r="Q8" s="192"/>
      <c r="R8" s="115"/>
    </row>
    <row r="9" spans="1:19" s="21" customFormat="1" ht="15" customHeight="1">
      <c r="A9" s="114" t="s">
        <v>40</v>
      </c>
      <c r="B9" s="26">
        <f t="shared" si="0"/>
        <v>1.094547392481203</v>
      </c>
      <c r="C9" s="26">
        <f t="shared" si="0"/>
        <v>1.1381761277142857</v>
      </c>
      <c r="D9" s="26">
        <f t="shared" si="0"/>
        <v>1.0635023565714286</v>
      </c>
      <c r="E9" s="192"/>
      <c r="F9" s="26">
        <f t="shared" si="1"/>
        <v>1.0647033273453095</v>
      </c>
      <c r="G9" s="26">
        <f t="shared" si="1"/>
        <v>1.1265380630318311</v>
      </c>
      <c r="H9" s="26">
        <f t="shared" si="1"/>
        <v>1.0141614431137724</v>
      </c>
      <c r="I9" s="192"/>
      <c r="J9" s="26">
        <f t="shared" si="2"/>
        <v>1.3201150431372548</v>
      </c>
      <c r="K9" s="26">
        <f t="shared" si="2"/>
        <v>1.1317081425</v>
      </c>
      <c r="L9" s="26">
        <f t="shared" si="2"/>
        <v>1.0665733458823528</v>
      </c>
      <c r="M9" s="192"/>
      <c r="N9" s="26">
        <f t="shared" si="3"/>
        <v>0.80769252216748777</v>
      </c>
      <c r="O9" s="26">
        <f t="shared" si="3"/>
        <v>0.95379165360744755</v>
      </c>
      <c r="P9" s="26">
        <f t="shared" si="3"/>
        <v>1.0051561751592357</v>
      </c>
      <c r="Q9" s="192"/>
      <c r="R9" s="116"/>
    </row>
    <row r="10" spans="1:19" s="43" customFormat="1" ht="15" customHeight="1">
      <c r="A10" s="110" t="s">
        <v>48</v>
      </c>
      <c r="B10" s="24">
        <f>B7-B5</f>
        <v>5239.5013333333336</v>
      </c>
      <c r="C10" s="24">
        <f>C7-C5</f>
        <v>16120.54823333332</v>
      </c>
      <c r="D10" s="24">
        <f>D7-D5</f>
        <v>11112.912400000001</v>
      </c>
      <c r="E10" s="191"/>
      <c r="F10" s="24">
        <f>F7-F5</f>
        <v>3241.6367000000027</v>
      </c>
      <c r="G10" s="24">
        <f>G7-G5</f>
        <v>13383.50913333334</v>
      </c>
      <c r="H10" s="24">
        <f>H7-H5</f>
        <v>2364.9610000000102</v>
      </c>
      <c r="I10" s="191"/>
      <c r="J10" s="24">
        <f>J7-J5</f>
        <v>16325.867199999993</v>
      </c>
      <c r="K10" s="24">
        <f>K7-K5</f>
        <v>14048.868533333327</v>
      </c>
      <c r="L10" s="24">
        <f>L7-L5</f>
        <v>11317.468799999973</v>
      </c>
      <c r="M10" s="191"/>
      <c r="N10" s="24">
        <f>N7-N5</f>
        <v>-7807.6835999999967</v>
      </c>
      <c r="O10" s="24">
        <f>O7-O5</f>
        <v>-3970.8372333333391</v>
      </c>
      <c r="P10" s="24">
        <f>P7-P5</f>
        <v>809.51949999999488</v>
      </c>
      <c r="Q10" s="191"/>
      <c r="R10" s="111"/>
    </row>
    <row r="11" spans="1:19" s="20" customFormat="1" ht="15" customHeight="1">
      <c r="A11" s="112" t="s">
        <v>217</v>
      </c>
      <c r="B11" s="28">
        <f>SUMIF(X!A:A,$A$1,X!G:G)</f>
        <v>180654.51560000001</v>
      </c>
      <c r="C11" s="28">
        <f>SUMIF(XI!A:A,$A$1,XI!G:G)</f>
        <v>205932.14060000001</v>
      </c>
      <c r="D11" s="28">
        <f>SUMIF(XII!A:A,$A$1,XII!G:G)</f>
        <v>154222.07810000001</v>
      </c>
      <c r="E11" s="190">
        <f>SUM(B11:D11)</f>
        <v>540808.73430000001</v>
      </c>
      <c r="F11" s="28">
        <f>SUMIF(VII!A:A,$A$1,VII!G:G)</f>
        <v>164323.29689999999</v>
      </c>
      <c r="G11" s="28">
        <f>SUMIF(VIII!A:A,$A$1,VIII!G:G)</f>
        <v>204883.85939999999</v>
      </c>
      <c r="H11" s="28">
        <f>SUMIF(IX!A:A,$A$1,IX!G:G)</f>
        <v>143866.6875</v>
      </c>
      <c r="I11" s="190">
        <f>SUM(F11:H11)</f>
        <v>513073.84379999997</v>
      </c>
      <c r="J11" s="28">
        <f>SUMIF(IV!A:A,$A$1,IV!G:G)</f>
        <v>193424.17189999999</v>
      </c>
      <c r="K11" s="28">
        <f>SUMIF(V!A:A,$A$1,V!G:G)</f>
        <v>156350.0625</v>
      </c>
      <c r="L11" s="28">
        <f>SUMIF(VI!A:A,$A$1,VI!G:G)</f>
        <v>189587.98439999999</v>
      </c>
      <c r="M11" s="190">
        <f>SUM(J11:L11)</f>
        <v>539362.21879999992</v>
      </c>
      <c r="N11" s="86">
        <f>SUMIF(I!A:A,$A$1,I!G:G)</f>
        <v>102962.11719999999</v>
      </c>
      <c r="O11" s="28">
        <f>SUMIF(II!A:A,$A$1,II!G:G)</f>
        <v>159385.7188</v>
      </c>
      <c r="P11" s="28">
        <f>SUMIF(III!A:A,$A$1,III!G:G)</f>
        <v>207223.0625</v>
      </c>
      <c r="Q11" s="190">
        <f>SUM(N11:P11)</f>
        <v>469570.89850000001</v>
      </c>
      <c r="R11" s="109">
        <f>Q11+M11+I11+E11</f>
        <v>2062815.6954000001</v>
      </c>
    </row>
    <row r="12" spans="1:19" customFormat="1">
      <c r="A12" s="110" t="s">
        <v>218</v>
      </c>
      <c r="B12" s="8">
        <f>B11</f>
        <v>180654.51560000001</v>
      </c>
      <c r="C12" s="8">
        <f>C11+B12</f>
        <v>386586.65620000003</v>
      </c>
      <c r="D12" s="8">
        <f>D11+C12</f>
        <v>540808.73430000001</v>
      </c>
      <c r="E12" s="191"/>
      <c r="F12" s="8">
        <f>F11</f>
        <v>164323.29689999999</v>
      </c>
      <c r="G12" s="8">
        <f>G11+F12</f>
        <v>369207.15629999997</v>
      </c>
      <c r="H12" s="8">
        <f>H11+G12</f>
        <v>513073.84379999997</v>
      </c>
      <c r="I12" s="191"/>
      <c r="J12" s="8">
        <f>J11</f>
        <v>193424.17189999999</v>
      </c>
      <c r="K12" s="8">
        <f>K11+J12</f>
        <v>349774.23439999996</v>
      </c>
      <c r="L12" s="8">
        <f>L11+K12</f>
        <v>539362.21879999992</v>
      </c>
      <c r="M12" s="191"/>
      <c r="N12" s="8">
        <f>N11</f>
        <v>102962.11719999999</v>
      </c>
      <c r="O12" s="8">
        <f>O11+N12</f>
        <v>262347.83600000001</v>
      </c>
      <c r="P12" s="8">
        <f>P11+O12</f>
        <v>469570.89850000001</v>
      </c>
      <c r="Q12" s="191"/>
      <c r="R12" s="111"/>
    </row>
    <row r="13" spans="1:19" s="20" customFormat="1" ht="15" customHeight="1">
      <c r="A13" s="118" t="s">
        <v>32</v>
      </c>
      <c r="B13" s="11">
        <f t="shared" ref="B13:D14" si="4">B6/B11</f>
        <v>0.33575782923856234</v>
      </c>
      <c r="C13" s="11">
        <f t="shared" si="4"/>
        <v>0.35026609585973484</v>
      </c>
      <c r="D13" s="11">
        <f t="shared" si="4"/>
        <v>0.34577213688835645</v>
      </c>
      <c r="E13" s="193"/>
      <c r="F13" s="11">
        <f t="shared" ref="F13:H14" si="5">F6/F11</f>
        <v>0.32461396348724308</v>
      </c>
      <c r="G13" s="11">
        <f t="shared" si="5"/>
        <v>0.32119923596089778</v>
      </c>
      <c r="H13" s="11">
        <f t="shared" si="5"/>
        <v>0.34903691794530267</v>
      </c>
      <c r="I13" s="193"/>
      <c r="J13" s="11">
        <f t="shared" ref="J13:L14" si="6">J6/J11</f>
        <v>0.34807370008960081</v>
      </c>
      <c r="K13" s="11">
        <f t="shared" si="6"/>
        <v>0.34147519448545149</v>
      </c>
      <c r="L13" s="11">
        <f t="shared" si="6"/>
        <v>0.31965070883468921</v>
      </c>
      <c r="M13" s="193"/>
      <c r="N13" s="11">
        <f t="shared" ref="N13:P14" si="7">N6/N11</f>
        <v>0.31848914233476938</v>
      </c>
      <c r="O13" s="11">
        <f t="shared" si="7"/>
        <v>0.30849802648692515</v>
      </c>
      <c r="P13" s="11">
        <f t="shared" si="7"/>
        <v>0.36601632311075416</v>
      </c>
      <c r="Q13" s="193"/>
      <c r="R13" s="119"/>
    </row>
    <row r="14" spans="1:19" s="20" customFormat="1" ht="15" customHeight="1">
      <c r="A14" s="118" t="s">
        <v>33</v>
      </c>
      <c r="B14" s="11">
        <f t="shared" si="4"/>
        <v>0.33575782923856234</v>
      </c>
      <c r="C14" s="11">
        <f t="shared" si="4"/>
        <v>0.34348628637430961</v>
      </c>
      <c r="D14" s="11">
        <f t="shared" si="4"/>
        <v>0.34413814089170858</v>
      </c>
      <c r="E14" s="193"/>
      <c r="F14" s="11">
        <f t="shared" si="5"/>
        <v>0.32461396348724308</v>
      </c>
      <c r="G14" s="11">
        <f t="shared" si="5"/>
        <v>0.32271903121830148</v>
      </c>
      <c r="H14" s="11">
        <f t="shared" si="5"/>
        <v>0.33009860675341646</v>
      </c>
      <c r="I14" s="193"/>
      <c r="J14" s="11">
        <f t="shared" si="6"/>
        <v>0.34807370008960081</v>
      </c>
      <c r="K14" s="11">
        <f t="shared" si="6"/>
        <v>0.34512414960202681</v>
      </c>
      <c r="L14" s="11">
        <f t="shared" si="6"/>
        <v>0.33617013294591558</v>
      </c>
      <c r="M14" s="193"/>
      <c r="N14" s="11">
        <f t="shared" si="7"/>
        <v>0.31848914233476938</v>
      </c>
      <c r="O14" s="11">
        <f t="shared" si="7"/>
        <v>0.31241918115154571</v>
      </c>
      <c r="P14" s="11">
        <f t="shared" si="7"/>
        <v>0.33607176254769544</v>
      </c>
      <c r="Q14" s="193"/>
      <c r="R14" s="119"/>
    </row>
    <row r="15" spans="1:19" s="67" customFormat="1" ht="15" customHeight="1">
      <c r="A15" s="96"/>
      <c r="B15" s="97"/>
      <c r="C15" s="97"/>
      <c r="D15" s="97"/>
      <c r="E15" s="194"/>
      <c r="F15" s="97"/>
      <c r="G15" s="97"/>
      <c r="H15" s="97"/>
      <c r="I15" s="194"/>
      <c r="J15" s="97"/>
      <c r="K15" s="97"/>
      <c r="L15" s="97"/>
      <c r="M15" s="194"/>
      <c r="N15" s="97"/>
      <c r="O15" s="97"/>
      <c r="P15" s="97"/>
      <c r="Q15" s="194"/>
      <c r="R15" s="120"/>
      <c r="S15" s="66"/>
    </row>
    <row r="16" spans="1:19" s="20" customFormat="1" ht="24.75" customHeight="1">
      <c r="A16" s="52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8" t="s">
        <v>26</v>
      </c>
      <c r="O16" s="179"/>
      <c r="P16" s="179"/>
      <c r="Q16" s="179"/>
      <c r="R16" s="213"/>
    </row>
    <row r="17" spans="1:19" s="20" customFormat="1" ht="15" customHeight="1">
      <c r="A17" s="69" t="s">
        <v>76</v>
      </c>
      <c r="B17" s="95">
        <v>4700</v>
      </c>
      <c r="C17" s="95">
        <v>4700</v>
      </c>
      <c r="D17" s="95">
        <v>4700</v>
      </c>
      <c r="E17" s="196"/>
      <c r="F17" s="95">
        <v>4700</v>
      </c>
      <c r="G17" s="95">
        <v>4700</v>
      </c>
      <c r="H17" s="95">
        <v>4700</v>
      </c>
      <c r="I17" s="196"/>
      <c r="J17" s="95">
        <v>4700</v>
      </c>
      <c r="K17" s="95">
        <v>4700</v>
      </c>
      <c r="L17" s="95">
        <v>4700</v>
      </c>
      <c r="M17" s="196"/>
      <c r="N17" s="95">
        <v>4300</v>
      </c>
      <c r="O17" s="95">
        <v>4700</v>
      </c>
      <c r="P17" s="95">
        <v>4700</v>
      </c>
      <c r="Q17" s="196"/>
      <c r="R17" s="124"/>
    </row>
    <row r="18" spans="1:19" s="20" customFormat="1" ht="15" customHeight="1">
      <c r="A18" s="19" t="s">
        <v>50</v>
      </c>
      <c r="B18" s="74">
        <f>B5</f>
        <v>55416.666666666664</v>
      </c>
      <c r="C18" s="74">
        <f>C5</f>
        <v>116666.66666666667</v>
      </c>
      <c r="D18" s="74">
        <f>D5</f>
        <v>175000</v>
      </c>
      <c r="E18" s="197"/>
      <c r="F18" s="74">
        <f>F5</f>
        <v>50100</v>
      </c>
      <c r="G18" s="74">
        <f>G5</f>
        <v>105766.66666666666</v>
      </c>
      <c r="H18" s="74">
        <f>H5</f>
        <v>167000</v>
      </c>
      <c r="I18" s="197"/>
      <c r="J18" s="74">
        <f>J5</f>
        <v>51000</v>
      </c>
      <c r="K18" s="74">
        <f>K5</f>
        <v>106666.66666666666</v>
      </c>
      <c r="L18" s="74">
        <f>L5</f>
        <v>170000</v>
      </c>
      <c r="M18" s="197"/>
      <c r="N18" s="74">
        <f>N5</f>
        <v>40600</v>
      </c>
      <c r="O18" s="74">
        <f>O5</f>
        <v>85933.333333333343</v>
      </c>
      <c r="P18" s="74">
        <f>P5</f>
        <v>157000</v>
      </c>
      <c r="Q18" s="197"/>
      <c r="R18" s="126"/>
    </row>
    <row r="19" spans="1:19" s="20" customFormat="1" ht="15" customHeight="1">
      <c r="A19" s="39" t="s">
        <v>51</v>
      </c>
      <c r="B19" s="77">
        <f>B7</f>
        <v>60656.167999999998</v>
      </c>
      <c r="C19" s="77">
        <f>C7</f>
        <v>132787.21489999999</v>
      </c>
      <c r="D19" s="77">
        <f>D7</f>
        <v>186112.9124</v>
      </c>
      <c r="E19" s="198"/>
      <c r="F19" s="77">
        <f>F7</f>
        <v>53341.636700000003</v>
      </c>
      <c r="G19" s="77">
        <f>G7</f>
        <v>119150.1758</v>
      </c>
      <c r="H19" s="77">
        <f>H7</f>
        <v>169364.96100000001</v>
      </c>
      <c r="I19" s="198"/>
      <c r="J19" s="77">
        <f>J7</f>
        <v>67325.867199999993</v>
      </c>
      <c r="K19" s="77">
        <f>K7</f>
        <v>120715.53519999998</v>
      </c>
      <c r="L19" s="77">
        <f>L7</f>
        <v>181317.46879999997</v>
      </c>
      <c r="M19" s="198"/>
      <c r="N19" s="77">
        <f>N7</f>
        <v>32792.316400000003</v>
      </c>
      <c r="O19" s="77">
        <f>O7</f>
        <v>81962.496100000004</v>
      </c>
      <c r="P19" s="77">
        <f>P7</f>
        <v>157809.51949999999</v>
      </c>
      <c r="Q19" s="198"/>
      <c r="R19" s="126"/>
    </row>
    <row r="20" spans="1:19" s="20" customFormat="1" ht="15" customHeight="1">
      <c r="A20" s="39" t="s">
        <v>52</v>
      </c>
      <c r="B20" s="128">
        <f>B19/B18</f>
        <v>1.094547392481203</v>
      </c>
      <c r="C20" s="128">
        <f>C19/C18</f>
        <v>1.1381761277142857</v>
      </c>
      <c r="D20" s="128">
        <f>D19/D18</f>
        <v>1.0635023565714286</v>
      </c>
      <c r="E20" s="199"/>
      <c r="F20" s="128">
        <f>F19/F18</f>
        <v>1.0647033273453095</v>
      </c>
      <c r="G20" s="128">
        <f>G19/G18</f>
        <v>1.1265380630318311</v>
      </c>
      <c r="H20" s="128">
        <f>H19/H18</f>
        <v>1.0141614431137724</v>
      </c>
      <c r="I20" s="199"/>
      <c r="J20" s="128">
        <f>J19/J18</f>
        <v>1.3201150431372548</v>
      </c>
      <c r="K20" s="128">
        <f>K19/K18</f>
        <v>1.1317081425</v>
      </c>
      <c r="L20" s="128">
        <f>L19/L18</f>
        <v>1.0665733458823528</v>
      </c>
      <c r="M20" s="199"/>
      <c r="N20" s="128">
        <f>N19/N18</f>
        <v>0.80769252216748777</v>
      </c>
      <c r="O20" s="128">
        <f>O19/O18</f>
        <v>0.95379165360744755</v>
      </c>
      <c r="P20" s="128">
        <f>P19/P18</f>
        <v>1.0051561751592357</v>
      </c>
      <c r="Q20" s="199"/>
      <c r="R20" s="126"/>
    </row>
    <row r="21" spans="1:19" s="20" customFormat="1" ht="15" customHeight="1">
      <c r="A21" s="38" t="s">
        <v>60</v>
      </c>
      <c r="B21" s="81">
        <f>B17*0.35</f>
        <v>1645</v>
      </c>
      <c r="C21" s="81">
        <f>C17*0.35</f>
        <v>1645</v>
      </c>
      <c r="D21" s="81">
        <f>D17*0.35</f>
        <v>1645</v>
      </c>
      <c r="E21" s="200"/>
      <c r="F21" s="81">
        <f>F17*0.35</f>
        <v>1645</v>
      </c>
      <c r="G21" s="81">
        <f>G17*0.35</f>
        <v>1645</v>
      </c>
      <c r="H21" s="81">
        <f>H17*0.35</f>
        <v>1645</v>
      </c>
      <c r="I21" s="200"/>
      <c r="J21" s="81">
        <f>J17*0.35</f>
        <v>1645</v>
      </c>
      <c r="K21" s="81">
        <f>K17*0.35</f>
        <v>1645</v>
      </c>
      <c r="L21" s="81">
        <f>L17*0.35</f>
        <v>1645</v>
      </c>
      <c r="M21" s="200"/>
      <c r="N21" s="81">
        <f>N17*0.35</f>
        <v>1505</v>
      </c>
      <c r="O21" s="81">
        <f>O17*0.35</f>
        <v>1645</v>
      </c>
      <c r="P21" s="81">
        <f>P17*0.35</f>
        <v>1645</v>
      </c>
      <c r="Q21" s="200"/>
      <c r="R21" s="129"/>
    </row>
    <row r="22" spans="1:19" s="20" customFormat="1" ht="15" customHeight="1">
      <c r="A22" s="39" t="s">
        <v>53</v>
      </c>
      <c r="B22" s="77">
        <f>IF(B20&lt;80%,0,IF(B20&lt;90%,0.5,IF(B20&lt;95%,0.75,1)))</f>
        <v>1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8"/>
      <c r="F22" s="77">
        <f>IF(F20&lt;80%,0,IF(F20&lt;90%,0.5,IF(F20&lt;95%,0.75,1)))</f>
        <v>1</v>
      </c>
      <c r="G22" s="77">
        <f>IF(G20&lt;80%,0,IF(G20&lt;90%,0.5,IF(G20&lt;95%,0.75,1)))</f>
        <v>1</v>
      </c>
      <c r="H22" s="77">
        <f>IF(H20&lt;80%,0,IF(H20&lt;90%,0.5,IF(H20&lt;95%,0.75,1)))</f>
        <v>1</v>
      </c>
      <c r="I22" s="198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1</v>
      </c>
      <c r="M22" s="198"/>
      <c r="N22" s="77">
        <f>IF(N20&lt;80%,0,IF(N20&lt;90%,0.5,IF(N20&lt;95%,0.75,1)))</f>
        <v>0.5</v>
      </c>
      <c r="O22" s="77">
        <f>IF(O20&lt;80%,0,IF(O20&lt;90%,0.5,IF(O20&lt;95%,0.75,1)))</f>
        <v>1</v>
      </c>
      <c r="P22" s="77">
        <f>IF(P20&lt;80%,0,IF(P20&lt;90%,0.5,IF(P20&lt;95%,0.75,1)))</f>
        <v>1</v>
      </c>
      <c r="Q22" s="198"/>
      <c r="R22" s="126"/>
    </row>
    <row r="23" spans="1:19" s="20" customFormat="1" ht="15" customHeight="1">
      <c r="A23" s="55" t="s">
        <v>54</v>
      </c>
      <c r="B23" s="76">
        <f>B22*B21</f>
        <v>1645</v>
      </c>
      <c r="C23" s="76">
        <f>C22*C21</f>
        <v>1645</v>
      </c>
      <c r="D23" s="76">
        <f>D22*D21</f>
        <v>1645</v>
      </c>
      <c r="E23" s="201"/>
      <c r="F23" s="76">
        <f>F22*F21</f>
        <v>1645</v>
      </c>
      <c r="G23" s="76">
        <f>G22*G21</f>
        <v>1645</v>
      </c>
      <c r="H23" s="76">
        <f>H22*H21</f>
        <v>1645</v>
      </c>
      <c r="I23" s="201"/>
      <c r="J23" s="76">
        <f>J22*J21</f>
        <v>1645</v>
      </c>
      <c r="K23" s="76">
        <f>K22*K21</f>
        <v>1645</v>
      </c>
      <c r="L23" s="76">
        <f>L22*L21</f>
        <v>1645</v>
      </c>
      <c r="M23" s="201"/>
      <c r="N23" s="76">
        <f>N22*N21</f>
        <v>752.5</v>
      </c>
      <c r="O23" s="76">
        <f>O22*O21</f>
        <v>1645</v>
      </c>
      <c r="P23" s="76">
        <f>P22*P21</f>
        <v>1645</v>
      </c>
      <c r="Q23" s="201"/>
      <c r="R23" s="130"/>
    </row>
    <row r="24" spans="1:19" s="20" customFormat="1" ht="15" customHeight="1">
      <c r="A24" s="19" t="s">
        <v>34</v>
      </c>
      <c r="B24" s="74">
        <v>1</v>
      </c>
      <c r="C24" s="74">
        <v>1</v>
      </c>
      <c r="D24" s="74">
        <v>1</v>
      </c>
      <c r="E24" s="197"/>
      <c r="F24" s="74">
        <v>1</v>
      </c>
      <c r="G24" s="74">
        <v>1</v>
      </c>
      <c r="H24" s="74">
        <v>1</v>
      </c>
      <c r="I24" s="197"/>
      <c r="J24" s="74">
        <v>1</v>
      </c>
      <c r="K24" s="74">
        <v>1</v>
      </c>
      <c r="L24" s="74">
        <v>1</v>
      </c>
      <c r="M24" s="197"/>
      <c r="N24" s="74">
        <v>1</v>
      </c>
      <c r="O24" s="74">
        <v>1</v>
      </c>
      <c r="P24" s="74">
        <v>1</v>
      </c>
      <c r="Q24" s="197"/>
      <c r="R24" s="131"/>
      <c r="S24" s="22"/>
    </row>
    <row r="25" spans="1:19" s="22" customFormat="1" ht="15" customHeight="1">
      <c r="A25" s="49" t="s">
        <v>59</v>
      </c>
      <c r="B25" s="132">
        <f>B17*0.05</f>
        <v>235</v>
      </c>
      <c r="C25" s="132">
        <f>C17*0.05</f>
        <v>235</v>
      </c>
      <c r="D25" s="132">
        <f>D17*0.05</f>
        <v>235</v>
      </c>
      <c r="E25" s="202"/>
      <c r="F25" s="132">
        <f>F17*0.05</f>
        <v>235</v>
      </c>
      <c r="G25" s="132">
        <f>G17*0.05</f>
        <v>235</v>
      </c>
      <c r="H25" s="132">
        <f>H17*0.05</f>
        <v>235</v>
      </c>
      <c r="I25" s="202"/>
      <c r="J25" s="132">
        <f>J17*0.05</f>
        <v>235</v>
      </c>
      <c r="K25" s="132">
        <f>K17*0.05</f>
        <v>235</v>
      </c>
      <c r="L25" s="132">
        <f>L17*0.05</f>
        <v>235</v>
      </c>
      <c r="M25" s="202"/>
      <c r="N25" s="132">
        <f>N17*0.05</f>
        <v>215</v>
      </c>
      <c r="O25" s="132">
        <f>O17*0.05</f>
        <v>235</v>
      </c>
      <c r="P25" s="132">
        <f>P17*0.05</f>
        <v>235</v>
      </c>
      <c r="Q25" s="202"/>
      <c r="R25" s="129"/>
    </row>
    <row r="26" spans="1:19" s="21" customFormat="1" ht="15" customHeight="1">
      <c r="A26" s="39" t="s">
        <v>62</v>
      </c>
      <c r="B26" s="77">
        <v>1</v>
      </c>
      <c r="C26" s="77">
        <v>1</v>
      </c>
      <c r="D26" s="77">
        <v>1</v>
      </c>
      <c r="E26" s="198"/>
      <c r="F26" s="77">
        <v>1</v>
      </c>
      <c r="G26" s="77">
        <v>1</v>
      </c>
      <c r="H26" s="77">
        <v>1</v>
      </c>
      <c r="I26" s="198"/>
      <c r="J26" s="77">
        <v>1</v>
      </c>
      <c r="K26" s="77">
        <v>1</v>
      </c>
      <c r="L26" s="77">
        <v>1</v>
      </c>
      <c r="M26" s="198"/>
      <c r="N26" s="77">
        <v>1</v>
      </c>
      <c r="O26" s="77">
        <v>1</v>
      </c>
      <c r="P26" s="77">
        <v>1</v>
      </c>
      <c r="Q26" s="198"/>
      <c r="R26" s="126"/>
      <c r="S26" s="36"/>
    </row>
    <row r="27" spans="1:19" s="21" customFormat="1" ht="15" customHeight="1">
      <c r="A27" s="62" t="s">
        <v>63</v>
      </c>
      <c r="B27" s="76">
        <f>B26*B25</f>
        <v>235</v>
      </c>
      <c r="C27" s="76">
        <f>C26*C25</f>
        <v>235</v>
      </c>
      <c r="D27" s="76">
        <f>D26*D25</f>
        <v>235</v>
      </c>
      <c r="E27" s="201"/>
      <c r="F27" s="76">
        <f>F26*F25</f>
        <v>235</v>
      </c>
      <c r="G27" s="76">
        <f>G26*G25</f>
        <v>235</v>
      </c>
      <c r="H27" s="76">
        <f>H26*H25</f>
        <v>235</v>
      </c>
      <c r="I27" s="201"/>
      <c r="J27" s="76">
        <f>J26*J25</f>
        <v>235</v>
      </c>
      <c r="K27" s="76">
        <f>K26*K25</f>
        <v>235</v>
      </c>
      <c r="L27" s="76">
        <f>L26*L25</f>
        <v>235</v>
      </c>
      <c r="M27" s="201"/>
      <c r="N27" s="76">
        <f>N26*N25</f>
        <v>215</v>
      </c>
      <c r="O27" s="76">
        <f>O26*O25</f>
        <v>235</v>
      </c>
      <c r="P27" s="76">
        <f>P26*P25</f>
        <v>235</v>
      </c>
      <c r="Q27" s="201"/>
      <c r="R27" s="133"/>
      <c r="S27" s="14"/>
    </row>
    <row r="28" spans="1:19" s="42" customFormat="1" ht="15" customHeight="1">
      <c r="A28" s="52" t="s">
        <v>67</v>
      </c>
      <c r="B28" s="79">
        <f>B23+B27</f>
        <v>1880</v>
      </c>
      <c r="C28" s="79">
        <f>C23+C27</f>
        <v>1880</v>
      </c>
      <c r="D28" s="79">
        <f>D23+D27</f>
        <v>1880</v>
      </c>
      <c r="E28" s="203"/>
      <c r="F28" s="79">
        <f>F23+F27</f>
        <v>1880</v>
      </c>
      <c r="G28" s="79">
        <f>G23+G27</f>
        <v>1880</v>
      </c>
      <c r="H28" s="79">
        <f>H23+H27</f>
        <v>1880</v>
      </c>
      <c r="I28" s="203"/>
      <c r="J28" s="79">
        <f>J23+J27</f>
        <v>1880</v>
      </c>
      <c r="K28" s="79">
        <f>K23+K27</f>
        <v>1880</v>
      </c>
      <c r="L28" s="79">
        <f>L23+L27</f>
        <v>1880</v>
      </c>
      <c r="M28" s="203"/>
      <c r="N28" s="79">
        <f>N23+N27</f>
        <v>967.5</v>
      </c>
      <c r="O28" s="79">
        <f>O23+O27</f>
        <v>1880</v>
      </c>
      <c r="P28" s="79">
        <f>P23+P27</f>
        <v>1880</v>
      </c>
      <c r="Q28" s="203"/>
      <c r="R28" s="134">
        <f>SUM(B28:Q28)</f>
        <v>21647.5</v>
      </c>
      <c r="S28" s="16"/>
    </row>
    <row r="29" spans="1:19" s="22" customFormat="1" ht="15" customHeight="1">
      <c r="A29" s="125" t="s">
        <v>125</v>
      </c>
      <c r="B29" s="760">
        <f>D5</f>
        <v>175000</v>
      </c>
      <c r="C29" s="761"/>
      <c r="D29" s="761"/>
      <c r="E29" s="762"/>
      <c r="F29" s="760">
        <f>H5</f>
        <v>167000</v>
      </c>
      <c r="G29" s="761"/>
      <c r="H29" s="761"/>
      <c r="I29" s="762"/>
      <c r="J29" s="760">
        <f>L5</f>
        <v>170000</v>
      </c>
      <c r="K29" s="761"/>
      <c r="L29" s="761"/>
      <c r="M29" s="762"/>
      <c r="N29" s="760">
        <f>P5</f>
        <v>157000</v>
      </c>
      <c r="O29" s="761"/>
      <c r="P29" s="761"/>
      <c r="Q29" s="762"/>
      <c r="R29" s="129"/>
    </row>
    <row r="30" spans="1:19" s="21" customFormat="1" ht="15" customHeight="1">
      <c r="A30" s="127" t="s">
        <v>69</v>
      </c>
      <c r="B30" s="763">
        <f>D7</f>
        <v>186112.9124</v>
      </c>
      <c r="C30" s="764"/>
      <c r="D30" s="764"/>
      <c r="E30" s="762"/>
      <c r="F30" s="763">
        <f>H7</f>
        <v>169364.96100000001</v>
      </c>
      <c r="G30" s="764"/>
      <c r="H30" s="764"/>
      <c r="I30" s="762"/>
      <c r="J30" s="763">
        <f>L7</f>
        <v>181317.46879999997</v>
      </c>
      <c r="K30" s="764"/>
      <c r="L30" s="764"/>
      <c r="M30" s="762"/>
      <c r="N30" s="763">
        <f>P7</f>
        <v>157809.51949999999</v>
      </c>
      <c r="O30" s="764"/>
      <c r="P30" s="764"/>
      <c r="Q30" s="762"/>
      <c r="R30" s="129"/>
      <c r="S30" s="36"/>
    </row>
    <row r="31" spans="1:19" s="20" customFormat="1" ht="15" customHeight="1">
      <c r="A31" s="127" t="s">
        <v>68</v>
      </c>
      <c r="B31" s="765">
        <f>B30/B29</f>
        <v>1.0635023565714286</v>
      </c>
      <c r="C31" s="766"/>
      <c r="D31" s="766"/>
      <c r="E31" s="762"/>
      <c r="F31" s="765">
        <f>F30/F29</f>
        <v>1.0141614431137724</v>
      </c>
      <c r="G31" s="766"/>
      <c r="H31" s="766"/>
      <c r="I31" s="762"/>
      <c r="J31" s="765">
        <f>J30/J29</f>
        <v>1.0665733458823528</v>
      </c>
      <c r="K31" s="766"/>
      <c r="L31" s="766"/>
      <c r="M31" s="762"/>
      <c r="N31" s="765">
        <f>N30/N29</f>
        <v>1.0051561751592357</v>
      </c>
      <c r="O31" s="766"/>
      <c r="P31" s="766"/>
      <c r="Q31" s="762"/>
      <c r="R31" s="135"/>
    </row>
    <row r="32" spans="1:19" s="20" customFormat="1" ht="15" customHeight="1">
      <c r="A32" s="127" t="s">
        <v>65</v>
      </c>
      <c r="B32" s="767">
        <f>D17</f>
        <v>4700</v>
      </c>
      <c r="C32" s="768"/>
      <c r="D32" s="768"/>
      <c r="E32" s="762"/>
      <c r="F32" s="767">
        <f>H17</f>
        <v>4700</v>
      </c>
      <c r="G32" s="768"/>
      <c r="H32" s="768"/>
      <c r="I32" s="762"/>
      <c r="J32" s="767">
        <f>L17</f>
        <v>4700</v>
      </c>
      <c r="K32" s="768"/>
      <c r="L32" s="768"/>
      <c r="M32" s="762"/>
      <c r="N32" s="767">
        <f>P17</f>
        <v>4700</v>
      </c>
      <c r="O32" s="768"/>
      <c r="P32" s="768"/>
      <c r="Q32" s="762"/>
      <c r="R32" s="129"/>
      <c r="S32" s="22"/>
    </row>
    <row r="33" spans="1:19" s="22" customFormat="1" ht="15" customHeight="1">
      <c r="A33" s="83" t="s">
        <v>66</v>
      </c>
      <c r="B33" s="769">
        <f>IF(B31&lt;100%,0,IF(B31&lt;105%,0.5,IF(B31&lt;110%,0.7,1)))</f>
        <v>0.7</v>
      </c>
      <c r="C33" s="770"/>
      <c r="D33" s="770"/>
      <c r="E33" s="759"/>
      <c r="F33" s="769">
        <f>IF(F31&lt;100%,0,IF(F31&lt;105%,0.5,IF(F31&lt;110%,0.7,1)))</f>
        <v>0.5</v>
      </c>
      <c r="G33" s="770"/>
      <c r="H33" s="770"/>
      <c r="I33" s="759"/>
      <c r="J33" s="769">
        <f>IF(J31&lt;100%,0,IF(J31&lt;105%,0.5,IF(J31&lt;110%,0.7,1)))</f>
        <v>0.7</v>
      </c>
      <c r="K33" s="770"/>
      <c r="L33" s="770"/>
      <c r="M33" s="759"/>
      <c r="N33" s="769">
        <f>IF(N31&lt;100%,0,IF(N31&lt;105%,0.5,IF(N31&lt;110%,0.7,1)))</f>
        <v>0.5</v>
      </c>
      <c r="O33" s="770"/>
      <c r="P33" s="770"/>
      <c r="Q33" s="759"/>
      <c r="R33" s="136"/>
    </row>
    <row r="34" spans="1:19" s="21" customFormat="1" ht="15" customHeight="1">
      <c r="A34" s="52" t="s">
        <v>64</v>
      </c>
      <c r="B34" s="771">
        <f>B33*B32</f>
        <v>3290</v>
      </c>
      <c r="C34" s="772"/>
      <c r="D34" s="772"/>
      <c r="E34" s="759"/>
      <c r="F34" s="771">
        <f>F33*F32</f>
        <v>2350</v>
      </c>
      <c r="G34" s="772"/>
      <c r="H34" s="772"/>
      <c r="I34" s="759"/>
      <c r="J34" s="771">
        <f>J33*J32</f>
        <v>3290</v>
      </c>
      <c r="K34" s="772"/>
      <c r="L34" s="772"/>
      <c r="M34" s="759"/>
      <c r="N34" s="771">
        <f>N33*N32</f>
        <v>2350</v>
      </c>
      <c r="O34" s="772"/>
      <c r="P34" s="772"/>
      <c r="Q34" s="759"/>
      <c r="R34" s="137">
        <f>SUM(B34:Q34)</f>
        <v>11280</v>
      </c>
      <c r="S34" s="36"/>
    </row>
    <row r="35" spans="1:19" s="20" customFormat="1" ht="15" customHeight="1" thickBot="1">
      <c r="A35" s="59"/>
      <c r="B35" s="60"/>
      <c r="C35" s="60"/>
      <c r="D35" s="60"/>
      <c r="E35" s="139"/>
      <c r="F35" s="60"/>
      <c r="G35" s="60"/>
      <c r="H35" s="60"/>
      <c r="I35" s="139"/>
      <c r="J35" s="60"/>
      <c r="K35" s="60"/>
      <c r="L35" s="60"/>
      <c r="M35" s="139"/>
      <c r="N35" s="60"/>
      <c r="O35" s="60"/>
      <c r="P35" s="60"/>
      <c r="Q35" s="139"/>
      <c r="R35" s="140"/>
      <c r="S35" s="36"/>
    </row>
    <row r="36" spans="1:19" ht="13.8" thickBot="1">
      <c r="A36" s="391" t="s">
        <v>96</v>
      </c>
      <c r="B36" s="402" t="s">
        <v>97</v>
      </c>
      <c r="C36" s="402" t="s">
        <v>11</v>
      </c>
      <c r="D36" s="402" t="s">
        <v>12</v>
      </c>
      <c r="E36" s="400" t="s">
        <v>98</v>
      </c>
      <c r="F36" s="402" t="s">
        <v>7</v>
      </c>
      <c r="G36" s="402" t="s">
        <v>8</v>
      </c>
      <c r="H36" s="402" t="s">
        <v>9</v>
      </c>
      <c r="I36" s="400" t="s">
        <v>98</v>
      </c>
      <c r="J36" s="402" t="s">
        <v>4</v>
      </c>
      <c r="K36" s="402" t="s">
        <v>5</v>
      </c>
      <c r="L36" s="402" t="s">
        <v>6</v>
      </c>
      <c r="M36" s="400" t="s">
        <v>98</v>
      </c>
      <c r="N36" s="402" t="s">
        <v>1</v>
      </c>
      <c r="O36" s="402" t="s">
        <v>2</v>
      </c>
      <c r="P36" s="402" t="s">
        <v>3</v>
      </c>
      <c r="Q36" s="400" t="s">
        <v>98</v>
      </c>
      <c r="R36" s="400" t="s">
        <v>98</v>
      </c>
    </row>
    <row r="37" spans="1:19" ht="13.8" thickTop="1">
      <c r="A37" s="392" t="s">
        <v>99</v>
      </c>
      <c r="B37" s="159">
        <v>2</v>
      </c>
      <c r="C37" s="159">
        <v>2</v>
      </c>
      <c r="D37" s="159">
        <v>1</v>
      </c>
      <c r="E37" s="401">
        <f>SUM(B37:D37)</f>
        <v>5</v>
      </c>
      <c r="F37" s="709">
        <v>2</v>
      </c>
      <c r="G37" s="709">
        <v>0</v>
      </c>
      <c r="H37" s="709">
        <v>0</v>
      </c>
      <c r="I37" s="401">
        <f>SUM(F37:H37)</f>
        <v>2</v>
      </c>
      <c r="J37" s="699">
        <v>1</v>
      </c>
      <c r="K37" s="699">
        <v>2</v>
      </c>
      <c r="L37" s="699">
        <v>1</v>
      </c>
      <c r="M37" s="401">
        <f>SUM(J37:L37)</f>
        <v>4</v>
      </c>
      <c r="N37" s="690">
        <v>0</v>
      </c>
      <c r="O37" s="690">
        <v>1</v>
      </c>
      <c r="P37" s="690">
        <v>1</v>
      </c>
      <c r="Q37" s="401">
        <f>SUM(N37:P37)</f>
        <v>2</v>
      </c>
      <c r="R37" s="401">
        <f>M37+I37+E37+Q37</f>
        <v>13</v>
      </c>
      <c r="S37" s="65"/>
    </row>
    <row r="38" spans="1:19">
      <c r="A38" s="393" t="s">
        <v>100</v>
      </c>
      <c r="B38" s="160">
        <v>140</v>
      </c>
      <c r="C38" s="160">
        <v>143</v>
      </c>
      <c r="D38" s="160">
        <v>145</v>
      </c>
      <c r="E38" s="207"/>
      <c r="F38" s="707">
        <v>136</v>
      </c>
      <c r="G38" s="707">
        <v>137</v>
      </c>
      <c r="H38" s="707">
        <v>137</v>
      </c>
      <c r="I38" s="207"/>
      <c r="J38" s="698">
        <v>126</v>
      </c>
      <c r="K38" s="698">
        <v>129</v>
      </c>
      <c r="L38" s="698">
        <v>131</v>
      </c>
      <c r="M38" s="207"/>
      <c r="N38" s="689">
        <v>123</v>
      </c>
      <c r="O38" s="689">
        <v>124</v>
      </c>
      <c r="P38" s="689">
        <v>125</v>
      </c>
      <c r="Q38" s="207"/>
      <c r="R38" s="207"/>
      <c r="S38" s="65"/>
    </row>
    <row r="39" spans="1:19">
      <c r="A39" s="393" t="s">
        <v>101</v>
      </c>
      <c r="B39" s="160">
        <v>35</v>
      </c>
      <c r="C39" s="160">
        <v>37</v>
      </c>
      <c r="D39" s="160">
        <v>35</v>
      </c>
      <c r="E39" s="207"/>
      <c r="F39" s="707">
        <v>37</v>
      </c>
      <c r="G39" s="707">
        <v>36</v>
      </c>
      <c r="H39" s="707">
        <v>36</v>
      </c>
      <c r="I39" s="207"/>
      <c r="J39" s="698">
        <v>32</v>
      </c>
      <c r="K39" s="698">
        <v>32</v>
      </c>
      <c r="L39" s="698">
        <v>36</v>
      </c>
      <c r="M39" s="207"/>
      <c r="N39" s="689">
        <v>32</v>
      </c>
      <c r="O39" s="689">
        <v>33</v>
      </c>
      <c r="P39" s="689">
        <v>31</v>
      </c>
      <c r="Q39" s="207"/>
      <c r="R39" s="207"/>
      <c r="S39" s="65"/>
    </row>
    <row r="40" spans="1:19">
      <c r="A40" s="393" t="s">
        <v>135</v>
      </c>
      <c r="B40" s="160">
        <v>36</v>
      </c>
      <c r="C40" s="160">
        <v>34</v>
      </c>
      <c r="D40" s="160">
        <v>35</v>
      </c>
      <c r="E40" s="207"/>
      <c r="F40" s="707">
        <v>36</v>
      </c>
      <c r="G40" s="707">
        <v>37</v>
      </c>
      <c r="H40" s="707">
        <v>37</v>
      </c>
      <c r="I40" s="207"/>
      <c r="J40" s="698">
        <v>38</v>
      </c>
      <c r="K40" s="698">
        <v>39</v>
      </c>
      <c r="L40" s="698">
        <v>38</v>
      </c>
      <c r="M40" s="207"/>
      <c r="N40" s="689">
        <v>40</v>
      </c>
      <c r="O40" s="689">
        <v>40</v>
      </c>
      <c r="P40" s="689">
        <v>39</v>
      </c>
      <c r="Q40" s="207"/>
      <c r="R40" s="207"/>
      <c r="S40" s="65"/>
    </row>
    <row r="41" spans="1:19">
      <c r="A41" s="393" t="s">
        <v>102</v>
      </c>
      <c r="B41" s="482">
        <f t="shared" ref="B41:D41" si="8">SUM(B38:B40)</f>
        <v>211</v>
      </c>
      <c r="C41" s="482">
        <f t="shared" si="8"/>
        <v>214</v>
      </c>
      <c r="D41" s="482">
        <f t="shared" si="8"/>
        <v>215</v>
      </c>
      <c r="E41" s="208"/>
      <c r="F41" s="718">
        <v>209</v>
      </c>
      <c r="G41" s="718">
        <v>210</v>
      </c>
      <c r="H41" s="718">
        <v>210</v>
      </c>
      <c r="I41" s="208"/>
      <c r="J41" s="706">
        <v>196</v>
      </c>
      <c r="K41" s="706">
        <v>200</v>
      </c>
      <c r="L41" s="706">
        <v>205</v>
      </c>
      <c r="M41" s="208"/>
      <c r="N41" s="697">
        <v>195</v>
      </c>
      <c r="O41" s="697">
        <v>197</v>
      </c>
      <c r="P41" s="697">
        <v>195</v>
      </c>
      <c r="Q41" s="208"/>
      <c r="R41" s="208"/>
      <c r="S41" s="65"/>
    </row>
    <row r="42" spans="1:19" ht="13.8" thickBot="1">
      <c r="A42" s="394" t="s">
        <v>103</v>
      </c>
      <c r="B42" s="161">
        <v>1</v>
      </c>
      <c r="C42" s="161">
        <v>5</v>
      </c>
      <c r="D42" s="161">
        <v>1</v>
      </c>
      <c r="E42" s="401">
        <f>SUM(B42:D42)</f>
        <v>7</v>
      </c>
      <c r="F42" s="711">
        <v>8</v>
      </c>
      <c r="G42" s="711">
        <v>3</v>
      </c>
      <c r="H42" s="711">
        <v>7</v>
      </c>
      <c r="I42" s="401">
        <f t="shared" ref="I42:I43" si="9">SUM(F42:H42)</f>
        <v>18</v>
      </c>
      <c r="J42" s="700">
        <v>6</v>
      </c>
      <c r="K42" s="700">
        <v>1</v>
      </c>
      <c r="L42" s="700">
        <v>2</v>
      </c>
      <c r="M42" s="401">
        <f t="shared" ref="M42:M43" si="10">SUM(J42:L42)</f>
        <v>9</v>
      </c>
      <c r="N42" s="691">
        <v>2</v>
      </c>
      <c r="O42" s="691">
        <v>8</v>
      </c>
      <c r="P42" s="691">
        <v>2</v>
      </c>
      <c r="Q42" s="401">
        <f t="shared" ref="Q42:Q43" si="11">SUM(N42:P42)</f>
        <v>12</v>
      </c>
      <c r="R42" s="401">
        <f>M42+I42+E42+Q42</f>
        <v>46</v>
      </c>
      <c r="S42" s="65"/>
    </row>
    <row r="43" spans="1:19" ht="13.8" thickTop="1">
      <c r="A43" s="395" t="s">
        <v>136</v>
      </c>
      <c r="B43" s="162">
        <v>43</v>
      </c>
      <c r="C43" s="162">
        <v>44</v>
      </c>
      <c r="D43" s="162">
        <v>34</v>
      </c>
      <c r="E43" s="401">
        <f>SUM(B43:D43)</f>
        <v>121</v>
      </c>
      <c r="F43" s="713">
        <v>37</v>
      </c>
      <c r="G43" s="713">
        <v>18</v>
      </c>
      <c r="H43" s="713">
        <v>47</v>
      </c>
      <c r="I43" s="401">
        <f t="shared" si="9"/>
        <v>102</v>
      </c>
      <c r="J43" s="701">
        <v>45</v>
      </c>
      <c r="K43" s="701">
        <v>31</v>
      </c>
      <c r="L43" s="701">
        <v>49</v>
      </c>
      <c r="M43" s="401">
        <f t="shared" si="10"/>
        <v>125</v>
      </c>
      <c r="N43" s="692">
        <v>35</v>
      </c>
      <c r="O43" s="692">
        <v>55</v>
      </c>
      <c r="P43" s="692">
        <v>43</v>
      </c>
      <c r="Q43" s="401">
        <f t="shared" si="11"/>
        <v>133</v>
      </c>
      <c r="R43" s="401">
        <f>M43+I43+E43+Q43</f>
        <v>481</v>
      </c>
      <c r="S43" s="65"/>
    </row>
    <row r="44" spans="1:19">
      <c r="A44" s="393" t="s">
        <v>104</v>
      </c>
      <c r="B44" s="160">
        <v>10</v>
      </c>
      <c r="C44" s="160">
        <v>8</v>
      </c>
      <c r="D44" s="160">
        <v>19</v>
      </c>
      <c r="E44" s="209"/>
      <c r="F44" s="707">
        <v>9</v>
      </c>
      <c r="G44" s="707">
        <v>3</v>
      </c>
      <c r="H44" s="707">
        <v>12</v>
      </c>
      <c r="I44" s="209"/>
      <c r="J44" s="698">
        <v>12</v>
      </c>
      <c r="K44" s="698">
        <v>9</v>
      </c>
      <c r="L44" s="698">
        <v>15</v>
      </c>
      <c r="M44" s="209"/>
      <c r="N44" s="689">
        <v>15</v>
      </c>
      <c r="O44" s="689">
        <v>13</v>
      </c>
      <c r="P44" s="689">
        <v>12</v>
      </c>
      <c r="Q44" s="209"/>
      <c r="R44" s="209"/>
      <c r="S44" s="65"/>
    </row>
    <row r="45" spans="1:19">
      <c r="A45" s="393" t="s">
        <v>105</v>
      </c>
      <c r="B45" s="160">
        <v>21</v>
      </c>
      <c r="C45" s="160">
        <v>28</v>
      </c>
      <c r="D45" s="160">
        <v>13</v>
      </c>
      <c r="E45" s="401">
        <f>SUM(B45:D45)</f>
        <v>62</v>
      </c>
      <c r="F45" s="707">
        <v>20</v>
      </c>
      <c r="G45" s="707">
        <v>11</v>
      </c>
      <c r="H45" s="707">
        <v>24</v>
      </c>
      <c r="I45" s="401">
        <f t="shared" ref="I45:I49" si="12">SUM(F45:H45)</f>
        <v>55</v>
      </c>
      <c r="J45" s="698">
        <v>26</v>
      </c>
      <c r="K45" s="698">
        <v>17</v>
      </c>
      <c r="L45" s="698">
        <v>24</v>
      </c>
      <c r="M45" s="401">
        <f t="shared" ref="M45:M49" si="13">SUM(J45:L45)</f>
        <v>67</v>
      </c>
      <c r="N45" s="689">
        <v>15</v>
      </c>
      <c r="O45" s="689">
        <v>36</v>
      </c>
      <c r="P45" s="689">
        <v>22</v>
      </c>
      <c r="Q45" s="401">
        <f t="shared" ref="Q45:Q49" si="14">SUM(N45:P45)</f>
        <v>73</v>
      </c>
      <c r="R45" s="401">
        <f>M45+I45+E45+Q45</f>
        <v>257</v>
      </c>
      <c r="S45" s="65"/>
    </row>
    <row r="46" spans="1:19" ht="13.8" thickBot="1">
      <c r="A46" s="396" t="s">
        <v>106</v>
      </c>
      <c r="B46" s="163">
        <v>21</v>
      </c>
      <c r="C46" s="163">
        <v>25</v>
      </c>
      <c r="D46" s="163">
        <v>11</v>
      </c>
      <c r="E46" s="401">
        <f>SUM(B46:D46)</f>
        <v>57</v>
      </c>
      <c r="F46" s="714">
        <v>21</v>
      </c>
      <c r="G46" s="714">
        <v>10</v>
      </c>
      <c r="H46" s="714">
        <v>16</v>
      </c>
      <c r="I46" s="401">
        <f t="shared" si="12"/>
        <v>47</v>
      </c>
      <c r="J46" s="702">
        <v>19</v>
      </c>
      <c r="K46" s="702">
        <v>11</v>
      </c>
      <c r="L46" s="702">
        <v>26</v>
      </c>
      <c r="M46" s="401">
        <f t="shared" si="13"/>
        <v>56</v>
      </c>
      <c r="N46" s="693">
        <v>15</v>
      </c>
      <c r="O46" s="693">
        <v>20</v>
      </c>
      <c r="P46" s="693">
        <v>25</v>
      </c>
      <c r="Q46" s="401">
        <f t="shared" si="14"/>
        <v>60</v>
      </c>
      <c r="R46" s="401">
        <f>M46+I46+E46+Q46</f>
        <v>220</v>
      </c>
      <c r="S46" s="65"/>
    </row>
    <row r="47" spans="1:19" ht="13.8" thickTop="1">
      <c r="A47" s="392" t="s">
        <v>193</v>
      </c>
      <c r="B47" s="159">
        <v>0</v>
      </c>
      <c r="C47" s="159">
        <v>4</v>
      </c>
      <c r="D47" s="159">
        <v>1</v>
      </c>
      <c r="E47" s="401">
        <f>SUM(B47:D47)</f>
        <v>5</v>
      </c>
      <c r="F47" s="709">
        <v>5</v>
      </c>
      <c r="G47" s="709">
        <v>4</v>
      </c>
      <c r="H47" s="709">
        <v>0</v>
      </c>
      <c r="I47" s="401">
        <f t="shared" si="12"/>
        <v>9</v>
      </c>
      <c r="J47" s="699">
        <v>2</v>
      </c>
      <c r="K47" s="699">
        <v>3</v>
      </c>
      <c r="L47" s="699">
        <v>4</v>
      </c>
      <c r="M47" s="401">
        <f t="shared" si="13"/>
        <v>9</v>
      </c>
      <c r="N47" s="690">
        <v>2</v>
      </c>
      <c r="O47" s="690">
        <v>2</v>
      </c>
      <c r="P47" s="690">
        <v>1</v>
      </c>
      <c r="Q47" s="401">
        <f t="shared" si="14"/>
        <v>5</v>
      </c>
      <c r="R47" s="401">
        <f>M47+I47+E47+Q47</f>
        <v>28</v>
      </c>
      <c r="S47" s="65"/>
    </row>
    <row r="48" spans="1:19" ht="13.8" thickBot="1">
      <c r="A48" s="394" t="s">
        <v>107</v>
      </c>
      <c r="B48" s="161">
        <v>0</v>
      </c>
      <c r="C48" s="161">
        <v>0</v>
      </c>
      <c r="D48" s="161">
        <v>0</v>
      </c>
      <c r="E48" s="401">
        <f>SUM(B48:D48)</f>
        <v>0</v>
      </c>
      <c r="F48" s="711">
        <v>0</v>
      </c>
      <c r="G48" s="711">
        <v>0</v>
      </c>
      <c r="H48" s="711">
        <v>0</v>
      </c>
      <c r="I48" s="401">
        <f t="shared" si="12"/>
        <v>0</v>
      </c>
      <c r="J48" s="700">
        <v>0</v>
      </c>
      <c r="K48" s="700">
        <v>0</v>
      </c>
      <c r="L48" s="700">
        <v>1</v>
      </c>
      <c r="M48" s="401">
        <f t="shared" si="13"/>
        <v>1</v>
      </c>
      <c r="N48" s="691">
        <v>0</v>
      </c>
      <c r="O48" s="691">
        <v>0</v>
      </c>
      <c r="P48" s="691">
        <v>1</v>
      </c>
      <c r="Q48" s="401">
        <f t="shared" si="14"/>
        <v>1</v>
      </c>
      <c r="R48" s="401">
        <f>M48+I48+E48+Q48</f>
        <v>2</v>
      </c>
      <c r="S48" s="65"/>
    </row>
    <row r="49" spans="1:19" ht="14.4" thickTop="1" thickBot="1">
      <c r="A49" s="394" t="s">
        <v>108</v>
      </c>
      <c r="B49" s="161">
        <v>0</v>
      </c>
      <c r="C49" s="161">
        <v>1</v>
      </c>
      <c r="D49" s="161">
        <v>1</v>
      </c>
      <c r="E49" s="401">
        <f>SUM(B49:D49)</f>
        <v>2</v>
      </c>
      <c r="F49" s="711">
        <v>0</v>
      </c>
      <c r="G49" s="711">
        <v>3</v>
      </c>
      <c r="H49" s="711">
        <v>1</v>
      </c>
      <c r="I49" s="401">
        <f t="shared" si="12"/>
        <v>4</v>
      </c>
      <c r="J49" s="700">
        <v>0</v>
      </c>
      <c r="K49" s="700">
        <v>4</v>
      </c>
      <c r="L49" s="700">
        <v>3</v>
      </c>
      <c r="M49" s="401">
        <f t="shared" si="13"/>
        <v>7</v>
      </c>
      <c r="N49" s="691">
        <v>1</v>
      </c>
      <c r="O49" s="691">
        <v>0</v>
      </c>
      <c r="P49" s="691">
        <v>0</v>
      </c>
      <c r="Q49" s="401">
        <f t="shared" si="14"/>
        <v>1</v>
      </c>
      <c r="R49" s="401">
        <f>M49+I49+E49+Q49</f>
        <v>14</v>
      </c>
      <c r="S49" s="65"/>
    </row>
    <row r="50" spans="1:19" ht="13.8" thickTop="1">
      <c r="A50" s="397" t="s">
        <v>109</v>
      </c>
      <c r="B50" s="166">
        <v>30</v>
      </c>
      <c r="C50" s="166">
        <v>30</v>
      </c>
      <c r="D50" s="166">
        <v>35</v>
      </c>
      <c r="E50" s="158"/>
      <c r="F50" s="715">
        <v>33</v>
      </c>
      <c r="G50" s="715">
        <v>27</v>
      </c>
      <c r="H50" s="710">
        <v>31</v>
      </c>
      <c r="I50" s="158"/>
      <c r="J50" s="703">
        <v>40</v>
      </c>
      <c r="K50" s="703">
        <v>41</v>
      </c>
      <c r="L50" s="703">
        <v>39</v>
      </c>
      <c r="M50" s="158"/>
      <c r="N50" s="694">
        <v>39</v>
      </c>
      <c r="O50" s="694">
        <v>41</v>
      </c>
      <c r="P50" s="694">
        <v>42</v>
      </c>
      <c r="Q50" s="158"/>
      <c r="R50" s="158"/>
      <c r="S50" s="65"/>
    </row>
    <row r="51" spans="1:19">
      <c r="A51" s="398" t="s">
        <v>110</v>
      </c>
      <c r="B51" s="167">
        <v>6</v>
      </c>
      <c r="C51" s="167">
        <v>12</v>
      </c>
      <c r="D51" s="167">
        <v>9</v>
      </c>
      <c r="E51" s="401">
        <f>SUM(B51:D51)</f>
        <v>27</v>
      </c>
      <c r="F51" s="716">
        <v>12</v>
      </c>
      <c r="G51" s="716">
        <v>5</v>
      </c>
      <c r="H51" s="708">
        <v>11</v>
      </c>
      <c r="I51" s="401">
        <f t="shared" ref="I51:I53" si="15">SUM(F51:H51)</f>
        <v>28</v>
      </c>
      <c r="J51" s="704">
        <v>14</v>
      </c>
      <c r="K51" s="704">
        <v>10</v>
      </c>
      <c r="L51" s="704">
        <v>17</v>
      </c>
      <c r="M51" s="401">
        <f t="shared" ref="M51:M53" si="16">SUM(J51:L51)</f>
        <v>41</v>
      </c>
      <c r="N51" s="695">
        <v>14</v>
      </c>
      <c r="O51" s="695">
        <v>19</v>
      </c>
      <c r="P51" s="695">
        <v>19</v>
      </c>
      <c r="Q51" s="401">
        <f t="shared" ref="Q51:Q53" si="17">SUM(N51:P51)</f>
        <v>52</v>
      </c>
      <c r="R51" s="401">
        <f>M51+I51+E51+Q51</f>
        <v>148</v>
      </c>
      <c r="S51" s="65"/>
    </row>
    <row r="52" spans="1:19">
      <c r="A52" s="398" t="s">
        <v>111</v>
      </c>
      <c r="B52" s="167">
        <v>4</v>
      </c>
      <c r="C52" s="463">
        <v>6</v>
      </c>
      <c r="D52" s="465">
        <v>4</v>
      </c>
      <c r="E52" s="401">
        <f>SUM(B52:D52)</f>
        <v>14</v>
      </c>
      <c r="F52" s="716">
        <v>4</v>
      </c>
      <c r="G52" s="716">
        <v>1</v>
      </c>
      <c r="H52" s="708">
        <v>5</v>
      </c>
      <c r="I52" s="401">
        <f t="shared" si="15"/>
        <v>10</v>
      </c>
      <c r="J52" s="704">
        <v>9</v>
      </c>
      <c r="K52" s="704">
        <v>7</v>
      </c>
      <c r="L52" s="704">
        <v>9</v>
      </c>
      <c r="M52" s="401">
        <f t="shared" si="16"/>
        <v>25</v>
      </c>
      <c r="N52" s="695">
        <v>8</v>
      </c>
      <c r="O52" s="695">
        <v>11</v>
      </c>
      <c r="P52" s="695">
        <v>10</v>
      </c>
      <c r="Q52" s="401">
        <f t="shared" si="17"/>
        <v>29</v>
      </c>
      <c r="R52" s="401">
        <f>M52+I52+E52+Q52</f>
        <v>78</v>
      </c>
      <c r="S52" s="65"/>
    </row>
    <row r="53" spans="1:19">
      <c r="A53" s="398" t="s">
        <v>112</v>
      </c>
      <c r="B53" s="167">
        <v>4</v>
      </c>
      <c r="C53" s="463">
        <v>5</v>
      </c>
      <c r="D53" s="465">
        <v>0</v>
      </c>
      <c r="E53" s="401">
        <f>SUM(B53:D53)</f>
        <v>9</v>
      </c>
      <c r="F53" s="716">
        <v>14</v>
      </c>
      <c r="G53" s="716">
        <v>5</v>
      </c>
      <c r="H53" s="708">
        <v>7</v>
      </c>
      <c r="I53" s="401">
        <f t="shared" si="15"/>
        <v>26</v>
      </c>
      <c r="J53" s="704">
        <v>7</v>
      </c>
      <c r="K53" s="704">
        <v>1</v>
      </c>
      <c r="L53" s="704">
        <v>12</v>
      </c>
      <c r="M53" s="401">
        <f t="shared" si="16"/>
        <v>20</v>
      </c>
      <c r="N53" s="695">
        <v>16</v>
      </c>
      <c r="O53" s="695">
        <v>6</v>
      </c>
      <c r="P53" s="695">
        <v>8</v>
      </c>
      <c r="Q53" s="401">
        <f t="shared" si="17"/>
        <v>30</v>
      </c>
      <c r="R53" s="401">
        <f>M53+I53+E53+Q53</f>
        <v>85</v>
      </c>
      <c r="S53" s="65"/>
    </row>
    <row r="54" spans="1:19" ht="13.8" thickBot="1">
      <c r="A54" s="399" t="s">
        <v>113</v>
      </c>
      <c r="B54" s="414">
        <v>1</v>
      </c>
      <c r="C54" s="464">
        <v>1</v>
      </c>
      <c r="D54" s="466">
        <v>1</v>
      </c>
      <c r="E54" s="210"/>
      <c r="F54" s="717">
        <v>1</v>
      </c>
      <c r="G54" s="717">
        <v>1</v>
      </c>
      <c r="H54" s="712">
        <v>1</v>
      </c>
      <c r="I54" s="210"/>
      <c r="J54" s="705">
        <v>1</v>
      </c>
      <c r="K54" s="705">
        <v>1</v>
      </c>
      <c r="L54" s="705">
        <v>1</v>
      </c>
      <c r="M54" s="210"/>
      <c r="N54" s="696">
        <v>0</v>
      </c>
      <c r="O54" s="696">
        <v>0</v>
      </c>
      <c r="P54" s="696">
        <v>0</v>
      </c>
      <c r="Q54" s="210"/>
      <c r="R54" s="210"/>
      <c r="S54" s="65"/>
    </row>
    <row r="55" spans="1:19" ht="13.8" thickTop="1">
      <c r="A55"/>
      <c r="B55" s="65"/>
      <c r="C55" s="65"/>
      <c r="D55" s="164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</row>
  </sheetData>
  <mergeCells count="28">
    <mergeCell ref="N1:Q1"/>
    <mergeCell ref="J29:M29"/>
    <mergeCell ref="B1:E1"/>
    <mergeCell ref="N29:Q29"/>
    <mergeCell ref="N30:Q30"/>
    <mergeCell ref="F1:I1"/>
    <mergeCell ref="F30:I30"/>
    <mergeCell ref="B30:E30"/>
    <mergeCell ref="J1:M1"/>
    <mergeCell ref="B29:E29"/>
    <mergeCell ref="F29:I29"/>
    <mergeCell ref="J30:M30"/>
    <mergeCell ref="N34:Q34"/>
    <mergeCell ref="N32:Q32"/>
    <mergeCell ref="B32:E32"/>
    <mergeCell ref="N31:Q31"/>
    <mergeCell ref="F33:I33"/>
    <mergeCell ref="N33:Q33"/>
    <mergeCell ref="B33:E33"/>
    <mergeCell ref="J31:M31"/>
    <mergeCell ref="B34:E34"/>
    <mergeCell ref="J32:M32"/>
    <mergeCell ref="F31:I31"/>
    <mergeCell ref="B31:E31"/>
    <mergeCell ref="F34:I34"/>
    <mergeCell ref="J33:M33"/>
    <mergeCell ref="J34:M34"/>
    <mergeCell ref="F32:I32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topLeftCell="M4" zoomScale="85" zoomScaleNormal="85" workbookViewId="0">
      <selection activeCell="P2" sqref="P2:R27"/>
    </sheetView>
  </sheetViews>
  <sheetFormatPr defaultRowHeight="13.2"/>
  <cols>
    <col min="1" max="1" width="45.6640625" style="16" customWidth="1"/>
    <col min="2" max="2" width="11.6640625" style="12" customWidth="1"/>
    <col min="3" max="3" width="13.109375" style="12" customWidth="1"/>
    <col min="4" max="15" width="12.6640625" style="12" customWidth="1"/>
    <col min="16" max="18" width="13.5546875" style="12" customWidth="1"/>
    <col min="19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31" t="s">
        <v>200</v>
      </c>
      <c r="B1" s="773" t="s">
        <v>223</v>
      </c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775"/>
    </row>
    <row r="2" spans="1:33" ht="15.75" customHeight="1" thickBot="1">
      <c r="A2" s="238" t="s">
        <v>0</v>
      </c>
      <c r="B2" s="239" t="s">
        <v>1</v>
      </c>
      <c r="C2" s="239" t="s">
        <v>2</v>
      </c>
      <c r="D2" s="239" t="s">
        <v>3</v>
      </c>
      <c r="E2" s="239" t="s">
        <v>137</v>
      </c>
      <c r="F2" s="239" t="s">
        <v>4</v>
      </c>
      <c r="G2" s="239" t="s">
        <v>5</v>
      </c>
      <c r="H2" s="239" t="s">
        <v>6</v>
      </c>
      <c r="I2" s="239"/>
      <c r="J2" s="239" t="s">
        <v>7</v>
      </c>
      <c r="K2" s="239" t="s">
        <v>8</v>
      </c>
      <c r="L2" s="239" t="s">
        <v>9</v>
      </c>
      <c r="M2" s="239"/>
      <c r="N2" s="239" t="s">
        <v>10</v>
      </c>
      <c r="O2" s="239" t="s">
        <v>11</v>
      </c>
      <c r="P2" s="239" t="s">
        <v>12</v>
      </c>
      <c r="Q2" s="239"/>
      <c r="R2" s="239" t="s">
        <v>13</v>
      </c>
    </row>
    <row r="3" spans="1:33" s="226" customFormat="1">
      <c r="A3" s="296" t="s">
        <v>219</v>
      </c>
      <c r="B3" s="547">
        <v>322882.93719999999</v>
      </c>
      <c r="C3" s="547">
        <v>292994.15209999995</v>
      </c>
      <c r="D3" s="547">
        <v>273950.2145</v>
      </c>
      <c r="E3" s="548">
        <v>889827.30379999988</v>
      </c>
      <c r="F3" s="547">
        <v>241835.05220000001</v>
      </c>
      <c r="G3" s="547">
        <v>185291.82400000002</v>
      </c>
      <c r="H3" s="547">
        <v>232994.43259999997</v>
      </c>
      <c r="I3" s="547">
        <v>660121.3088</v>
      </c>
      <c r="J3" s="547">
        <v>278072.12209999998</v>
      </c>
      <c r="K3" s="547">
        <v>214511.3676</v>
      </c>
      <c r="L3" s="547">
        <v>245209.71260000003</v>
      </c>
      <c r="M3" s="547">
        <v>737793.2023</v>
      </c>
      <c r="N3" s="547">
        <v>323357.44770000002</v>
      </c>
      <c r="O3" s="547">
        <v>229441.7506</v>
      </c>
      <c r="P3" s="547">
        <v>272547.16109999997</v>
      </c>
      <c r="Q3" s="547">
        <v>825346.35939999996</v>
      </c>
      <c r="R3" s="549">
        <v>3113088.1743000001</v>
      </c>
      <c r="T3" s="750">
        <f>R8*1.1</f>
        <v>3580052.0611900007</v>
      </c>
    </row>
    <row r="4" spans="1:33" s="226" customFormat="1">
      <c r="A4" s="295" t="s">
        <v>221</v>
      </c>
      <c r="B4" s="227">
        <f>B3</f>
        <v>322882.93719999999</v>
      </c>
      <c r="C4" s="228">
        <f>C3+B4</f>
        <v>615877.08929999988</v>
      </c>
      <c r="D4" s="228">
        <f>D3+C4</f>
        <v>889827.30379999988</v>
      </c>
      <c r="E4" s="229"/>
      <c r="F4" s="227">
        <f>F3+D4</f>
        <v>1131662.3559999999</v>
      </c>
      <c r="G4" s="227">
        <f>G3+F4</f>
        <v>1316954.18</v>
      </c>
      <c r="H4" s="227">
        <f>H3+G4</f>
        <v>1549948.6125999999</v>
      </c>
      <c r="I4" s="228"/>
      <c r="J4" s="227">
        <f>J3+H4</f>
        <v>1828020.7346999999</v>
      </c>
      <c r="K4" s="227">
        <f>K3+J4</f>
        <v>2042532.1022999999</v>
      </c>
      <c r="L4" s="227">
        <f>L3+K4</f>
        <v>2287741.8149000001</v>
      </c>
      <c r="M4" s="227"/>
      <c r="N4" s="227">
        <f>N3+L4</f>
        <v>2611099.2626</v>
      </c>
      <c r="O4" s="227">
        <f>O3+N4</f>
        <v>2840541.0131999999</v>
      </c>
      <c r="P4" s="227">
        <f>P3+O4</f>
        <v>3113088.1743000001</v>
      </c>
      <c r="Q4" s="227"/>
      <c r="R4" s="241"/>
      <c r="S4" s="236" t="s">
        <v>141</v>
      </c>
      <c r="T4" s="230" t="s">
        <v>142</v>
      </c>
      <c r="U4" s="231" t="s">
        <v>134</v>
      </c>
    </row>
    <row r="5" spans="1:33" s="219" customFormat="1" ht="13.8" thickBot="1">
      <c r="A5" s="242" t="s">
        <v>224</v>
      </c>
      <c r="B5" s="243">
        <f>B9/B4-1</f>
        <v>-0.2603729237879342</v>
      </c>
      <c r="C5" s="243">
        <f>C9/C4-1</f>
        <v>-0.22895677733404496</v>
      </c>
      <c r="D5" s="243">
        <f>D9/D4-1</f>
        <v>-0.11752634118260896</v>
      </c>
      <c r="E5" s="243">
        <f>E8/E3-1</f>
        <v>-0.11752634118260896</v>
      </c>
      <c r="F5" s="243">
        <f t="shared" ref="F5:P5" si="0">F9/F4-1</f>
        <v>-6.7765740543904607E-2</v>
      </c>
      <c r="G5" s="243">
        <f t="shared" si="0"/>
        <v>-2.5453529446254342E-3</v>
      </c>
      <c r="H5" s="243">
        <f t="shared" si="0"/>
        <v>2.3793866132204355E-2</v>
      </c>
      <c r="I5" s="243">
        <f>I8/I3-1</f>
        <v>0.21429003308065897</v>
      </c>
      <c r="J5" s="243">
        <f t="shared" si="0"/>
        <v>1.8172514824046582E-2</v>
      </c>
      <c r="K5" s="243">
        <f t="shared" si="0"/>
        <v>3.448997502691542E-2</v>
      </c>
      <c r="L5" s="243">
        <f t="shared" si="0"/>
        <v>3.3080617404944501E-2</v>
      </c>
      <c r="M5" s="243">
        <f>M8/M3-1</f>
        <v>5.2590132003172307E-2</v>
      </c>
      <c r="N5" s="243">
        <f t="shared" si="0"/>
        <v>4.2142124803954406E-3</v>
      </c>
      <c r="O5" s="243">
        <f t="shared" si="0"/>
        <v>2.3324871421363857E-2</v>
      </c>
      <c r="P5" s="243">
        <f t="shared" si="0"/>
        <v>4.5454738406765172E-2</v>
      </c>
      <c r="Q5" s="243">
        <f>Q8/Q3-1</f>
        <v>7.9754028294075852E-2</v>
      </c>
      <c r="R5" s="243">
        <f>R8/R3-1</f>
        <v>4.5454738406765172E-2</v>
      </c>
      <c r="S5" s="237">
        <f>S6/R3</f>
        <v>1.0540337492168284</v>
      </c>
      <c r="T5" s="220">
        <f>T6/R3</f>
        <v>1.1095092097019246</v>
      </c>
      <c r="U5" s="220">
        <f>U6/R3</f>
        <v>1.1649846701870208</v>
      </c>
    </row>
    <row r="6" spans="1:33" ht="15.75" customHeight="1">
      <c r="A6" s="248" t="s">
        <v>36</v>
      </c>
      <c r="B6" s="249">
        <f>'Target 2021'!B35-7700</f>
        <v>251350</v>
      </c>
      <c r="C6" s="249">
        <f>'Target 2021'!C35-13000</f>
        <v>274833.33333333331</v>
      </c>
      <c r="D6" s="249">
        <f>'Target 2021'!D35+7700</f>
        <v>309925</v>
      </c>
      <c r="E6" s="249">
        <f>SUM(B6:D6)</f>
        <v>836108.33333333326</v>
      </c>
      <c r="F6" s="249">
        <f>'Target 2021'!E35+13000</f>
        <v>300833.33333333331</v>
      </c>
      <c r="G6" s="249">
        <f>'Target 2021'!F35</f>
        <v>302225</v>
      </c>
      <c r="H6" s="249">
        <f>'Target 2021'!G35</f>
        <v>316616.66666666669</v>
      </c>
      <c r="I6" s="249">
        <f>SUM(F6:H6)</f>
        <v>919675</v>
      </c>
      <c r="J6" s="249">
        <f>'Target 2021'!H35</f>
        <v>259050</v>
      </c>
      <c r="K6" s="249">
        <f>'Target 2021'!I35</f>
        <v>259050</v>
      </c>
      <c r="L6" s="249">
        <f>'Target 2021'!J35</f>
        <v>287833.33333333331</v>
      </c>
      <c r="M6" s="249">
        <f>SUM(J6:L6)</f>
        <v>805933.33333333326</v>
      </c>
      <c r="N6" s="249">
        <f>'Target 2021'!K35</f>
        <v>302225</v>
      </c>
      <c r="O6" s="249">
        <f>'Target 2021'!L35</f>
        <v>302225</v>
      </c>
      <c r="P6" s="249">
        <f>'Target 2021'!M35</f>
        <v>287833.33333333331</v>
      </c>
      <c r="Q6" s="249">
        <f>SUM(N6:P6)</f>
        <v>892283.33333333326</v>
      </c>
      <c r="R6" s="250">
        <f>B6+C6+D6+F6+G6+H6+J6+K6+L6+N6+O6+P6</f>
        <v>3454000</v>
      </c>
      <c r="S6" s="245">
        <f>DH!R6*0.95</f>
        <v>3281300</v>
      </c>
      <c r="T6" s="223">
        <f>R6</f>
        <v>3454000</v>
      </c>
      <c r="U6" s="221">
        <f>'Target 2021'!H39</f>
        <v>3626700</v>
      </c>
    </row>
    <row r="7" spans="1:33" ht="15.75" customHeight="1">
      <c r="A7" s="251" t="s">
        <v>35</v>
      </c>
      <c r="B7" s="88">
        <f>B6</f>
        <v>251350</v>
      </c>
      <c r="C7" s="88">
        <f>C6+B7</f>
        <v>526183.33333333326</v>
      </c>
      <c r="D7" s="88">
        <f>D6+C7</f>
        <v>836108.33333333326</v>
      </c>
      <c r="E7" s="252"/>
      <c r="F7" s="88">
        <f>F6+D7</f>
        <v>1136941.6666666665</v>
      </c>
      <c r="G7" s="88">
        <f>G6+F7</f>
        <v>1439166.6666666665</v>
      </c>
      <c r="H7" s="88">
        <f>H6+G7</f>
        <v>1755783.3333333333</v>
      </c>
      <c r="I7" s="88"/>
      <c r="J7" s="88">
        <f>J6+H7</f>
        <v>2014833.3333333333</v>
      </c>
      <c r="K7" s="88">
        <f>K6+J7</f>
        <v>2273883.333333333</v>
      </c>
      <c r="L7" s="88">
        <f>L6+K7</f>
        <v>2561716.6666666665</v>
      </c>
      <c r="M7" s="88"/>
      <c r="N7" s="88">
        <f>N6+L7</f>
        <v>2863941.6666666665</v>
      </c>
      <c r="O7" s="88">
        <f>O6+N7</f>
        <v>3166166.6666666665</v>
      </c>
      <c r="P7" s="88">
        <f>P6+O7</f>
        <v>3454000</v>
      </c>
      <c r="Q7" s="88"/>
      <c r="R7" s="253"/>
      <c r="S7" s="246"/>
      <c r="T7" s="105"/>
      <c r="U7" s="171"/>
      <c r="V7" s="293">
        <f>T6/T19</f>
        <v>0.32280373831775699</v>
      </c>
    </row>
    <row r="8" spans="1:33" s="169" customFormat="1" ht="15.75" customHeight="1">
      <c r="A8" s="254" t="s">
        <v>37</v>
      </c>
      <c r="B8" s="28">
        <f>TOMEK!N6+MIRU!M6+'1'!N6+BARTEK!N6+PIOTR!N6+KRZYSZTOF!N6+'0'!N6</f>
        <v>238812.96280000004</v>
      </c>
      <c r="C8" s="28">
        <f>TOMEK!O6+MIRU!N6+'1'!O6+BARTEK!O6+PIOTR!O6+KRZYSZTOF!O6+'0'!O6</f>
        <v>236054.89290000001</v>
      </c>
      <c r="D8" s="28">
        <f>TOMEK!P6+MIRU!O6+'1'!P6+BARTEK!P6+PIOTR!P6+KRZYSZTOF!P6+'0'!P6</f>
        <v>310381.30080000003</v>
      </c>
      <c r="E8" s="255">
        <f>SUM(B8:D8)</f>
        <v>785249.15650000004</v>
      </c>
      <c r="F8" s="28">
        <f>TOMEK!J6+MIRU!J6+'1'!J6+BARTEK!J6+PIOTR!J6+KRZYSZTOF!J6++'0'!J6</f>
        <v>269725.26189999998</v>
      </c>
      <c r="G8" s="28">
        <f>TOMEK!K6+MIRU!K6+'1'!K6+BARTEK!K6+PIOTR!K6+KRZYSZTOF!K6+'0'!K6</f>
        <v>258627.64840000001</v>
      </c>
      <c r="H8" s="28">
        <f>TOMEK!L6+MIRU!L6+'1'!L6+BARTEK!L6+PIOTR!L6+KRZYSZTOF!L6+'0'!L6</f>
        <v>273225.81559999997</v>
      </c>
      <c r="I8" s="28">
        <f>SUM(F8:H8)</f>
        <v>801578.72589999996</v>
      </c>
      <c r="J8" s="28">
        <f>TOMEK!F6+MIRU!F6+'0'!F6+BARTEK!F6+PIOTR!F6+KRZYSZTOF!F6+'1'!F6</f>
        <v>274412.58620000002</v>
      </c>
      <c r="K8" s="28">
        <f>TOMEK!G6+MIRU!G6+'0'!G6+BARTEK!G6+PIOTR!G6+KRZYSZTOF!G6+'1'!G6+SUMIF(VIII!A:A,$A$1,VIII!I:I)</f>
        <v>251738.51490000001</v>
      </c>
      <c r="L8" s="28">
        <f>TOMEK!H6+MIRU!H6+'0'!H6+BARTEK!H6+PIOTR!H6+KRZYSZTOF!H6+'1'!H6</f>
        <v>250442.74310000002</v>
      </c>
      <c r="M8" s="28">
        <f>SUM(J8:L8)</f>
        <v>776593.84420000017</v>
      </c>
      <c r="N8" s="28">
        <f>TOMEK!B6+MIRU!B6+'0'!B6+BARTEK!B6+PIOTR!B6+KRZYSZTOF!B6+'1'!B6</f>
        <v>258681.26309999998</v>
      </c>
      <c r="O8" s="28">
        <f>TOMEK!C6+MIRU!C6+'0'!C6+BARTEK!C6+PIOTR!C6+KRZYSZTOF!C6+'1'!C6</f>
        <v>284693.27740000002</v>
      </c>
      <c r="P8" s="28">
        <f>TOMEK!D6+MIRU!D6+'0'!D6+BARTEK!D6+PIOTR!D6+KRZYSZTOF!D6+'1'!D6</f>
        <v>347796.51579999999</v>
      </c>
      <c r="Q8" s="28">
        <f>SUM(N8:P8)</f>
        <v>891171.05630000005</v>
      </c>
      <c r="R8" s="256">
        <f>B8+C8+D8+F8+G8+H8+J8+K8+L8+N8+O8+P8</f>
        <v>3254592.7829000005</v>
      </c>
      <c r="S8" s="565">
        <f>R8-R3</f>
        <v>141504.60860000039</v>
      </c>
      <c r="T8" s="755">
        <f>T6-R8</f>
        <v>199407.21709999954</v>
      </c>
      <c r="U8" s="358">
        <v>3</v>
      </c>
      <c r="V8" s="359"/>
      <c r="W8" s="359">
        <v>4</v>
      </c>
      <c r="X8" s="359">
        <v>5</v>
      </c>
      <c r="Y8" s="359">
        <v>6</v>
      </c>
      <c r="Z8" s="359"/>
      <c r="AA8" s="359">
        <v>7</v>
      </c>
      <c r="AB8" s="359">
        <v>8</v>
      </c>
      <c r="AC8" s="359">
        <v>9</v>
      </c>
      <c r="AD8" s="359"/>
      <c r="AE8" s="359">
        <v>10</v>
      </c>
      <c r="AF8" s="359">
        <v>11</v>
      </c>
      <c r="AG8" s="359">
        <v>12</v>
      </c>
    </row>
    <row r="9" spans="1:33" ht="15.75" customHeight="1" thickBot="1">
      <c r="A9" s="251" t="s">
        <v>38</v>
      </c>
      <c r="B9" s="8">
        <f>B8</f>
        <v>238812.96280000004</v>
      </c>
      <c r="C9" s="8">
        <f>C8+B9</f>
        <v>474867.85570000007</v>
      </c>
      <c r="D9" s="8">
        <f>D8+C9</f>
        <v>785249.15650000004</v>
      </c>
      <c r="E9" s="243"/>
      <c r="F9" s="8">
        <f>F8+D9</f>
        <v>1054974.4184000001</v>
      </c>
      <c r="G9" s="8">
        <f>G8+F9</f>
        <v>1313602.0668000001</v>
      </c>
      <c r="H9" s="8">
        <f>H8+G9</f>
        <v>1586827.8824</v>
      </c>
      <c r="I9" s="243">
        <f>I8/I3-1</f>
        <v>0.21429003308065897</v>
      </c>
      <c r="J9" s="8">
        <f>J8+H9</f>
        <v>1861240.4686</v>
      </c>
      <c r="K9" s="8">
        <f>K8+J9</f>
        <v>2112978.9835000001</v>
      </c>
      <c r="L9" s="8">
        <f>L8+K9</f>
        <v>2363421.7266000002</v>
      </c>
      <c r="M9" s="243">
        <f>M8/M3-1</f>
        <v>5.2590132003172307E-2</v>
      </c>
      <c r="N9" s="8">
        <f>N8+L9</f>
        <v>2622102.9897000003</v>
      </c>
      <c r="O9" s="8">
        <f>O8+N9</f>
        <v>2906796.2671000003</v>
      </c>
      <c r="P9" s="8">
        <f>P8+O9</f>
        <v>3254592.7829000005</v>
      </c>
      <c r="Q9" s="8">
        <f>P7*0.95-P9</f>
        <v>26707.217099999543</v>
      </c>
      <c r="R9" s="257"/>
      <c r="S9" s="556"/>
      <c r="T9" s="105"/>
      <c r="U9" s="105"/>
    </row>
    <row r="10" spans="1:33" ht="15.75" customHeight="1">
      <c r="A10" s="258" t="s">
        <v>39</v>
      </c>
      <c r="B10" s="26">
        <f>B8/B6</f>
        <v>0.95012119673761697</v>
      </c>
      <c r="C10" s="26">
        <f>C8/C6</f>
        <v>0.85890197537901769</v>
      </c>
      <c r="D10" s="26">
        <f>D8/D6</f>
        <v>1.0014722942647416</v>
      </c>
      <c r="E10" s="552">
        <f>D7*0.9</f>
        <v>752497.5</v>
      </c>
      <c r="F10" s="26">
        <f>F8/F6</f>
        <v>0.89659366836565102</v>
      </c>
      <c r="G10" s="26">
        <f>G8/G6</f>
        <v>0.85574538307552317</v>
      </c>
      <c r="H10" s="26">
        <f>H8/H6</f>
        <v>0.86295462104542808</v>
      </c>
      <c r="I10" s="461"/>
      <c r="J10" s="26">
        <f>J8/J6</f>
        <v>1.0593035560702568</v>
      </c>
      <c r="K10" s="26">
        <f>K8/K6</f>
        <v>0.97177577649102498</v>
      </c>
      <c r="L10" s="26">
        <f>L8/L6</f>
        <v>0.87009638598726124</v>
      </c>
      <c r="M10" s="461">
        <f>L4-L9</f>
        <v>-75679.911700000055</v>
      </c>
      <c r="N10" s="26">
        <f>N8/N6</f>
        <v>0.8559227830258912</v>
      </c>
      <c r="O10" s="26">
        <f>O8/O6</f>
        <v>0.94199115691951363</v>
      </c>
      <c r="P10" s="26">
        <f>P8/P6</f>
        <v>1.2083260537348004</v>
      </c>
      <c r="Q10" s="461">
        <f>P4-P9</f>
        <v>-141504.60860000039</v>
      </c>
      <c r="R10" s="257"/>
      <c r="S10" s="567"/>
      <c r="T10" s="566"/>
      <c r="U10" s="566"/>
      <c r="X10">
        <v>2019</v>
      </c>
      <c r="Y10" s="172">
        <f>R3/12</f>
        <v>259424.01452500001</v>
      </c>
    </row>
    <row r="11" spans="1:33" ht="15.75" customHeight="1">
      <c r="A11" s="251" t="s">
        <v>48</v>
      </c>
      <c r="B11" s="24">
        <f>B9-B7</f>
        <v>-12537.037199999962</v>
      </c>
      <c r="C11" s="24">
        <f>C9-C7</f>
        <v>-51315.477633333183</v>
      </c>
      <c r="D11" s="24">
        <f>D9-D7</f>
        <v>-50859.176833333215</v>
      </c>
      <c r="E11" s="24">
        <f>E10-C9</f>
        <v>277629.64429999993</v>
      </c>
      <c r="F11" s="24">
        <f>F9-F7</f>
        <v>-81967.248266666429</v>
      </c>
      <c r="G11" s="24">
        <f>G9-G7</f>
        <v>-125564.59986666637</v>
      </c>
      <c r="H11" s="24">
        <f>H9-H7</f>
        <v>-168955.45093333325</v>
      </c>
      <c r="I11" s="24">
        <f>H7*0.9-H9</f>
        <v>-6622.8824000000022</v>
      </c>
      <c r="J11" s="24">
        <f>J9-J7</f>
        <v>-153592.86473333323</v>
      </c>
      <c r="K11" s="24">
        <f>K9-K7</f>
        <v>-160904.34983333293</v>
      </c>
      <c r="L11" s="24">
        <f>L9-L7</f>
        <v>-198294.94006666634</v>
      </c>
      <c r="M11" s="24">
        <f>J7*0.9-J9</f>
        <v>-47890.468600000022</v>
      </c>
      <c r="N11" s="24">
        <f>N9-N7</f>
        <v>-241838.67696666624</v>
      </c>
      <c r="O11" s="24">
        <f>O9-O7</f>
        <v>-259370.39956666622</v>
      </c>
      <c r="P11" s="24">
        <f>P9-P7</f>
        <v>-199407.21709999954</v>
      </c>
      <c r="Q11" s="24"/>
      <c r="R11" s="259"/>
      <c r="S11" s="567"/>
      <c r="T11" s="566"/>
      <c r="U11" s="566"/>
      <c r="X11">
        <v>2020</v>
      </c>
      <c r="Y11" s="204">
        <f>D9/3</f>
        <v>261749.71883333335</v>
      </c>
      <c r="Z11" s="449">
        <f>1-Y10/Y11</f>
        <v>8.8852218015722517E-3</v>
      </c>
    </row>
    <row r="12" spans="1:33" s="170" customFormat="1" ht="15.75" customHeight="1" thickBot="1">
      <c r="A12" s="260" t="s">
        <v>40</v>
      </c>
      <c r="B12" s="261">
        <f>B9/B7</f>
        <v>0.95012119673761697</v>
      </c>
      <c r="C12" s="261">
        <f>C9/C7</f>
        <v>0.90247604896899081</v>
      </c>
      <c r="D12" s="261">
        <f>D9/D7</f>
        <v>0.93917154654998869</v>
      </c>
      <c r="E12" s="261"/>
      <c r="F12" s="261">
        <f>F9/F7</f>
        <v>0.92790549359759023</v>
      </c>
      <c r="G12" s="261">
        <f>G9/G7</f>
        <v>0.91275187038795624</v>
      </c>
      <c r="H12" s="261">
        <f>H9/H7</f>
        <v>0.90377203853930344</v>
      </c>
      <c r="I12" s="261"/>
      <c r="J12" s="261">
        <f>J9/J7</f>
        <v>0.92376894793614039</v>
      </c>
      <c r="K12" s="261">
        <f>K9/K7</f>
        <v>0.92923808030315258</v>
      </c>
      <c r="L12" s="261">
        <f>L9/L7</f>
        <v>0.9225929461103558</v>
      </c>
      <c r="M12" s="499"/>
      <c r="N12" s="261">
        <f>N9/N7</f>
        <v>0.9155574012622465</v>
      </c>
      <c r="O12" s="261">
        <f>O9/O7</f>
        <v>0.91808062339316743</v>
      </c>
      <c r="P12" s="261">
        <f>P9/P7</f>
        <v>0.94226774258830359</v>
      </c>
      <c r="Q12" s="262"/>
      <c r="R12" s="263"/>
      <c r="S12" s="247"/>
      <c r="T12" s="222"/>
      <c r="U12" s="222"/>
      <c r="X12" s="170" t="s">
        <v>82</v>
      </c>
      <c r="Y12" s="496">
        <f>F8</f>
        <v>269725.26189999998</v>
      </c>
      <c r="Z12" s="449">
        <f>1-Y11/Y12</f>
        <v>2.9569136426025766E-2</v>
      </c>
    </row>
    <row r="13" spans="1:33" s="235" customFormat="1" ht="15.75" customHeight="1">
      <c r="A13" s="281" t="s">
        <v>144</v>
      </c>
      <c r="B13" s="282">
        <f>TOMEK!N4+MIRU!M4+'1'!N4+BARTEK!N4+PIOTR!N4+KRZYSZTOF!N4</f>
        <v>246000</v>
      </c>
      <c r="C13" s="282">
        <f>TOMEK!O4+MIRU!N4+'1'!O4+BARTEK!O4+PIOTR!O4+KRZYSZTOF!O4+B13</f>
        <v>522000</v>
      </c>
      <c r="D13" s="282">
        <f>TOMEK!P4+MIRU!O4+'1'!P4+BARTEK!P4+PIOTR!P4+KRZYSZTOF!P4+C13</f>
        <v>864000</v>
      </c>
      <c r="E13" s="283"/>
      <c r="F13" s="282">
        <f>TOMEK!J4+MIRU!J4+'1'!J4+BARTEK!J4+PIOTR!J4+KRZYSZTOF!J4</f>
        <v>259200</v>
      </c>
      <c r="G13" s="282">
        <f>TOMEK!K4+MIRU!K4+'1'!K4+BARTEK!K4+PIOTR!K4+KRZYSZTOF!K4+F13</f>
        <v>544200</v>
      </c>
      <c r="H13" s="282">
        <f>TOMEK!L4+MIRU!L4+'1'!L4+BARTEK!L4+PIOTR!L4+KRZYSZTOF!L4+G13</f>
        <v>855000</v>
      </c>
      <c r="I13" s="283"/>
      <c r="J13" s="282">
        <f>TOMEK!F4+MIRU!F4+'0'!B4+BARTEK!F4+PIOTR!F4+KRZYSZTOF!F4</f>
        <v>259050</v>
      </c>
      <c r="K13" s="282">
        <f>TOMEK!G4+MIRU!G4+'0'!C4+BARTEK!G4+PIOTR!G4+KRZYSZTOF!G4+J13</f>
        <v>541883.33333333337</v>
      </c>
      <c r="L13" s="282">
        <f>TOMEK!H4+MIRU!H4+'0'!D4+BARTEK!H4+PIOTR!H4+KRZYSZTOF!H4+K13</f>
        <v>871500</v>
      </c>
      <c r="M13" s="283"/>
      <c r="N13" s="282">
        <f>TOMEK!B4+MIRU!B4+'0'!N4+BARTEK!B4+PIOTR!B4+KRZYSZTOF!B4</f>
        <v>261599.99999999997</v>
      </c>
      <c r="O13" s="282">
        <f>TOMEK!C4+MIRU!C4+'0'!O4+BARTEK!C4+PIOTR!C4+KRZYSZTOF!C4+N13</f>
        <v>541000</v>
      </c>
      <c r="P13" s="282">
        <f>TOMEK!D4+MIRU!D4+'0'!P4+BARTEK!D4+PIOTR!D4+KRZYSZTOF!D4+O13</f>
        <v>864000</v>
      </c>
      <c r="Q13" s="283">
        <f>SUM(N13:P13)</f>
        <v>1666600</v>
      </c>
      <c r="R13" s="284"/>
      <c r="S13" s="264"/>
      <c r="T13" s="234"/>
      <c r="U13" s="234"/>
      <c r="Z13" s="449">
        <f>1-Y10/Y12</f>
        <v>3.819162989197189E-2</v>
      </c>
    </row>
    <row r="14" spans="1:33" s="235" customFormat="1" ht="15.75" customHeight="1" thickBot="1">
      <c r="A14" s="285" t="s">
        <v>145</v>
      </c>
      <c r="B14" s="286">
        <f>B8/B13</f>
        <v>0.97078440162601642</v>
      </c>
      <c r="C14" s="286">
        <f>(B8+C8)/C13</f>
        <v>0.90970853582375488</v>
      </c>
      <c r="D14" s="286">
        <f>(D8+C8+B8)/D13</f>
        <v>0.90885319039351853</v>
      </c>
      <c r="E14" s="286"/>
      <c r="F14" s="286">
        <f>F8/F13</f>
        <v>1.0406067202932099</v>
      </c>
      <c r="G14" s="286">
        <f>(F8+G8)/G13</f>
        <v>0.97088002627710401</v>
      </c>
      <c r="H14" s="286">
        <f>(H8+G8+F8)/H13</f>
        <v>0.93751897766081871</v>
      </c>
      <c r="I14" s="287"/>
      <c r="J14" s="286">
        <f>J8/J13</f>
        <v>1.0593035560702568</v>
      </c>
      <c r="K14" s="286">
        <f>(J8+K8)/K13</f>
        <v>0.97096749195706344</v>
      </c>
      <c r="L14" s="286">
        <f>(L8+K8+J8)/L13</f>
        <v>0.89110022283419399</v>
      </c>
      <c r="M14" s="287"/>
      <c r="N14" s="286">
        <f>N8/N13</f>
        <v>0.988842748853211</v>
      </c>
      <c r="O14" s="286">
        <f>(N8+O8)/O13</f>
        <v>1.0043891691312385</v>
      </c>
      <c r="P14" s="286">
        <f>(P8+O8+N8)/P13</f>
        <v>1.0314479818287037</v>
      </c>
      <c r="Q14" s="288"/>
      <c r="R14" s="289"/>
      <c r="S14" s="264"/>
      <c r="T14" s="234"/>
      <c r="U14" s="234"/>
    </row>
    <row r="15" spans="1:33" ht="12" customHeight="1" thickBot="1">
      <c r="A15" s="265"/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7"/>
      <c r="S15" s="566"/>
      <c r="T15" s="566"/>
      <c r="U15" s="566"/>
    </row>
    <row r="16" spans="1:33" s="226" customFormat="1">
      <c r="A16" s="296" t="s">
        <v>220</v>
      </c>
      <c r="B16" s="547">
        <v>956402.48249999993</v>
      </c>
      <c r="C16" s="547">
        <v>947401.39450000005</v>
      </c>
      <c r="D16" s="547">
        <v>841720.55280000006</v>
      </c>
      <c r="E16" s="547">
        <v>2745524.4298</v>
      </c>
      <c r="F16" s="547">
        <v>770190.66019999993</v>
      </c>
      <c r="G16" s="547">
        <v>550307.66520000005</v>
      </c>
      <c r="H16" s="547">
        <v>749067.73429999989</v>
      </c>
      <c r="I16" s="547">
        <v>2069566.0596999999</v>
      </c>
      <c r="J16" s="547">
        <v>852824.40230000007</v>
      </c>
      <c r="K16" s="547">
        <v>703125.82220000017</v>
      </c>
      <c r="L16" s="547">
        <v>732890.87119999994</v>
      </c>
      <c r="M16" s="547">
        <v>2288841.0957000004</v>
      </c>
      <c r="N16" s="547">
        <v>955205.79300000006</v>
      </c>
      <c r="O16" s="547">
        <v>730577.06059999997</v>
      </c>
      <c r="P16" s="547">
        <v>858525.26569999987</v>
      </c>
      <c r="Q16" s="547">
        <v>2544308.1192999999</v>
      </c>
      <c r="R16" s="550">
        <v>9648239.7044999991</v>
      </c>
      <c r="S16" s="236"/>
      <c r="T16" s="230"/>
      <c r="U16" s="230"/>
    </row>
    <row r="17" spans="1:23" s="226" customFormat="1">
      <c r="A17" s="295" t="s">
        <v>222</v>
      </c>
      <c r="B17" s="227">
        <f>B16</f>
        <v>956402.48249999993</v>
      </c>
      <c r="C17" s="228">
        <f>C16+B17</f>
        <v>1903803.8769999999</v>
      </c>
      <c r="D17" s="228">
        <f>D16+C17</f>
        <v>2745524.4298</v>
      </c>
      <c r="E17" s="229"/>
      <c r="F17" s="227">
        <f>F16+D17</f>
        <v>3515715.09</v>
      </c>
      <c r="G17" s="227">
        <f>G16+F17</f>
        <v>4066022.7552</v>
      </c>
      <c r="H17" s="227">
        <f>H16+G17</f>
        <v>4815090.4895000001</v>
      </c>
      <c r="I17" s="228"/>
      <c r="J17" s="227">
        <f>J16+H17</f>
        <v>5667914.8918000003</v>
      </c>
      <c r="K17" s="227">
        <f>K16+J17</f>
        <v>6371040.7140000006</v>
      </c>
      <c r="L17" s="227">
        <f>L16+K17</f>
        <v>7103931.5852000006</v>
      </c>
      <c r="M17" s="227"/>
      <c r="N17" s="227">
        <f>N16+L17</f>
        <v>8059137.3782000002</v>
      </c>
      <c r="O17" s="227">
        <f>O16+N17</f>
        <v>8789714.4387999997</v>
      </c>
      <c r="P17" s="227">
        <f>P16+O17</f>
        <v>9648239.7044999991</v>
      </c>
      <c r="Q17" s="415"/>
      <c r="R17" s="416"/>
      <c r="S17" s="236" t="s">
        <v>141</v>
      </c>
      <c r="T17" s="230" t="s">
        <v>142</v>
      </c>
      <c r="U17" s="231" t="s">
        <v>134</v>
      </c>
    </row>
    <row r="18" spans="1:23" s="218" customFormat="1" ht="13.8" thickBot="1">
      <c r="A18" s="242" t="s">
        <v>227</v>
      </c>
      <c r="B18" s="243">
        <f>B22/B17-1</f>
        <v>-0.26469198170447017</v>
      </c>
      <c r="C18" s="243">
        <f>C22/C17-1</f>
        <v>-0.22649532696586683</v>
      </c>
      <c r="D18" s="243">
        <f>D22/D17-1</f>
        <v>-0.13643359408289324</v>
      </c>
      <c r="E18" s="243"/>
      <c r="F18" s="243">
        <f>F22/F17-1</f>
        <v>-0.10852746002805358</v>
      </c>
      <c r="G18" s="243">
        <f>G22/G17-1</f>
        <v>-2.8562310639180688E-2</v>
      </c>
      <c r="H18" s="243">
        <f>H22/H17-1</f>
        <v>-3.3325123660690181E-3</v>
      </c>
      <c r="I18" s="243"/>
      <c r="J18" s="243">
        <f>J22/J17-1</f>
        <v>-8.9290250235087854E-3</v>
      </c>
      <c r="K18" s="243">
        <f>K22/K17-1</f>
        <v>1.4795144205069555E-2</v>
      </c>
      <c r="L18" s="243">
        <f>L22/L17-1</f>
        <v>1.2090385946134097E-2</v>
      </c>
      <c r="M18" s="243"/>
      <c r="N18" s="243">
        <f>N22/N17-1</f>
        <v>-7.8663945438487426E-3</v>
      </c>
      <c r="O18" s="243">
        <f>O22/O17-1</f>
        <v>-3.5992184069533195E-4</v>
      </c>
      <c r="P18" s="243">
        <f>P22/P17-1</f>
        <v>1.4234903071069338E-2</v>
      </c>
      <c r="Q18" s="243">
        <f>Q21/Q16</f>
        <v>1.0202225831100031</v>
      </c>
      <c r="R18" s="244">
        <f>R21/R16</f>
        <v>1.0142349030710693</v>
      </c>
      <c r="S18" s="237">
        <f>S19/R16</f>
        <v>1.0535600597960868</v>
      </c>
      <c r="T18" s="220">
        <f>T19/R16</f>
        <v>1.1090105892590389</v>
      </c>
      <c r="U18" s="220">
        <f>U19/R16</f>
        <v>1.1644611187219907</v>
      </c>
    </row>
    <row r="19" spans="1:23" ht="15.75" customHeight="1">
      <c r="A19" s="240" t="s">
        <v>41</v>
      </c>
      <c r="B19" s="470">
        <f>'Target 2021'!B36</f>
        <v>802500</v>
      </c>
      <c r="C19" s="470">
        <f>'Target 2021'!C36</f>
        <v>891666.66666666663</v>
      </c>
      <c r="D19" s="470">
        <f>'Target 2021'!D36</f>
        <v>936250</v>
      </c>
      <c r="E19" s="470"/>
      <c r="F19" s="470">
        <f>'Target 2021'!E36</f>
        <v>891666.66666666663</v>
      </c>
      <c r="G19" s="470">
        <f>'Target 2021'!F36</f>
        <v>936250</v>
      </c>
      <c r="H19" s="470">
        <f>'Target 2021'!G36</f>
        <v>980833.33333333337</v>
      </c>
      <c r="I19" s="470"/>
      <c r="J19" s="470">
        <f>'Target 2021'!H36</f>
        <v>802500</v>
      </c>
      <c r="K19" s="470">
        <f>'Target 2021'!I36</f>
        <v>802500</v>
      </c>
      <c r="L19" s="470">
        <f>'Target 2021'!J36</f>
        <v>891666.66666666663</v>
      </c>
      <c r="M19" s="470"/>
      <c r="N19" s="470">
        <f>'Target 2021'!K36</f>
        <v>936250</v>
      </c>
      <c r="O19" s="470">
        <f>'Target 2021'!L36</f>
        <v>936250</v>
      </c>
      <c r="P19" s="470">
        <f>'Target 2021'!M36</f>
        <v>891666.66666666663</v>
      </c>
      <c r="Q19" s="419"/>
      <c r="R19" s="347">
        <f>B19+C19+D19+F19+G19+H19+J19+K19+L19+N19+O19+P19</f>
        <v>10699999.999999998</v>
      </c>
      <c r="S19" s="223">
        <f>DH!R19*0.95</f>
        <v>10164999.999999998</v>
      </c>
      <c r="T19" s="223">
        <v>10700000</v>
      </c>
      <c r="U19" s="221">
        <f>'Target 2021'!H40</f>
        <v>11234999.999999998</v>
      </c>
    </row>
    <row r="20" spans="1:23" ht="15.75" customHeight="1">
      <c r="A20" s="7" t="s">
        <v>42</v>
      </c>
      <c r="B20" s="315">
        <f>B19</f>
        <v>802500</v>
      </c>
      <c r="C20" s="315">
        <f>C19+B20</f>
        <v>1694166.6666666665</v>
      </c>
      <c r="D20" s="315">
        <f>D19+C20</f>
        <v>2630416.6666666665</v>
      </c>
      <c r="E20" s="315"/>
      <c r="F20" s="315">
        <f>F19+D20</f>
        <v>3522083.333333333</v>
      </c>
      <c r="G20" s="315">
        <f>G19+F20</f>
        <v>4458333.333333333</v>
      </c>
      <c r="H20" s="315">
        <f>H19+G20</f>
        <v>5439166.666666666</v>
      </c>
      <c r="I20" s="315">
        <f>H17-H22</f>
        <v>16046.348600000143</v>
      </c>
      <c r="J20" s="315">
        <f>J19+H20</f>
        <v>6241666.666666666</v>
      </c>
      <c r="K20" s="315">
        <f>K19+J20</f>
        <v>7044166.666666666</v>
      </c>
      <c r="L20" s="315">
        <f>L19+K20</f>
        <v>7935833.333333333</v>
      </c>
      <c r="M20" s="315"/>
      <c r="N20" s="315">
        <f>N19+L20</f>
        <v>8872083.3333333321</v>
      </c>
      <c r="O20" s="315">
        <f>O19+N20</f>
        <v>9808333.3333333321</v>
      </c>
      <c r="P20" s="315">
        <f>P19+O20</f>
        <v>10699999.999999998</v>
      </c>
      <c r="Q20" s="315"/>
      <c r="R20" s="349"/>
      <c r="T20" s="172">
        <f>T19-R21</f>
        <v>914418.53849999979</v>
      </c>
    </row>
    <row r="21" spans="1:23" ht="15.75" customHeight="1">
      <c r="A21" s="30" t="s">
        <v>43</v>
      </c>
      <c r="B21" s="28">
        <f>TOMEK!N11+MIRU!M11+'1'!N13+BARTEK!N11+PIOTR!N11+KRZYSZTOF!N11+'0'!N13</f>
        <v>703250.41410000005</v>
      </c>
      <c r="C21" s="28">
        <f>TOMEK!O11+MIRU!N11+'1'!O13+BARTEK!O11+PIOTR!O11+KRZYSZTOF!O11+'0'!O13</f>
        <v>769350.78130000003</v>
      </c>
      <c r="D21" s="28">
        <f>TOMEK!P11+MIRU!O11+'1'!P13+BARTEK!P11+PIOTR!P11+KRZYSZTOF!P11+'0'!P13</f>
        <v>898341.46880000003</v>
      </c>
      <c r="E21" s="28">
        <f>SUM(B21:D21)</f>
        <v>2370942.6642</v>
      </c>
      <c r="F21" s="28">
        <f>TOMEK!J11+MIRU!J11+'1'!J13+BARTEK!J11+PIOTR!J11+KRZYSZTOF!J11+'0'!J13</f>
        <v>763220.79689999996</v>
      </c>
      <c r="G21" s="28">
        <f>TOMEK!K11+MIRU!K11+'1'!K13+BARTEK!K11+PIOTR!K11+KRZYSZTOF!K11+'0'!K13</f>
        <v>815724.28910000005</v>
      </c>
      <c r="H21" s="28">
        <f>TOMEK!L11+MIRU!L11+'1'!L13+BARTEK!L11+PIOTR!L11+KRZYSZTOF!L11+'0'!L13</f>
        <v>849156.39069999999</v>
      </c>
      <c r="I21" s="28">
        <f>SUM(F21:H21)</f>
        <v>2428101.4767</v>
      </c>
      <c r="J21" s="28">
        <f>TOMEK!F11+MIRU!F11+'0'!F13+BARTEK!F11+PIOTR!F11+KRZYSZTOF!F11+'1'!F13</f>
        <v>818261.7969999999</v>
      </c>
      <c r="K21" s="28">
        <f>TOMEK!G11+MIRU!G11+'0'!G13+BARTEK!G11+PIOTR!G11+KRZYSZTOF!G11+'1'!G13+SUMIF(VIII!A:A,$A$1,VIII!G:G)</f>
        <v>847995.24219999998</v>
      </c>
      <c r="L21" s="28">
        <f>TOMEK!H11+MIRU!H11+'0'!H13+BARTEK!H11+PIOTR!H11+KRZYSZTOF!H11+'1'!H13</f>
        <v>724519.67969999998</v>
      </c>
      <c r="M21" s="28">
        <f>SUM(J21:L21)</f>
        <v>2390776.7188999997</v>
      </c>
      <c r="N21" s="28">
        <f>TOMEK!B11+MIRU!B11+'0'!B13+BARTEK!B11+PIOTR!B11+KRZYSZTOF!B11+'1'!B13</f>
        <v>805920.16410000005</v>
      </c>
      <c r="O21" s="28">
        <f>TOMEK!C11+MIRU!C11+'0'!C13+BARTEK!C11+PIOTR!C11+KRZYSZTOF!C11+'1'!C13</f>
        <v>790809.80469999998</v>
      </c>
      <c r="P21" s="28">
        <f>TOMEK!D11+MIRU!D11+'0'!D13+BARTEK!D11+PIOTR!D11+KRZYSZTOF!D11+'1'!D13</f>
        <v>999030.63290000008</v>
      </c>
      <c r="Q21" s="28">
        <f>SUM(N21:P21)</f>
        <v>2595760.6017</v>
      </c>
      <c r="R21" s="232">
        <f>B21+C21+D21+F21+G21+H21+J21+K21+L21+N21+O21+P21</f>
        <v>9785581.4615000002</v>
      </c>
    </row>
    <row r="22" spans="1:23" ht="15.75" customHeight="1">
      <c r="A22" s="7" t="s">
        <v>44</v>
      </c>
      <c r="B22" s="8">
        <f>B21</f>
        <v>703250.41410000005</v>
      </c>
      <c r="C22" s="8">
        <f>C21+B22</f>
        <v>1472601.1954000001</v>
      </c>
      <c r="D22" s="8">
        <f>D21+C22</f>
        <v>2370942.6642</v>
      </c>
      <c r="E22" s="8"/>
      <c r="F22" s="8">
        <f>F21+D22</f>
        <v>3134163.4611</v>
      </c>
      <c r="G22" s="8">
        <f>G21+F22</f>
        <v>3949887.7502000001</v>
      </c>
      <c r="H22" s="8">
        <f>H21+G22</f>
        <v>4799044.1409</v>
      </c>
      <c r="I22" s="8"/>
      <c r="J22" s="8">
        <f>J21+H22</f>
        <v>5617305.9379000003</v>
      </c>
      <c r="K22" s="8">
        <f>K21+J22</f>
        <v>6465301.1801000005</v>
      </c>
      <c r="L22" s="8">
        <f>L21+K22</f>
        <v>7189820.8598000007</v>
      </c>
      <c r="M22" s="8"/>
      <c r="N22" s="8">
        <f>N21+L22</f>
        <v>7995741.0239000004</v>
      </c>
      <c r="O22" s="8">
        <f>O21+N22</f>
        <v>8786550.8286000006</v>
      </c>
      <c r="P22" s="8">
        <f>P21+O22</f>
        <v>9785581.4615000002</v>
      </c>
      <c r="Q22" s="8"/>
      <c r="R22" s="9"/>
    </row>
    <row r="23" spans="1:23" ht="15.75" customHeight="1">
      <c r="A23" s="25" t="s">
        <v>45</v>
      </c>
      <c r="B23" s="26">
        <f t="shared" ref="B23:D24" si="1">B21/B19</f>
        <v>0.8763245035514019</v>
      </c>
      <c r="C23" s="26">
        <f t="shared" si="1"/>
        <v>0.86282330613084124</v>
      </c>
      <c r="D23" s="26">
        <f t="shared" si="1"/>
        <v>0.95951024704939925</v>
      </c>
      <c r="E23" s="26"/>
      <c r="F23" s="26">
        <f t="shared" ref="F23:H24" si="2">F21/F19</f>
        <v>0.85594855727102803</v>
      </c>
      <c r="G23" s="26">
        <f t="shared" si="2"/>
        <v>0.87126759850467295</v>
      </c>
      <c r="H23" s="26">
        <f t="shared" si="2"/>
        <v>0.86574993104502973</v>
      </c>
      <c r="I23" s="461">
        <f>G17-G22</f>
        <v>116135.00499999989</v>
      </c>
      <c r="J23" s="26">
        <f t="shared" ref="J23:L24" si="3">J21/J19</f>
        <v>1.0196408685358254</v>
      </c>
      <c r="K23" s="26">
        <f t="shared" si="3"/>
        <v>1.0566918905919003</v>
      </c>
      <c r="L23" s="26">
        <f t="shared" si="3"/>
        <v>0.81254543517757005</v>
      </c>
      <c r="M23" s="26"/>
      <c r="N23" s="26">
        <f t="shared" ref="N23:P24" si="4">N21/N19</f>
        <v>0.86079590291054742</v>
      </c>
      <c r="O23" s="26">
        <f t="shared" si="4"/>
        <v>0.84465666723631505</v>
      </c>
      <c r="P23" s="26">
        <f t="shared" si="4"/>
        <v>1.1204081864299067</v>
      </c>
      <c r="Q23" s="461">
        <f>P17-P22</f>
        <v>-137341.75700000115</v>
      </c>
      <c r="R23" s="9"/>
      <c r="T23" s="204"/>
    </row>
    <row r="24" spans="1:23" s="170" customFormat="1" ht="15.75" customHeight="1">
      <c r="A24" s="55" t="s">
        <v>46</v>
      </c>
      <c r="B24" s="459">
        <f t="shared" si="1"/>
        <v>0.8763245035514019</v>
      </c>
      <c r="C24" s="459">
        <f t="shared" si="1"/>
        <v>0.86921861017215951</v>
      </c>
      <c r="D24" s="459">
        <f t="shared" si="1"/>
        <v>0.90135631143354988</v>
      </c>
      <c r="E24" s="459"/>
      <c r="F24" s="459">
        <f t="shared" si="2"/>
        <v>0.88986067746835451</v>
      </c>
      <c r="G24" s="459">
        <f>G22/G20</f>
        <v>0.88595613088598135</v>
      </c>
      <c r="H24" s="459">
        <f t="shared" si="2"/>
        <v>0.88231238993105576</v>
      </c>
      <c r="I24" s="459"/>
      <c r="J24" s="459">
        <f t="shared" si="3"/>
        <v>0.89996890860881185</v>
      </c>
      <c r="K24" s="459">
        <f t="shared" si="3"/>
        <v>0.91782342554359408</v>
      </c>
      <c r="L24" s="459">
        <f t="shared" si="3"/>
        <v>0.90599443786201839</v>
      </c>
      <c r="M24" s="459"/>
      <c r="N24" s="459">
        <f t="shared" si="4"/>
        <v>0.90122474321889845</v>
      </c>
      <c r="O24" s="459">
        <f t="shared" si="4"/>
        <v>0.89582506323874278</v>
      </c>
      <c r="P24" s="459">
        <f t="shared" si="4"/>
        <v>0.91454032350467307</v>
      </c>
      <c r="Q24" s="224"/>
      <c r="R24" s="225"/>
    </row>
    <row r="25" spans="1:23" ht="15.75" customHeight="1">
      <c r="A25" s="268" t="s">
        <v>47</v>
      </c>
      <c r="B25" s="269">
        <f>B22-B20</f>
        <v>-99249.585899999947</v>
      </c>
      <c r="C25" s="269">
        <f>C22-C20</f>
        <v>-221565.47126666643</v>
      </c>
      <c r="D25" s="269">
        <f>D22-D20</f>
        <v>-259474.00246666651</v>
      </c>
      <c r="E25" s="269"/>
      <c r="F25" s="269">
        <f>F22-F20</f>
        <v>-387919.87223333307</v>
      </c>
      <c r="G25" s="269">
        <f>G22-G20</f>
        <v>-508445.5831333329</v>
      </c>
      <c r="H25" s="269">
        <f>H22-H20</f>
        <v>-640122.52576666605</v>
      </c>
      <c r="I25" s="269"/>
      <c r="J25" s="269">
        <f>J22-J20</f>
        <v>-624360.72876666579</v>
      </c>
      <c r="K25" s="269">
        <f>K22-K20</f>
        <v>-578865.48656666558</v>
      </c>
      <c r="L25" s="269">
        <f>L22-L20</f>
        <v>-746012.47353333235</v>
      </c>
      <c r="M25" s="269"/>
      <c r="N25" s="269">
        <f>N22-N20</f>
        <v>-876342.30943333171</v>
      </c>
      <c r="O25" s="269">
        <f>O22-O20</f>
        <v>-1021782.5047333315</v>
      </c>
      <c r="P25" s="269">
        <f>P22-P20</f>
        <v>-914418.53849999793</v>
      </c>
      <c r="Q25" s="269"/>
      <c r="R25" s="270"/>
    </row>
    <row r="26" spans="1:23" ht="15.75" customHeight="1" thickBot="1">
      <c r="A26" s="265"/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71"/>
      <c r="V26" s="293" t="e">
        <f>#REF!/E8-1</f>
        <v>#REF!</v>
      </c>
      <c r="W26" s="293" t="e">
        <f>#REF!/E8-1</f>
        <v>#REF!</v>
      </c>
    </row>
    <row r="27" spans="1:23" ht="15.75" customHeight="1">
      <c r="A27" s="275" t="s">
        <v>32</v>
      </c>
      <c r="B27" s="276">
        <f t="shared" ref="B27:D28" si="5">B8/B21</f>
        <v>0.33958453206974093</v>
      </c>
      <c r="C27" s="276">
        <f t="shared" si="5"/>
        <v>0.30682349149126675</v>
      </c>
      <c r="D27" s="276">
        <f t="shared" si="5"/>
        <v>0.34550481256821619</v>
      </c>
      <c r="E27" s="276"/>
      <c r="F27" s="276">
        <f t="shared" ref="F27:H28" si="6">F8/F21</f>
        <v>0.35340397299910109</v>
      </c>
      <c r="G27" s="276">
        <f t="shared" si="6"/>
        <v>0.31705277365879037</v>
      </c>
      <c r="H27" s="276">
        <f t="shared" si="6"/>
        <v>0.32176147832411289</v>
      </c>
      <c r="I27" s="276"/>
      <c r="J27" s="276">
        <f t="shared" ref="J27:L28" si="7">J8/J21</f>
        <v>0.33536037880062491</v>
      </c>
      <c r="K27" s="276">
        <f t="shared" si="7"/>
        <v>0.2968631218341522</v>
      </c>
      <c r="L27" s="276">
        <f t="shared" si="7"/>
        <v>0.3456672746331752</v>
      </c>
      <c r="M27" s="276"/>
      <c r="N27" s="276">
        <f>N8/N21</f>
        <v>0.32097628849983995</v>
      </c>
      <c r="O27" s="276">
        <f>O8/O21</f>
        <v>0.36000221002318084</v>
      </c>
      <c r="P27" s="276">
        <f>P8/P21</f>
        <v>0.34813398543186952</v>
      </c>
      <c r="Q27" s="276"/>
      <c r="R27" s="277"/>
    </row>
    <row r="28" spans="1:23" ht="15.75" customHeight="1" thickBot="1">
      <c r="A28" s="278" t="s">
        <v>33</v>
      </c>
      <c r="B28" s="279">
        <f t="shared" si="5"/>
        <v>0.33958453206974093</v>
      </c>
      <c r="C28" s="279">
        <f t="shared" si="5"/>
        <v>0.32246874251043411</v>
      </c>
      <c r="D28" s="279">
        <f t="shared" si="5"/>
        <v>0.33119702486139946</v>
      </c>
      <c r="E28" s="279"/>
      <c r="F28" s="279">
        <f t="shared" si="6"/>
        <v>0.33660478513451075</v>
      </c>
      <c r="G28" s="279">
        <f t="shared" si="6"/>
        <v>0.33256693604355891</v>
      </c>
      <c r="H28" s="279">
        <f t="shared" si="6"/>
        <v>0.33065498791232423</v>
      </c>
      <c r="I28" s="279"/>
      <c r="J28" s="279">
        <f t="shared" si="7"/>
        <v>0.33134041285560012</v>
      </c>
      <c r="K28" s="279">
        <f t="shared" si="7"/>
        <v>0.32681833755922846</v>
      </c>
      <c r="L28" s="279">
        <f t="shared" si="7"/>
        <v>0.32871774870142501</v>
      </c>
      <c r="M28" s="279"/>
      <c r="N28" s="279">
        <f>N9/N22</f>
        <v>0.32793745843722238</v>
      </c>
      <c r="O28" s="279">
        <f>O9/O22</f>
        <v>0.33082335990573819</v>
      </c>
      <c r="P28" s="279" t="s">
        <v>169</v>
      </c>
      <c r="Q28" s="279"/>
      <c r="R28" s="280"/>
    </row>
    <row r="29" spans="1:23" s="67" customFormat="1" ht="15.75" customHeight="1">
      <c r="A29" s="272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4"/>
      <c r="T29" s="66"/>
    </row>
    <row r="30" spans="1:23" ht="226.5" customHeight="1">
      <c r="A30" s="52"/>
      <c r="B30" s="776" t="s">
        <v>26</v>
      </c>
      <c r="C30" s="777"/>
      <c r="D30" s="777"/>
      <c r="E30" s="777"/>
      <c r="F30" s="777"/>
      <c r="G30" s="777"/>
      <c r="H30" s="777"/>
      <c r="I30" s="777"/>
      <c r="J30" s="777"/>
      <c r="K30" s="777"/>
      <c r="L30" s="777"/>
      <c r="M30" s="777"/>
      <c r="N30" s="777"/>
      <c r="O30" s="777"/>
      <c r="P30" s="777"/>
      <c r="Q30" s="777"/>
      <c r="R30" s="778"/>
    </row>
    <row r="31" spans="1:23" s="71" customFormat="1" ht="10.199999999999999">
      <c r="A31" s="69" t="s">
        <v>76</v>
      </c>
      <c r="B31" s="73">
        <v>8000</v>
      </c>
      <c r="C31" s="73">
        <v>8400</v>
      </c>
      <c r="D31" s="73">
        <v>8400</v>
      </c>
      <c r="E31" s="73"/>
      <c r="F31" s="73">
        <v>8400</v>
      </c>
      <c r="G31" s="73">
        <v>8400</v>
      </c>
      <c r="H31" s="73">
        <v>8400</v>
      </c>
      <c r="I31" s="73"/>
      <c r="J31" s="73">
        <v>8400</v>
      </c>
      <c r="K31" s="73">
        <v>8400</v>
      </c>
      <c r="L31" s="73">
        <v>8400</v>
      </c>
      <c r="M31" s="73"/>
      <c r="N31" s="73">
        <v>8400</v>
      </c>
      <c r="O31" s="73">
        <v>8400</v>
      </c>
      <c r="P31" s="73">
        <v>8400</v>
      </c>
      <c r="Q31" s="73"/>
      <c r="R31" s="70"/>
    </row>
    <row r="32" spans="1:23">
      <c r="A32" s="19" t="s">
        <v>50</v>
      </c>
      <c r="B32" s="74">
        <f>B7</f>
        <v>251350</v>
      </c>
      <c r="C32" s="74">
        <f>C7</f>
        <v>526183.33333333326</v>
      </c>
      <c r="D32" s="74">
        <f>D7</f>
        <v>836108.33333333326</v>
      </c>
      <c r="E32" s="74"/>
      <c r="F32" s="74">
        <f>F7</f>
        <v>1136941.6666666665</v>
      </c>
      <c r="G32" s="74">
        <f>G7</f>
        <v>1439166.6666666665</v>
      </c>
      <c r="H32" s="74">
        <f>H7</f>
        <v>1755783.3333333333</v>
      </c>
      <c r="I32" s="74"/>
      <c r="J32" s="74">
        <f>J7</f>
        <v>2014833.3333333333</v>
      </c>
      <c r="K32" s="74">
        <f>K7</f>
        <v>2273883.333333333</v>
      </c>
      <c r="L32" s="74">
        <f>L7</f>
        <v>2561716.6666666665</v>
      </c>
      <c r="M32" s="74"/>
      <c r="N32" s="74">
        <f>N7</f>
        <v>2863941.6666666665</v>
      </c>
      <c r="O32" s="74">
        <f>O7</f>
        <v>3166166.6666666665</v>
      </c>
      <c r="P32" s="41">
        <f>P7</f>
        <v>3454000</v>
      </c>
      <c r="Q32" s="41"/>
      <c r="R32" s="32"/>
    </row>
    <row r="33" spans="1:20">
      <c r="A33" s="39" t="s">
        <v>51</v>
      </c>
      <c r="B33" s="51">
        <f>B9</f>
        <v>238812.96280000004</v>
      </c>
      <c r="C33" s="51">
        <f>C9</f>
        <v>474867.85570000007</v>
      </c>
      <c r="D33" s="51">
        <f>D9</f>
        <v>785249.15650000004</v>
      </c>
      <c r="E33" s="51"/>
      <c r="F33" s="51">
        <f>F9</f>
        <v>1054974.4184000001</v>
      </c>
      <c r="G33" s="51">
        <f>G9</f>
        <v>1313602.0668000001</v>
      </c>
      <c r="H33" s="51">
        <f>H9</f>
        <v>1586827.8824</v>
      </c>
      <c r="I33" s="51"/>
      <c r="J33" s="51">
        <f>J9</f>
        <v>1861240.4686</v>
      </c>
      <c r="K33" s="51">
        <f>K9</f>
        <v>2112978.9835000001</v>
      </c>
      <c r="L33" s="51">
        <f>L9</f>
        <v>2363421.7266000002</v>
      </c>
      <c r="M33" s="51"/>
      <c r="N33" s="51">
        <f>N9</f>
        <v>2622102.9897000003</v>
      </c>
      <c r="O33" s="51">
        <f>O9</f>
        <v>2906796.2671000003</v>
      </c>
      <c r="P33" s="40">
        <f>P9</f>
        <v>3254592.7829000005</v>
      </c>
      <c r="Q33" s="40"/>
      <c r="R33" s="32"/>
    </row>
    <row r="34" spans="1:20">
      <c r="A34" s="39" t="s">
        <v>52</v>
      </c>
      <c r="B34" s="90">
        <f>B33/B32</f>
        <v>0.95012119673761697</v>
      </c>
      <c r="C34" s="90">
        <f>C33/C32</f>
        <v>0.90247604896899081</v>
      </c>
      <c r="D34" s="90">
        <f>D33/D32</f>
        <v>0.93917154654998869</v>
      </c>
      <c r="E34" s="90"/>
      <c r="F34" s="90">
        <f t="shared" ref="F34:P34" si="8">F33/F32</f>
        <v>0.92790549359759023</v>
      </c>
      <c r="G34" s="90">
        <f t="shared" si="8"/>
        <v>0.91275187038795624</v>
      </c>
      <c r="H34" s="90">
        <f t="shared" si="8"/>
        <v>0.90377203853930344</v>
      </c>
      <c r="I34" s="90"/>
      <c r="J34" s="90">
        <f t="shared" si="8"/>
        <v>0.92376894793614039</v>
      </c>
      <c r="K34" s="90">
        <f t="shared" si="8"/>
        <v>0.92923808030315258</v>
      </c>
      <c r="L34" s="90">
        <f t="shared" si="8"/>
        <v>0.9225929461103558</v>
      </c>
      <c r="M34" s="90"/>
      <c r="N34" s="90">
        <f t="shared" si="8"/>
        <v>0.9155574012622465</v>
      </c>
      <c r="O34" s="90">
        <f t="shared" si="8"/>
        <v>0.91808062339316743</v>
      </c>
      <c r="P34" s="48">
        <f t="shared" si="8"/>
        <v>0.94226774258830359</v>
      </c>
      <c r="Q34" s="48"/>
      <c r="R34" s="32"/>
    </row>
    <row r="35" spans="1:20">
      <c r="A35" s="38" t="s">
        <v>60</v>
      </c>
      <c r="B35" s="54">
        <f>B31*0.3</f>
        <v>2400</v>
      </c>
      <c r="C35" s="54">
        <f>C31*0.3</f>
        <v>2520</v>
      </c>
      <c r="D35" s="54">
        <f>D31*0.3</f>
        <v>2520</v>
      </c>
      <c r="E35" s="54"/>
      <c r="F35" s="54">
        <f>F31*0.3</f>
        <v>2520</v>
      </c>
      <c r="G35" s="54">
        <f>G31*0.3</f>
        <v>2520</v>
      </c>
      <c r="H35" s="54">
        <f>H31*0.3</f>
        <v>2520</v>
      </c>
      <c r="I35" s="54"/>
      <c r="J35" s="54">
        <f>J31*0.3</f>
        <v>2520</v>
      </c>
      <c r="K35" s="54">
        <f>K31*0.3</f>
        <v>2520</v>
      </c>
      <c r="L35" s="54">
        <f>L31*0.3</f>
        <v>2520</v>
      </c>
      <c r="M35" s="54"/>
      <c r="N35" s="54">
        <f>N31*0.3</f>
        <v>2520</v>
      </c>
      <c r="O35" s="54">
        <f>O31*0.3</f>
        <v>2520</v>
      </c>
      <c r="P35" s="54">
        <f>P31*0.3</f>
        <v>2520</v>
      </c>
      <c r="Q35" s="54"/>
      <c r="R35" s="35"/>
    </row>
    <row r="36" spans="1:20">
      <c r="A36" s="39" t="s">
        <v>53</v>
      </c>
      <c r="B36" s="77">
        <f>IF(B34&lt;80%,0,IF(B34&lt;90%,0.5,IF(B34&lt;95%,0.75,1)))</f>
        <v>1</v>
      </c>
      <c r="C36" s="77">
        <f t="shared" ref="C36:P36" si="9">IF(C34&lt;80%,0,IF(C34&lt;90%,0.5,IF(C34&lt;95%,0.75,1)))</f>
        <v>0.75</v>
      </c>
      <c r="D36" s="77">
        <f t="shared" si="9"/>
        <v>0.75</v>
      </c>
      <c r="E36" s="77"/>
      <c r="F36" s="77">
        <f t="shared" si="9"/>
        <v>0.75</v>
      </c>
      <c r="G36" s="77">
        <f t="shared" si="9"/>
        <v>0.75</v>
      </c>
      <c r="H36" s="77">
        <f>IF(H34&lt;80%,0,IF(H34&lt;90%,0.5,IF(H34&lt;95%,0.75,1)))</f>
        <v>0.75</v>
      </c>
      <c r="I36" s="77"/>
      <c r="J36" s="77">
        <f t="shared" si="9"/>
        <v>0.75</v>
      </c>
      <c r="K36" s="77">
        <f t="shared" si="9"/>
        <v>0.75</v>
      </c>
      <c r="L36" s="77">
        <f t="shared" si="9"/>
        <v>0.75</v>
      </c>
      <c r="M36" s="77"/>
      <c r="N36" s="77">
        <f t="shared" si="9"/>
        <v>0.75</v>
      </c>
      <c r="O36" s="77">
        <f t="shared" si="9"/>
        <v>0.75</v>
      </c>
      <c r="P36" s="77">
        <f t="shared" si="9"/>
        <v>0.75</v>
      </c>
      <c r="Q36" s="77"/>
      <c r="R36" s="32"/>
    </row>
    <row r="37" spans="1:20">
      <c r="A37" s="55" t="s">
        <v>54</v>
      </c>
      <c r="B37" s="75">
        <f>B36*B35</f>
        <v>2400</v>
      </c>
      <c r="C37" s="75">
        <f t="shared" ref="C37:P37" si="10">C36*C35</f>
        <v>1890</v>
      </c>
      <c r="D37" s="75">
        <f t="shared" si="10"/>
        <v>1890</v>
      </c>
      <c r="E37" s="75"/>
      <c r="F37" s="75">
        <f t="shared" si="10"/>
        <v>1890</v>
      </c>
      <c r="G37" s="75">
        <f t="shared" si="10"/>
        <v>1890</v>
      </c>
      <c r="H37" s="75">
        <f t="shared" si="10"/>
        <v>1890</v>
      </c>
      <c r="I37" s="75"/>
      <c r="J37" s="75">
        <f t="shared" si="10"/>
        <v>1890</v>
      </c>
      <c r="K37" s="75">
        <f t="shared" si="10"/>
        <v>1890</v>
      </c>
      <c r="L37" s="75">
        <f t="shared" si="10"/>
        <v>1890</v>
      </c>
      <c r="M37" s="75"/>
      <c r="N37" s="75">
        <f t="shared" si="10"/>
        <v>1890</v>
      </c>
      <c r="O37" s="75">
        <f t="shared" si="10"/>
        <v>1890</v>
      </c>
      <c r="P37" s="75">
        <f t="shared" si="10"/>
        <v>1890</v>
      </c>
      <c r="Q37" s="75"/>
      <c r="R37" s="56"/>
    </row>
    <row r="38" spans="1:20" s="42" customFormat="1" ht="15" customHeight="1">
      <c r="A38" s="52" t="s">
        <v>67</v>
      </c>
      <c r="B38" s="79">
        <f>B37</f>
        <v>2400</v>
      </c>
      <c r="C38" s="79">
        <f>C37</f>
        <v>1890</v>
      </c>
      <c r="D38" s="79">
        <f>D37</f>
        <v>1890</v>
      </c>
      <c r="E38" s="79"/>
      <c r="F38" s="79">
        <f>F37</f>
        <v>1890</v>
      </c>
      <c r="G38" s="79">
        <f>G37</f>
        <v>1890</v>
      </c>
      <c r="H38" s="79">
        <f>H37</f>
        <v>1890</v>
      </c>
      <c r="I38" s="79"/>
      <c r="J38" s="79">
        <f>J37</f>
        <v>1890</v>
      </c>
      <c r="K38" s="79">
        <f>K37</f>
        <v>1890</v>
      </c>
      <c r="L38" s="79">
        <f>L37</f>
        <v>1890</v>
      </c>
      <c r="M38" s="79"/>
      <c r="N38" s="79">
        <f>N37</f>
        <v>1890</v>
      </c>
      <c r="O38" s="79">
        <f>O37</f>
        <v>1890</v>
      </c>
      <c r="P38" s="79">
        <f>P37</f>
        <v>1890</v>
      </c>
      <c r="Q38" s="79"/>
      <c r="R38" s="53"/>
      <c r="T38" s="16"/>
    </row>
    <row r="39" spans="1:20" ht="13.8" thickBo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1"/>
    </row>
    <row r="40" spans="1:20" ht="13.8" thickBot="1">
      <c r="A40" s="391" t="s">
        <v>96</v>
      </c>
      <c r="B40" s="402" t="s">
        <v>1</v>
      </c>
      <c r="C40" s="402" t="s">
        <v>2</v>
      </c>
      <c r="D40" s="402" t="s">
        <v>3</v>
      </c>
      <c r="E40" s="400" t="s">
        <v>98</v>
      </c>
      <c r="F40" s="402" t="s">
        <v>4</v>
      </c>
      <c r="G40" s="402" t="s">
        <v>5</v>
      </c>
      <c r="H40" s="402" t="s">
        <v>6</v>
      </c>
      <c r="I40" s="400" t="s">
        <v>98</v>
      </c>
      <c r="J40" s="402" t="s">
        <v>7</v>
      </c>
      <c r="K40" s="402" t="s">
        <v>8</v>
      </c>
      <c r="L40" s="402" t="s">
        <v>9</v>
      </c>
      <c r="M40" s="400" t="s">
        <v>98</v>
      </c>
      <c r="N40" s="402" t="s">
        <v>97</v>
      </c>
      <c r="O40" s="402" t="s">
        <v>11</v>
      </c>
      <c r="P40" s="403" t="s">
        <v>12</v>
      </c>
      <c r="Q40" s="400" t="s">
        <v>98</v>
      </c>
      <c r="R40" s="400" t="s">
        <v>98</v>
      </c>
    </row>
    <row r="41" spans="1:20" ht="13.8" thickTop="1">
      <c r="A41" s="392" t="s">
        <v>99</v>
      </c>
      <c r="B41" s="165">
        <f>TOMEK!N37+MIRU!M17+'1'!N48+BARTEK!N37+PIOTR!N37+KRZYSZTOF!N37+'0'!N48</f>
        <v>2</v>
      </c>
      <c r="C41" s="165">
        <f>TOMEK!O37+MIRU!N17+'1'!O48+BARTEK!O37+PIOTR!O37+KRZYSZTOF!O37+'0'!O48</f>
        <v>6</v>
      </c>
      <c r="D41" s="165">
        <f>TOMEK!P37+MIRU!O17+'1'!P48+BARTEK!P37+PIOTR!P37+KRZYSZTOF!P37+'0'!P48</f>
        <v>4</v>
      </c>
      <c r="E41" s="401">
        <f>SUM(B41:D41)</f>
        <v>12</v>
      </c>
      <c r="F41" s="165">
        <f>TOMEK!J37+MIRU!J17+'1'!J48+BARTEK!J37+PIOTR!J37+KRZYSZTOF!J37+'0'!J48</f>
        <v>2</v>
      </c>
      <c r="G41" s="165">
        <f>TOMEK!K37+MIRU!K17+'1'!K48+BARTEK!K37+PIOTR!K37+KRZYSZTOF!K37+'0'!K48</f>
        <v>3</v>
      </c>
      <c r="H41" s="165">
        <f>TOMEK!L37+MIRU!L17+'1'!L48+BARTEK!L37+PIOTR!L37+KRZYSZTOF!L37+'0'!L48</f>
        <v>1</v>
      </c>
      <c r="I41" s="401">
        <f>SUM(F41:H41)</f>
        <v>6</v>
      </c>
      <c r="J41" s="165">
        <f>TOMEK!F37+MIRU!F17+'1'!F48+BARTEK!F37+PIOTR!F37+KRZYSZTOF!F37+'0'!F48</f>
        <v>12</v>
      </c>
      <c r="K41" s="165">
        <f>TOMEK!G37+MIRU!G17+'1'!G48+BARTEK!G37+PIOTR!G37+KRZYSZTOF!G37+'0'!G48</f>
        <v>1</v>
      </c>
      <c r="L41" s="165">
        <f>TOMEK!H37+MIRU!H17+'1'!H48+BARTEK!H37+PIOTR!H37+KRZYSZTOF!H37+'0'!H48</f>
        <v>3</v>
      </c>
      <c r="M41" s="401">
        <f>SUM(J41:L41)</f>
        <v>16</v>
      </c>
      <c r="N41" s="165">
        <f>TOMEK!B37+MIRU!B17+'1'!B48+BARTEK!B37+PIOTR!B37+KRZYSZTOF!B37+'0'!B48</f>
        <v>7</v>
      </c>
      <c r="O41" s="165">
        <f>TOMEK!C37+MIRU!C17+'1'!C48+BARTEK!C37+PIOTR!C37+KRZYSZTOF!C37+'0'!C48</f>
        <v>4</v>
      </c>
      <c r="P41" s="165">
        <f>TOMEK!D37+MIRU!D17+'1'!D48+BARTEK!D37+PIOTR!D37+KRZYSZTOF!D37+'0'!D48</f>
        <v>4</v>
      </c>
      <c r="Q41" s="401">
        <f>SUM(N41:P41)</f>
        <v>15</v>
      </c>
      <c r="R41" s="401">
        <f>Q41+M41+I41+E41</f>
        <v>49</v>
      </c>
      <c r="T41" s="65"/>
    </row>
    <row r="42" spans="1:20">
      <c r="A42" s="393" t="s">
        <v>100</v>
      </c>
      <c r="B42" s="165">
        <f>TOMEK!N38+MIRU!M18+'1'!N49+BARTEK!N38+PIOTR!N38+KRZYSZTOF!N38+'0'!N49</f>
        <v>748</v>
      </c>
      <c r="C42" s="165">
        <f>TOMEK!O38+MIRU!N18+'1'!O49+BARTEK!O38+PIOTR!O38+KRZYSZTOF!O38+'0'!O49</f>
        <v>767</v>
      </c>
      <c r="D42" s="165">
        <f>TOMEK!P38+MIRU!O18+'1'!P49+BARTEK!P38+PIOTR!P38+KRZYSZTOF!P38+'0'!P49</f>
        <v>776</v>
      </c>
      <c r="E42" s="207"/>
      <c r="F42" s="165">
        <f>TOMEK!J38+MIRU!J18+'1'!J49+BARTEK!J38+PIOTR!J38+KRZYSZTOF!J38+'0'!J49</f>
        <v>786</v>
      </c>
      <c r="G42" s="165">
        <f>TOMEK!K38+MIRU!K18+'1'!K49+BARTEK!K38+PIOTR!K38+KRZYSZTOF!K38+'0'!K49</f>
        <v>797</v>
      </c>
      <c r="H42" s="165">
        <f>TOMEK!L38+MIRU!L18+'1'!L49+BARTEK!L38+PIOTR!L38+KRZYSZTOF!L38+'0'!L49</f>
        <v>806</v>
      </c>
      <c r="I42" s="207"/>
      <c r="J42" s="165">
        <f>TOMEK!F38+MIRU!F18+'1'!F49+BARTEK!F38+PIOTR!F38+KRZYSZTOF!F38+'0'!F49</f>
        <v>830</v>
      </c>
      <c r="K42" s="165">
        <f>TOMEK!G38+MIRU!G18+'1'!G49+BARTEK!G38+PIOTR!G38+KRZYSZTOF!G38+'0'!G49</f>
        <v>835</v>
      </c>
      <c r="L42" s="165">
        <f>TOMEK!H38+MIRU!H18+'1'!H49+BARTEK!H38+PIOTR!H38+KRZYSZTOF!H38+'0'!H49</f>
        <v>845</v>
      </c>
      <c r="M42" s="207"/>
      <c r="N42" s="165">
        <f>TOMEK!B38+MIRU!B18+'1'!B49+BARTEK!B38+PIOTR!B38+KRZYSZTOF!B38+'0'!B49</f>
        <v>861</v>
      </c>
      <c r="O42" s="165">
        <f>TOMEK!C38+MIRU!C18+'1'!C49+BARTEK!C38+PIOTR!C38+KRZYSZTOF!C38+'0'!C49</f>
        <v>874</v>
      </c>
      <c r="P42" s="165">
        <f>TOMEK!D38+MIRU!D18+'1'!D49+BARTEK!D38+PIOTR!D38+KRZYSZTOF!D38+'0'!D49</f>
        <v>881</v>
      </c>
      <c r="Q42" s="207"/>
      <c r="R42" s="207"/>
      <c r="T42" s="65"/>
    </row>
    <row r="43" spans="1:20">
      <c r="A43" s="393" t="s">
        <v>101</v>
      </c>
      <c r="B43" s="165">
        <f>TOMEK!N39+MIRU!M19+'1'!N50+BARTEK!N39+PIOTR!N39+KRZYSZTOF!N39+'0'!N50</f>
        <v>108</v>
      </c>
      <c r="C43" s="165">
        <f>TOMEK!O39+MIRU!N19+'1'!O50+BARTEK!O39+PIOTR!O39+KRZYSZTOF!O39+'0'!O50</f>
        <v>107</v>
      </c>
      <c r="D43" s="165">
        <f>TOMEK!P39+MIRU!O19+'1'!P50+BARTEK!P39+PIOTR!P39+KRZYSZTOF!P39+'0'!P50</f>
        <v>104</v>
      </c>
      <c r="E43" s="207"/>
      <c r="F43" s="165">
        <f>TOMEK!J39+MIRU!J19+'1'!J50+BARTEK!J39+PIOTR!J39+KRZYSZTOF!J39+'0'!J50</f>
        <v>103</v>
      </c>
      <c r="G43" s="165">
        <f>TOMEK!K39+MIRU!K19+'1'!K50+BARTEK!K39+PIOTR!K39+KRZYSZTOF!K39+'0'!K50</f>
        <v>108</v>
      </c>
      <c r="H43" s="165">
        <f>TOMEK!L39+MIRU!L19+'1'!L50+BARTEK!L39+PIOTR!L39+KRZYSZTOF!L39+'0'!L50</f>
        <v>115</v>
      </c>
      <c r="I43" s="207"/>
      <c r="J43" s="165">
        <f>TOMEK!F39+MIRU!F19+'1'!F50+BARTEK!F39+PIOTR!F39+KRZYSZTOF!F39+'0'!F50</f>
        <v>111</v>
      </c>
      <c r="K43" s="165">
        <f>TOMEK!G39+MIRU!G19+'1'!G50+BARTEK!G39+PIOTR!G39+KRZYSZTOF!G39+'0'!G50</f>
        <v>110</v>
      </c>
      <c r="L43" s="165">
        <f>TOMEK!H39+MIRU!H19+'1'!H50+BARTEK!H39+PIOTR!H39+KRZYSZTOF!H39+'0'!H50</f>
        <v>104</v>
      </c>
      <c r="M43" s="207"/>
      <c r="N43" s="165">
        <f>TOMEK!B39+MIRU!B19+'1'!B50+BARTEK!B39+PIOTR!B39+KRZYSZTOF!B39+'0'!B50</f>
        <v>92</v>
      </c>
      <c r="O43" s="165">
        <f>TOMEK!C39+MIRU!C19+'1'!C50+BARTEK!C39+PIOTR!C39+KRZYSZTOF!C39+'0'!C50</f>
        <v>90</v>
      </c>
      <c r="P43" s="165">
        <f>TOMEK!D39+MIRU!D19+'1'!D50+BARTEK!D39+PIOTR!D39+KRZYSZTOF!D39+'0'!D50</f>
        <v>90</v>
      </c>
      <c r="Q43" s="207"/>
      <c r="R43" s="207"/>
      <c r="T43" s="65"/>
    </row>
    <row r="44" spans="1:20">
      <c r="A44" s="393" t="s">
        <v>135</v>
      </c>
      <c r="B44" s="165">
        <f>TOMEK!N40+MIRU!M20+'1'!N51+BARTEK!N40+PIOTR!N40+KRZYSZTOF!N40+'0'!N51</f>
        <v>772</v>
      </c>
      <c r="C44" s="165">
        <f>TOMEK!O40+MIRU!N20+'1'!O51+BARTEK!O40+PIOTR!O40+KRZYSZTOF!O40+'0'!O51</f>
        <v>763</v>
      </c>
      <c r="D44" s="165">
        <f>TOMEK!P40+MIRU!O20+'1'!P51+BARTEK!P40+PIOTR!P40+KRZYSZTOF!P40+'0'!P51</f>
        <v>763</v>
      </c>
      <c r="E44" s="207"/>
      <c r="F44" s="165">
        <f>TOMEK!J40+MIRU!J20+'1'!J51+BARTEK!J40+PIOTR!J40+KRZYSZTOF!J40+'0'!J51</f>
        <v>774</v>
      </c>
      <c r="G44" s="165">
        <f>TOMEK!K40+MIRU!K20+'1'!K51+BARTEK!K40+PIOTR!K40+KRZYSZTOF!K40+'0'!K51</f>
        <v>772</v>
      </c>
      <c r="H44" s="165">
        <f>TOMEK!L40+MIRU!L20+'1'!L51+BARTEK!L40+PIOTR!L40+KRZYSZTOF!L40+'0'!L51</f>
        <v>770</v>
      </c>
      <c r="I44" s="207"/>
      <c r="J44" s="165">
        <f>TOMEK!F40+MIRU!F20+'1'!F51+BARTEK!F40+PIOTR!F40+KRZYSZTOF!F40+'0'!F51</f>
        <v>761</v>
      </c>
      <c r="K44" s="165">
        <f>TOMEK!G40+MIRU!G20+'1'!G51+BARTEK!G40+PIOTR!G40+KRZYSZTOF!G40+'0'!G51</f>
        <v>760</v>
      </c>
      <c r="L44" s="165">
        <f>TOMEK!H40+MIRU!H20+'1'!H51+BARTEK!H40+PIOTR!H40+KRZYSZTOF!H40+'0'!H51</f>
        <v>756</v>
      </c>
      <c r="M44" s="207"/>
      <c r="N44" s="165">
        <f>TOMEK!B40+MIRU!B20+'1'!B51+BARTEK!B40+PIOTR!B40+KRZYSZTOF!B40+'0'!B51</f>
        <v>735</v>
      </c>
      <c r="O44" s="165">
        <f>TOMEK!C40+MIRU!C20+'1'!C51+BARTEK!C40+PIOTR!C40+KRZYSZTOF!C40+'0'!C51</f>
        <v>726</v>
      </c>
      <c r="P44" s="165">
        <f>TOMEK!D40+MIRU!D20+'1'!D51+BARTEK!D40+PIOTR!D40+KRZYSZTOF!D40+'0'!D51</f>
        <v>724</v>
      </c>
      <c r="Q44" s="207"/>
      <c r="R44" s="207"/>
      <c r="T44" s="65"/>
    </row>
    <row r="45" spans="1:20">
      <c r="A45" s="393" t="s">
        <v>102</v>
      </c>
      <c r="B45" s="404">
        <f>TOMEK!N41+MIRU!M21+'1'!N52+BARTEK!N41+PIOTR!N41+KRZYSZTOF!N41+'0'!N52</f>
        <v>1628</v>
      </c>
      <c r="C45" s="404">
        <f>TOMEK!O41+MIRU!N21+'1'!O52+BARTEK!O41+PIOTR!O41+KRZYSZTOF!O41+'0'!O52</f>
        <v>1637</v>
      </c>
      <c r="D45" s="404">
        <f>TOMEK!P41+MIRU!O21+'1'!P52+BARTEK!P41+PIOTR!P41+KRZYSZTOF!P41+'0'!P52</f>
        <v>1643</v>
      </c>
      <c r="E45" s="401"/>
      <c r="F45" s="404">
        <f>TOMEK!J41+MIRU!J21+'1'!J52+BARTEK!J41+PIOTR!J41+KRZYSZTOF!J41+'0'!J52</f>
        <v>1663</v>
      </c>
      <c r="G45" s="404">
        <f>TOMEK!K41+MIRU!K21+'1'!K52+BARTEK!K41+PIOTR!K41+KRZYSZTOF!K41+'0'!K52</f>
        <v>1677</v>
      </c>
      <c r="H45" s="404">
        <f>TOMEK!L41+MIRU!L21+'1'!L52+BARTEK!L41+PIOTR!L41+KRZYSZTOF!L41+'0'!L52</f>
        <v>1691</v>
      </c>
      <c r="I45" s="401"/>
      <c r="J45" s="404">
        <f t="shared" ref="J45:N45" si="11">SUM(J43:J44)</f>
        <v>872</v>
      </c>
      <c r="K45" s="404">
        <f t="shared" ref="K45:L45" si="12">SUM(K43:K44)</f>
        <v>870</v>
      </c>
      <c r="L45" s="404">
        <f t="shared" si="12"/>
        <v>860</v>
      </c>
      <c r="M45" s="401"/>
      <c r="N45" s="404">
        <f t="shared" si="11"/>
        <v>827</v>
      </c>
      <c r="O45" s="404">
        <f t="shared" ref="O45:P45" si="13">SUM(O43:O44)</f>
        <v>816</v>
      </c>
      <c r="P45" s="404">
        <f t="shared" si="13"/>
        <v>814</v>
      </c>
      <c r="Q45" s="401"/>
      <c r="R45" s="401"/>
      <c r="T45" s="65"/>
    </row>
    <row r="46" spans="1:20" ht="13.8" thickBot="1">
      <c r="A46" s="394" t="s">
        <v>103</v>
      </c>
      <c r="B46" s="165">
        <f>TOMEK!N42+MIRU!M22+'1'!N53+BARTEK!N42+PIOTR!N42+KRZYSZTOF!N42+'0'!N53</f>
        <v>11</v>
      </c>
      <c r="C46" s="165">
        <f>TOMEK!O42+MIRU!N22+'1'!O53+BARTEK!O42+PIOTR!O42+KRZYSZTOF!O42+'0'!O53</f>
        <v>16</v>
      </c>
      <c r="D46" s="165">
        <f>TOMEK!P42+MIRU!O22+'1'!P53+BARTEK!P42+PIOTR!P42+KRZYSZTOF!P42+'0'!P53</f>
        <v>11</v>
      </c>
      <c r="E46" s="401">
        <f t="shared" ref="E46:E47" si="14">SUM(B46:D46)</f>
        <v>38</v>
      </c>
      <c r="F46" s="165">
        <f>TOMEK!J42+MIRU!J22+'1'!J53+BARTEK!J42+PIOTR!J42+KRZYSZTOF!J42+'0'!J53</f>
        <v>10</v>
      </c>
      <c r="G46" s="165">
        <f>TOMEK!K42+MIRU!K22+'1'!K53+BARTEK!K42+PIOTR!K42+KRZYSZTOF!K42+'0'!K53</f>
        <v>5</v>
      </c>
      <c r="H46" s="165">
        <f>TOMEK!L42+MIRU!L22+'1'!L53+BARTEK!L42+PIOTR!L42+KRZYSZTOF!L42+'0'!L53</f>
        <v>12</v>
      </c>
      <c r="I46" s="401">
        <f t="shared" ref="I46:I47" si="15">SUM(F46:H46)</f>
        <v>27</v>
      </c>
      <c r="J46" s="165">
        <f>TOMEK!F42+MIRU!F22+'1'!F53+BARTEK!F42+PIOTR!F42+KRZYSZTOF!F42+'0'!F53</f>
        <v>22</v>
      </c>
      <c r="K46" s="165">
        <f>TOMEK!G42+MIRU!G22+'1'!G53+BARTEK!G42+PIOTR!G42+KRZYSZTOF!G42+'0'!G53</f>
        <v>29</v>
      </c>
      <c r="L46" s="165">
        <f>TOMEK!H42+MIRU!H22+'1'!H53+BARTEK!H42+PIOTR!H42+KRZYSZTOF!H42+'0'!H53</f>
        <v>14</v>
      </c>
      <c r="M46" s="401">
        <f t="shared" ref="M46:M47" si="16">SUM(J46:L46)</f>
        <v>65</v>
      </c>
      <c r="N46" s="165">
        <f>TOMEK!B42+MIRU!B22+'1'!B53+BARTEK!B42+PIOTR!B42+KRZYSZTOF!B42+'0'!B53</f>
        <v>8</v>
      </c>
      <c r="O46" s="165">
        <f>TOMEK!C42+MIRU!C22+'1'!C53+BARTEK!C42+PIOTR!C42+KRZYSZTOF!C42+'0'!C53</f>
        <v>25</v>
      </c>
      <c r="P46" s="165">
        <f>TOMEK!D42+MIRU!D22+'1'!D53+BARTEK!D42+PIOTR!D42+KRZYSZTOF!D42+'0'!D53</f>
        <v>11</v>
      </c>
      <c r="Q46" s="401">
        <f t="shared" ref="Q46:Q47" si="17">SUM(N46:P46)</f>
        <v>44</v>
      </c>
      <c r="R46" s="401">
        <f>Q46+M46+I46+E46</f>
        <v>174</v>
      </c>
      <c r="T46" s="65"/>
    </row>
    <row r="47" spans="1:20" ht="13.8" thickTop="1">
      <c r="A47" s="395" t="s">
        <v>136</v>
      </c>
      <c r="B47" s="165">
        <f>TOMEK!N43+MIRU!M23+'1'!N54+BARTEK!N43+PIOTR!N43+KRZYSZTOF!N43+'0'!N54</f>
        <v>104</v>
      </c>
      <c r="C47" s="165">
        <f>TOMEK!O43+MIRU!N23+'1'!O54+BARTEK!O43+PIOTR!O43+KRZYSZTOF!O43+'0'!O54</f>
        <v>167</v>
      </c>
      <c r="D47" s="165">
        <f>TOMEK!P43+MIRU!O23+'1'!P54+BARTEK!P43+PIOTR!P43+KRZYSZTOF!P43+'0'!P54</f>
        <v>143</v>
      </c>
      <c r="E47" s="401">
        <f t="shared" si="14"/>
        <v>414</v>
      </c>
      <c r="F47" s="165">
        <f>TOMEK!J43+MIRU!J23+'1'!J54+BARTEK!J43+PIOTR!J43+KRZYSZTOF!J43+'0'!J54</f>
        <v>117</v>
      </c>
      <c r="G47" s="165">
        <f>TOMEK!K43+MIRU!K23+'1'!K54+BARTEK!K43+PIOTR!K43+KRZYSZTOF!K43+'0'!K54</f>
        <v>87</v>
      </c>
      <c r="H47" s="165">
        <f>TOMEK!L43+MIRU!L23+'1'!L54+BARTEK!L43+PIOTR!L43+KRZYSZTOF!L43+'0'!L54</f>
        <v>124</v>
      </c>
      <c r="I47" s="401">
        <f t="shared" si="15"/>
        <v>328</v>
      </c>
      <c r="J47" s="165">
        <f>TOMEK!F43+MIRU!F23+'1'!F54+BARTEK!F43+PIOTR!F43+KRZYSZTOF!F43+'0'!F54</f>
        <v>100</v>
      </c>
      <c r="K47" s="165">
        <f>TOMEK!G43+MIRU!G23+'1'!G54+BARTEK!G43+PIOTR!G43+KRZYSZTOF!G43+'0'!G54</f>
        <v>92</v>
      </c>
      <c r="L47" s="165">
        <f>TOMEK!H43+MIRU!H23+'1'!H54+BARTEK!H43+PIOTR!H43+KRZYSZTOF!H43+'0'!H54</f>
        <v>123</v>
      </c>
      <c r="M47" s="401">
        <f t="shared" si="16"/>
        <v>315</v>
      </c>
      <c r="N47" s="165">
        <f>TOMEK!B43+MIRU!B23+'1'!B54+BARTEK!B43+PIOTR!B43+KRZYSZTOF!B43+'0'!B54</f>
        <v>116</v>
      </c>
      <c r="O47" s="165">
        <f>TOMEK!C43+MIRU!C23+'1'!C54+BARTEK!C43+PIOTR!C43+KRZYSZTOF!C43+'0'!C54</f>
        <v>114</v>
      </c>
      <c r="P47" s="165">
        <f>TOMEK!D43+MIRU!D23+'1'!D54+BARTEK!D43+PIOTR!D43+KRZYSZTOF!D43+'0'!D54</f>
        <v>103</v>
      </c>
      <c r="Q47" s="401">
        <f t="shared" si="17"/>
        <v>333</v>
      </c>
      <c r="R47" s="401">
        <f>Q47+M47+I47+E47</f>
        <v>1390</v>
      </c>
      <c r="T47" s="65"/>
    </row>
    <row r="48" spans="1:20">
      <c r="A48" s="393" t="s">
        <v>104</v>
      </c>
      <c r="B48" s="165">
        <f>TOMEK!N44+MIRU!M24+'1'!N55+BARTEK!N44+PIOTR!N44+KRZYSZTOF!N44+'0'!N55</f>
        <v>60</v>
      </c>
      <c r="C48" s="165">
        <f>TOMEK!O44+MIRU!N24+'1'!O55+BARTEK!O44+PIOTR!O44+KRZYSZTOF!O44+'0'!O55</f>
        <v>72</v>
      </c>
      <c r="D48" s="165">
        <f>TOMEK!P44+MIRU!O24+'1'!P55+BARTEK!P44+PIOTR!P44+KRZYSZTOF!P44+'0'!P55</f>
        <v>66</v>
      </c>
      <c r="E48" s="209"/>
      <c r="F48" s="165">
        <f>TOMEK!J44+MIRU!J24+'1'!J55+BARTEK!J44+PIOTR!J44+KRZYSZTOF!J44+'0'!J55</f>
        <v>50</v>
      </c>
      <c r="G48" s="165">
        <f>TOMEK!K44+MIRU!K24+'1'!K55+BARTEK!K44+PIOTR!K44+KRZYSZTOF!K44+'0'!K55</f>
        <v>48</v>
      </c>
      <c r="H48" s="165">
        <f>TOMEK!L44+MIRU!L24+'1'!L55+BARTEK!L44+PIOTR!L44+KRZYSZTOF!L44+'0'!L55</f>
        <v>52</v>
      </c>
      <c r="I48" s="209"/>
      <c r="J48" s="165">
        <f>TOMEK!F44+MIRU!F24+'1'!F55+BARTEK!F44+PIOTR!F44+KRZYSZTOF!F44+'0'!F55</f>
        <v>31</v>
      </c>
      <c r="K48" s="165">
        <f>TOMEK!G44+MIRU!G24+'1'!G55+BARTEK!G44+PIOTR!G44+KRZYSZTOF!G44+'0'!G55</f>
        <v>39</v>
      </c>
      <c r="L48" s="165">
        <f>TOMEK!H44+MIRU!H24+'1'!H55+BARTEK!H44+PIOTR!H44+KRZYSZTOF!H44+'0'!H55</f>
        <v>47</v>
      </c>
      <c r="M48" s="209"/>
      <c r="N48" s="165">
        <f>TOMEK!B44+MIRU!B24+'1'!B55+BARTEK!B44+PIOTR!B44+KRZYSZTOF!B44+'0'!B55</f>
        <v>37</v>
      </c>
      <c r="O48" s="165">
        <f>TOMEK!C44+MIRU!C24+'1'!C55+BARTEK!C44+PIOTR!C44+KRZYSZTOF!C44+'0'!C55</f>
        <v>37</v>
      </c>
      <c r="P48" s="165">
        <f>TOMEK!D44+MIRU!D24+'1'!D55+BARTEK!D44+PIOTR!D44+KRZYSZTOF!D44+'0'!D55</f>
        <v>40</v>
      </c>
      <c r="Q48" s="209"/>
      <c r="R48" s="209"/>
      <c r="T48" s="65"/>
    </row>
    <row r="49" spans="1:20">
      <c r="A49" s="393" t="s">
        <v>105</v>
      </c>
      <c r="B49" s="165">
        <f>TOMEK!N45+MIRU!M25+'1'!N56+BARTEK!N45+PIOTR!N45+KRZYSZTOF!N45+'0'!N56</f>
        <v>38</v>
      </c>
      <c r="C49" s="165">
        <f>TOMEK!O45+MIRU!N25+'1'!O56+BARTEK!O45+PIOTR!O45+KRZYSZTOF!O45+'0'!O56</f>
        <v>97</v>
      </c>
      <c r="D49" s="165">
        <f>TOMEK!P45+MIRU!O25+'1'!P56+BARTEK!P45+PIOTR!P45+KRZYSZTOF!P45+'0'!P56</f>
        <v>77</v>
      </c>
      <c r="E49" s="401">
        <f t="shared" ref="E49:E53" si="18">SUM(B49:D49)</f>
        <v>212</v>
      </c>
      <c r="F49" s="165">
        <f>TOMEK!J45+MIRU!J25+'1'!J56+BARTEK!J45+PIOTR!J45+KRZYSZTOF!J45+'0'!J56</f>
        <v>79</v>
      </c>
      <c r="G49" s="165">
        <f>TOMEK!K45+MIRU!K25+'1'!K56+BARTEK!K45+PIOTR!K45+KRZYSZTOF!K45+'0'!K56</f>
        <v>43</v>
      </c>
      <c r="H49" s="165">
        <f>TOMEK!L45+MIRU!L25+'1'!L56+BARTEK!L45+PIOTR!L45+KRZYSZTOF!L45+'0'!L56</f>
        <v>53</v>
      </c>
      <c r="I49" s="401">
        <f t="shared" ref="I49:I53" si="19">SUM(F49:H49)</f>
        <v>175</v>
      </c>
      <c r="J49" s="165">
        <f>TOMEK!F45+MIRU!F25+'1'!F56+BARTEK!F45+PIOTR!F45+KRZYSZTOF!F45+'0'!F56</f>
        <v>57</v>
      </c>
      <c r="K49" s="165">
        <f>TOMEK!G45+MIRU!G25+'1'!G56+BARTEK!G45+PIOTR!G45+KRZYSZTOF!G45+'0'!G56</f>
        <v>47</v>
      </c>
      <c r="L49" s="165">
        <f>TOMEK!H45+MIRU!H25+'1'!H56+BARTEK!H45+PIOTR!H45+KRZYSZTOF!H45+'0'!H56</f>
        <v>66</v>
      </c>
      <c r="M49" s="401">
        <f t="shared" ref="M49:M53" si="20">SUM(J49:L49)</f>
        <v>170</v>
      </c>
      <c r="N49" s="165">
        <f>TOMEK!B45+MIRU!B25+'1'!B56+BARTEK!B45+PIOTR!B45+KRZYSZTOF!B45+'0'!B56</f>
        <v>75</v>
      </c>
      <c r="O49" s="165">
        <f>TOMEK!C45+MIRU!C25+'1'!C56+BARTEK!C45+PIOTR!C45+KRZYSZTOF!C45+'0'!C56</f>
        <v>59</v>
      </c>
      <c r="P49" s="165">
        <f>TOMEK!D45+MIRU!D25+'1'!D56+BARTEK!D45+PIOTR!D45+KRZYSZTOF!D45+'0'!D56</f>
        <v>65</v>
      </c>
      <c r="Q49" s="401">
        <f t="shared" ref="Q49:Q53" si="21">SUM(N49:P49)</f>
        <v>199</v>
      </c>
      <c r="R49" s="401">
        <f>Q49+M49+I49+E49</f>
        <v>756</v>
      </c>
      <c r="T49" s="65"/>
    </row>
    <row r="50" spans="1:20" ht="13.8" thickBot="1">
      <c r="A50" s="396" t="s">
        <v>106</v>
      </c>
      <c r="B50" s="165">
        <f>TOMEK!N46+MIRU!M26+'1'!N57+BARTEK!N46+PIOTR!N46+KRZYSZTOF!N46+'0'!N57</f>
        <v>47</v>
      </c>
      <c r="C50" s="165">
        <f>TOMEK!O46+MIRU!N26+'1'!O57+BARTEK!O46+PIOTR!O46+KRZYSZTOF!O46+'0'!O57</f>
        <v>52</v>
      </c>
      <c r="D50" s="165">
        <f>TOMEK!P46+MIRU!O26+'1'!P57+BARTEK!P46+PIOTR!P46+KRZYSZTOF!P46+'0'!P57</f>
        <v>80</v>
      </c>
      <c r="E50" s="401">
        <f t="shared" si="18"/>
        <v>179</v>
      </c>
      <c r="F50" s="165">
        <f>TOMEK!J46+MIRU!J26+'1'!J57+BARTEK!J46+PIOTR!J46+KRZYSZTOF!J46+'0'!J57</f>
        <v>55</v>
      </c>
      <c r="G50" s="165">
        <f>TOMEK!K46+MIRU!K26+'1'!K57+BARTEK!K46+PIOTR!K46+KRZYSZTOF!K46+'0'!K57</f>
        <v>42</v>
      </c>
      <c r="H50" s="165">
        <f>TOMEK!L46+MIRU!L26+'1'!L57+BARTEK!L46+PIOTR!L46+KRZYSZTOF!L46+'0'!L57</f>
        <v>62</v>
      </c>
      <c r="I50" s="401">
        <f t="shared" si="19"/>
        <v>159</v>
      </c>
      <c r="J50" s="165">
        <f>TOMEK!F46+MIRU!F26+'1'!F57+BARTEK!F46+PIOTR!F46+KRZYSZTOF!F46+'0'!F57</f>
        <v>68</v>
      </c>
      <c r="K50" s="165">
        <f>TOMEK!G46+MIRU!G26+'1'!G57+BARTEK!G46+PIOTR!G46+KRZYSZTOF!G46+'0'!G57</f>
        <v>37</v>
      </c>
      <c r="L50" s="165">
        <f>TOMEK!H46+MIRU!H26+'1'!H57+BARTEK!H46+PIOTR!H46+KRZYSZTOF!H46+'0'!H57</f>
        <v>53</v>
      </c>
      <c r="M50" s="401">
        <f t="shared" si="20"/>
        <v>158</v>
      </c>
      <c r="N50" s="165">
        <f>TOMEK!B46+MIRU!B26+'1'!B57+BARTEK!B46+PIOTR!B46+KRZYSZTOF!B46+'0'!B57</f>
        <v>51</v>
      </c>
      <c r="O50" s="165">
        <f>TOMEK!C46+MIRU!C26+'1'!C57+BARTEK!C46+PIOTR!C46+KRZYSZTOF!C46+'0'!C57</f>
        <v>59</v>
      </c>
      <c r="P50" s="165">
        <f>TOMEK!D46+MIRU!D26+'1'!D57+BARTEK!D46+PIOTR!D46+KRZYSZTOF!D46+'0'!D57</f>
        <v>39</v>
      </c>
      <c r="Q50" s="401">
        <f t="shared" si="21"/>
        <v>149</v>
      </c>
      <c r="R50" s="401">
        <f>Q50+M50+I50+E50</f>
        <v>645</v>
      </c>
      <c r="T50" s="65"/>
    </row>
    <row r="51" spans="1:20" ht="13.8" thickTop="1">
      <c r="A51" s="392" t="s">
        <v>193</v>
      </c>
      <c r="B51" s="165">
        <f>TOMEK!N47+MIRU!M27+'1'!N58+BARTEK!N47+PIOTR!N47+KRZYSZTOF!N47+'0'!N58</f>
        <v>27</v>
      </c>
      <c r="C51" s="165">
        <f>TOMEK!O47+MIRU!N27+'1'!O58+BARTEK!O47+PIOTR!O47+KRZYSZTOF!O47+'0'!O58</f>
        <v>16</v>
      </c>
      <c r="D51" s="165">
        <f>TOMEK!P47+MIRU!O27+'1'!P58+BARTEK!P47+PIOTR!P47+KRZYSZTOF!P47+'0'!P58</f>
        <v>12</v>
      </c>
      <c r="E51" s="401">
        <f t="shared" si="18"/>
        <v>55</v>
      </c>
      <c r="F51" s="165">
        <f>TOMEK!J47+MIRU!J27+'1'!J58+BARTEK!J47+PIOTR!J47+KRZYSZTOF!J47+'0'!J58</f>
        <v>9</v>
      </c>
      <c r="G51" s="165">
        <f>TOMEK!K47+MIRU!K27+'1'!K58+BARTEK!K47+PIOTR!K47+KRZYSZTOF!K47+'0'!K58</f>
        <v>7</v>
      </c>
      <c r="H51" s="165">
        <f>TOMEK!L47+MIRU!L27+'1'!L58+BARTEK!L47+PIOTR!L47+KRZYSZTOF!L47+'0'!L58</f>
        <v>13</v>
      </c>
      <c r="I51" s="401">
        <f t="shared" si="19"/>
        <v>29</v>
      </c>
      <c r="J51" s="165">
        <f>TOMEK!F47+MIRU!F27+'1'!F58+BARTEK!F47+PIOTR!F47+KRZYSZTOF!F47+'0'!F58</f>
        <v>17</v>
      </c>
      <c r="K51" s="165">
        <f>TOMEK!G47+MIRU!G27+'1'!G58+BARTEK!G47+PIOTR!G47+KRZYSZTOF!G47+'0'!G58</f>
        <v>6</v>
      </c>
      <c r="L51" s="165">
        <f>TOMEK!H47+MIRU!H27+'1'!H58+BARTEK!H47+PIOTR!H47+KRZYSZTOF!H47+'0'!H58</f>
        <v>5</v>
      </c>
      <c r="M51" s="401">
        <f t="shared" si="20"/>
        <v>28</v>
      </c>
      <c r="N51" s="165">
        <f>TOMEK!B47+MIRU!B27+'1'!B58+BARTEK!B47+PIOTR!B47+KRZYSZTOF!B47+'0'!B58</f>
        <v>10</v>
      </c>
      <c r="O51" s="165">
        <f>TOMEK!C47+MIRU!C27+'1'!C58+BARTEK!C47+PIOTR!C47+KRZYSZTOF!C47+'0'!C58</f>
        <v>10</v>
      </c>
      <c r="P51" s="165">
        <f>TOMEK!D47+MIRU!D27+'1'!D58+BARTEK!D47+PIOTR!D47+KRZYSZTOF!D47+'0'!D58</f>
        <v>9</v>
      </c>
      <c r="Q51" s="401">
        <f t="shared" si="21"/>
        <v>29</v>
      </c>
      <c r="R51" s="401">
        <f>Q51+M51+I51+E51</f>
        <v>141</v>
      </c>
      <c r="T51" s="65"/>
    </row>
    <row r="52" spans="1:20" ht="13.8" thickBot="1">
      <c r="A52" s="394" t="s">
        <v>107</v>
      </c>
      <c r="B52" s="165">
        <f>TOMEK!N48+MIRU!M28+'1'!N59+BARTEK!N48+PIOTR!N48+KRZYSZTOF!N48+'0'!N59</f>
        <v>0</v>
      </c>
      <c r="C52" s="165">
        <f>TOMEK!O48+MIRU!N28+'1'!O59+BARTEK!O48+PIOTR!O48+KRZYSZTOF!O48+'0'!O59</f>
        <v>0</v>
      </c>
      <c r="D52" s="165">
        <f>TOMEK!P48+MIRU!O28+'1'!P59+BARTEK!P48+PIOTR!P48+KRZYSZTOF!P48+'0'!P59</f>
        <v>1</v>
      </c>
      <c r="E52" s="401">
        <f t="shared" si="18"/>
        <v>1</v>
      </c>
      <c r="F52" s="165">
        <f>TOMEK!J48+MIRU!J28+'1'!J59+BARTEK!J48+PIOTR!J48+KRZYSZTOF!J48+'0'!J59</f>
        <v>0</v>
      </c>
      <c r="G52" s="165">
        <f>TOMEK!K48+MIRU!K28+'1'!K59+BARTEK!K48+PIOTR!K48+KRZYSZTOF!K48+'0'!K59</f>
        <v>0</v>
      </c>
      <c r="H52" s="165">
        <f>TOMEK!L48+MIRU!L28+'1'!L59+BARTEK!L48+PIOTR!L48+KRZYSZTOF!L48+'0'!L59</f>
        <v>1</v>
      </c>
      <c r="I52" s="401">
        <f t="shared" si="19"/>
        <v>1</v>
      </c>
      <c r="J52" s="165">
        <f>TOMEK!F48+MIRU!F28+'1'!F59+BARTEK!F48+PIOTR!F48+KRZYSZTOF!F48+'0'!F59</f>
        <v>0</v>
      </c>
      <c r="K52" s="165">
        <f>TOMEK!G48+MIRU!G28+'1'!G59+BARTEK!G48+PIOTR!G48+KRZYSZTOF!G48+'0'!G59</f>
        <v>0</v>
      </c>
      <c r="L52" s="165">
        <f>TOMEK!H48+MIRU!H28+'1'!H59+BARTEK!H48+PIOTR!H48+KRZYSZTOF!H48+'0'!H59</f>
        <v>0</v>
      </c>
      <c r="M52" s="401">
        <f t="shared" si="20"/>
        <v>0</v>
      </c>
      <c r="N52" s="165">
        <f>TOMEK!B48+MIRU!B28+'1'!B59+BARTEK!B48+PIOTR!B48+KRZYSZTOF!B48+'0'!B59</f>
        <v>1</v>
      </c>
      <c r="O52" s="165">
        <f>TOMEK!C48+MIRU!C28+'1'!C59+BARTEK!C48+PIOTR!C48+KRZYSZTOF!C48+'0'!C59</f>
        <v>0</v>
      </c>
      <c r="P52" s="165">
        <f>TOMEK!D48+MIRU!D28+'1'!D59+BARTEK!D48+PIOTR!D48+KRZYSZTOF!D48+'0'!D59</f>
        <v>0</v>
      </c>
      <c r="Q52" s="401">
        <f t="shared" si="21"/>
        <v>1</v>
      </c>
      <c r="R52" s="401">
        <f>Q52+M52+I52+E52</f>
        <v>3</v>
      </c>
      <c r="T52" s="65"/>
    </row>
    <row r="53" spans="1:20" ht="14.4" thickTop="1" thickBot="1">
      <c r="A53" s="394" t="s">
        <v>108</v>
      </c>
      <c r="B53" s="165">
        <f>TOMEK!N49+MIRU!M29+'1'!N60+BARTEK!N49+PIOTR!N49+KRZYSZTOF!N49+'0'!N60</f>
        <v>5</v>
      </c>
      <c r="C53" s="165">
        <f>TOMEK!O49+MIRU!N29+'1'!O60+BARTEK!O49+PIOTR!O49+KRZYSZTOF!O49+'0'!O60</f>
        <v>1</v>
      </c>
      <c r="D53" s="165">
        <f>TOMEK!P49+MIRU!O29+'1'!P60+BARTEK!P49+PIOTR!P49+KRZYSZTOF!P49+'0'!P60</f>
        <v>1</v>
      </c>
      <c r="E53" s="401">
        <f t="shared" si="18"/>
        <v>7</v>
      </c>
      <c r="F53" s="165">
        <f>TOMEK!J49+MIRU!J29+'1'!J60+BARTEK!J49+PIOTR!J49+KRZYSZTOF!J49+'0'!J60</f>
        <v>2</v>
      </c>
      <c r="G53" s="165">
        <f>TOMEK!K49+MIRU!K29+'1'!K60+BARTEK!K49+PIOTR!K49+KRZYSZTOF!K49+'0'!K60</f>
        <v>4</v>
      </c>
      <c r="H53" s="165">
        <f>TOMEK!L49+MIRU!L29+'1'!L60+BARTEK!L49+PIOTR!L49+KRZYSZTOF!L49+'0'!L60</f>
        <v>15</v>
      </c>
      <c r="I53" s="401">
        <f t="shared" si="19"/>
        <v>21</v>
      </c>
      <c r="J53" s="165">
        <f>TOMEK!F49+MIRU!F29+'1'!F60+BARTEK!F49+PIOTR!F49+KRZYSZTOF!F49+'0'!F60</f>
        <v>5</v>
      </c>
      <c r="K53" s="165">
        <f>TOMEK!G49+MIRU!G29+'1'!G60+BARTEK!G49+PIOTR!G49+KRZYSZTOF!G49+'0'!G60</f>
        <v>9</v>
      </c>
      <c r="L53" s="165">
        <f>TOMEK!H49+MIRU!H29+'1'!H60+BARTEK!H49+PIOTR!H49+KRZYSZTOF!H49+'0'!H60</f>
        <v>3</v>
      </c>
      <c r="M53" s="401">
        <f t="shared" si="20"/>
        <v>17</v>
      </c>
      <c r="N53" s="165">
        <f>TOMEK!B49+MIRU!B29+'1'!B60+BARTEK!B49+PIOTR!B49+KRZYSZTOF!B49+'0'!B60</f>
        <v>3</v>
      </c>
      <c r="O53" s="165">
        <f>TOMEK!C49+MIRU!C29+'1'!C60+BARTEK!C49+PIOTR!C49+KRZYSZTOF!C49+'0'!C60</f>
        <v>7</v>
      </c>
      <c r="P53" s="165">
        <f>TOMEK!D49+MIRU!D29+'1'!D60+BARTEK!D49+PIOTR!D49+KRZYSZTOF!D49+'0'!D60</f>
        <v>9</v>
      </c>
      <c r="Q53" s="401">
        <f t="shared" si="21"/>
        <v>19</v>
      </c>
      <c r="R53" s="401">
        <f>Q53+M53+I53+E53</f>
        <v>64</v>
      </c>
      <c r="T53" s="65"/>
    </row>
    <row r="54" spans="1:20" ht="13.8" thickTop="1">
      <c r="A54" s="397" t="s">
        <v>109</v>
      </c>
      <c r="B54" s="165">
        <f>TOMEK!N50+MIRU!M30+'1'!N61+BARTEK!N50+PIOTR!N50+KRZYSZTOF!N50+'0'!N61</f>
        <v>137</v>
      </c>
      <c r="C54" s="165">
        <f>TOMEK!O50+MIRU!N30+'1'!O61+BARTEK!O50+PIOTR!O50+KRZYSZTOF!O50+'0'!O61</f>
        <v>142</v>
      </c>
      <c r="D54" s="165">
        <f>TOMEK!P50+MIRU!O30+'1'!P61+BARTEK!P50+PIOTR!P50+KRZYSZTOF!P50+'0'!P61</f>
        <v>123</v>
      </c>
      <c r="E54" s="158"/>
      <c r="F54" s="165">
        <f>TOMEK!J50+MIRU!J30+'1'!J61+BARTEK!J50+PIOTR!J50+KRZYSZTOF!J50+'0'!J61</f>
        <v>123</v>
      </c>
      <c r="G54" s="165">
        <f>TOMEK!K50+MIRU!K30+'1'!K61+BARTEK!K50+PIOTR!K50+KRZYSZTOF!K50+'0'!K61</f>
        <v>128</v>
      </c>
      <c r="H54" s="165">
        <f>TOMEK!L50+MIRU!L30+'1'!L61+BARTEK!L50+PIOTR!L50+KRZYSZTOF!L50+'0'!L61</f>
        <v>124</v>
      </c>
      <c r="I54" s="158"/>
      <c r="J54" s="165">
        <f>TOMEK!F50+MIRU!F30+'1'!F61+BARTEK!F50+PIOTR!F50+KRZYSZTOF!F50+'0'!F61</f>
        <v>112</v>
      </c>
      <c r="K54" s="165">
        <f>TOMEK!G50+MIRU!G30+'1'!G61+BARTEK!G50+PIOTR!G50+KRZYSZTOF!G50+'0'!G61</f>
        <v>104</v>
      </c>
      <c r="L54" s="165">
        <f>TOMEK!H50+MIRU!H30+'1'!H61+BARTEK!H50+PIOTR!H50+KRZYSZTOF!H50+'0'!H61</f>
        <v>101</v>
      </c>
      <c r="M54" s="158"/>
      <c r="N54" s="165">
        <f>TOMEK!B50+MIRU!B30+'1'!B61+BARTEK!B50+PIOTR!B50+KRZYSZTOF!B50+'0'!B61</f>
        <v>97</v>
      </c>
      <c r="O54" s="165">
        <f>TOMEK!C50+MIRU!C30+'1'!C61+BARTEK!C50+PIOTR!C50+KRZYSZTOF!C50+'0'!C61</f>
        <v>99</v>
      </c>
      <c r="P54" s="165">
        <f>TOMEK!D50+MIRU!D30+'1'!D61+BARTEK!D50+PIOTR!D50+KRZYSZTOF!D50+'0'!D61</f>
        <v>116</v>
      </c>
      <c r="Q54" s="158"/>
      <c r="R54" s="158"/>
      <c r="T54" s="65">
        <f>SUM(N54:P56)</f>
        <v>490</v>
      </c>
    </row>
    <row r="55" spans="1:20">
      <c r="A55" s="398" t="s">
        <v>110</v>
      </c>
      <c r="B55" s="165">
        <f>TOMEK!N51+MIRU!M31+'1'!N62+BARTEK!N51+PIOTR!N51+KRZYSZTOF!N51+'0'!N62</f>
        <v>35</v>
      </c>
      <c r="C55" s="165">
        <f>TOMEK!O51+MIRU!N31+'1'!O62+BARTEK!O51+PIOTR!O51+KRZYSZTOF!O51+'0'!O62</f>
        <v>55</v>
      </c>
      <c r="D55" s="165">
        <f>TOMEK!P51+MIRU!O31+'1'!P62+BARTEK!P51+PIOTR!P51+KRZYSZTOF!P51+'0'!P62</f>
        <v>50</v>
      </c>
      <c r="E55" s="401">
        <f t="shared" ref="E55:E57" si="22">SUM(B55:D55)</f>
        <v>140</v>
      </c>
      <c r="F55" s="165">
        <f>TOMEK!J51+MIRU!J31+'1'!J62+BARTEK!J51+PIOTR!J51+KRZYSZTOF!J51+'0'!J62</f>
        <v>41</v>
      </c>
      <c r="G55" s="165">
        <f>TOMEK!K51+MIRU!K31+'1'!K62+BARTEK!K51+PIOTR!K51+KRZYSZTOF!K51+'0'!K62</f>
        <v>27</v>
      </c>
      <c r="H55" s="165">
        <f>TOMEK!L51+MIRU!L31+'1'!L62+BARTEK!L51+PIOTR!L51+KRZYSZTOF!L51+'0'!L62</f>
        <v>56</v>
      </c>
      <c r="I55" s="401">
        <f t="shared" ref="I55:I57" si="23">SUM(F55:H55)</f>
        <v>124</v>
      </c>
      <c r="J55" s="165">
        <f>TOMEK!F51+MIRU!F31+'1'!F62+BARTEK!F51+PIOTR!F51+KRZYSZTOF!F51+'0'!F62</f>
        <v>38</v>
      </c>
      <c r="K55" s="165">
        <f>TOMEK!G51+MIRU!G31+'1'!G62+BARTEK!G51+PIOTR!G51+KRZYSZTOF!G51+'0'!G62</f>
        <v>34</v>
      </c>
      <c r="L55" s="165">
        <f>TOMEK!H51+MIRU!H31+'1'!H62+BARTEK!H51+PIOTR!H51+KRZYSZTOF!H51+'0'!H62</f>
        <v>36</v>
      </c>
      <c r="M55" s="401">
        <f t="shared" ref="M55:M57" si="24">SUM(J55:L55)</f>
        <v>108</v>
      </c>
      <c r="N55" s="165">
        <f>TOMEK!B51+MIRU!B31+'1'!B62+BARTEK!B51+PIOTR!B51+KRZYSZTOF!B51+'0'!B62</f>
        <v>32</v>
      </c>
      <c r="O55" s="165">
        <f>TOMEK!C51+MIRU!C31+'1'!C62+BARTEK!C51+PIOTR!C51+KRZYSZTOF!C51+'0'!C62</f>
        <v>31</v>
      </c>
      <c r="P55" s="165">
        <f>TOMEK!D51+MIRU!D31+'1'!D62+BARTEK!D51+PIOTR!D51+KRZYSZTOF!D51+'0'!D62</f>
        <v>48</v>
      </c>
      <c r="Q55" s="401">
        <f t="shared" ref="Q55:Q57" si="25">SUM(N55:P55)</f>
        <v>111</v>
      </c>
      <c r="R55" s="401">
        <f>Q55+M55+I55+E55</f>
        <v>483</v>
      </c>
      <c r="S55" s="449">
        <f>R55/(R56+R55)</f>
        <v>0.64485981308411211</v>
      </c>
      <c r="T55" s="65"/>
    </row>
    <row r="56" spans="1:20">
      <c r="A56" s="398" t="s">
        <v>111</v>
      </c>
      <c r="B56" s="165">
        <f>TOMEK!N52+MIRU!M32+'1'!N63+BARTEK!N52+PIOTR!N52+KRZYSZTOF!N52+'0'!N63</f>
        <v>13</v>
      </c>
      <c r="C56" s="165">
        <f>TOMEK!O52+MIRU!N32+'1'!O63+BARTEK!O52+PIOTR!O52+KRZYSZTOF!O52+'0'!O63</f>
        <v>31</v>
      </c>
      <c r="D56" s="165">
        <f>TOMEK!P52+MIRU!O32+'1'!P63+BARTEK!P52+PIOTR!P52+KRZYSZTOF!P52+'0'!P63</f>
        <v>31</v>
      </c>
      <c r="E56" s="401">
        <f t="shared" si="22"/>
        <v>75</v>
      </c>
      <c r="F56" s="165">
        <f>TOMEK!J52+MIRU!J32+'1'!J63+BARTEK!J52+PIOTR!J52+KRZYSZTOF!J52+'0'!J63</f>
        <v>24</v>
      </c>
      <c r="G56" s="165">
        <f>TOMEK!K52+MIRU!K32+'1'!K63+BARTEK!K52+PIOTR!K52+KRZYSZTOF!K52+'0'!K63</f>
        <v>15</v>
      </c>
      <c r="H56" s="165">
        <f>TOMEK!L52+MIRU!L32+'1'!L63+BARTEK!L52+PIOTR!L52+KRZYSZTOF!L52+'0'!L63</f>
        <v>28</v>
      </c>
      <c r="I56" s="401">
        <f t="shared" si="23"/>
        <v>67</v>
      </c>
      <c r="J56" s="165">
        <f>TOMEK!F52+MIRU!F32+'1'!F63+BARTEK!F52+PIOTR!F52+KRZYSZTOF!F52+'0'!F63</f>
        <v>22</v>
      </c>
      <c r="K56" s="165">
        <f>TOMEK!G52+MIRU!G32+'1'!G63+BARTEK!G52+PIOTR!G52+KRZYSZTOF!G52+'0'!G63</f>
        <v>15</v>
      </c>
      <c r="L56" s="165">
        <f>TOMEK!H52+MIRU!H32+'1'!H63+BARTEK!H52+PIOTR!H52+KRZYSZTOF!H52+'0'!H63</f>
        <v>20</v>
      </c>
      <c r="M56" s="401">
        <f t="shared" si="24"/>
        <v>57</v>
      </c>
      <c r="N56" s="165">
        <f>TOMEK!B52+MIRU!B32+'1'!B63+BARTEK!B52+PIOTR!B52+KRZYSZTOF!B52+'0'!B63</f>
        <v>23</v>
      </c>
      <c r="O56" s="165">
        <f>TOMEK!C52+MIRU!C32+'1'!C63+BARTEK!C52+PIOTR!C52+KRZYSZTOF!C52+'0'!C63</f>
        <v>13</v>
      </c>
      <c r="P56" s="165">
        <f>TOMEK!D52+MIRU!D32+'1'!D63+BARTEK!D52+PIOTR!D52+KRZYSZTOF!D52+'0'!D63</f>
        <v>31</v>
      </c>
      <c r="Q56" s="401">
        <f t="shared" si="25"/>
        <v>67</v>
      </c>
      <c r="R56" s="401">
        <f>Q56+M56+I56+E56</f>
        <v>266</v>
      </c>
      <c r="S56" s="449">
        <f>R56/(R55+R56)</f>
        <v>0.35514018691588783</v>
      </c>
      <c r="T56" s="65"/>
    </row>
    <row r="57" spans="1:20">
      <c r="A57" s="398" t="s">
        <v>112</v>
      </c>
      <c r="B57" s="165">
        <f>TOMEK!N53+MIRU!M33+'1'!N64+BARTEK!N53+PIOTR!N53+KRZYSZTOF!N53+'0'!N64</f>
        <v>28</v>
      </c>
      <c r="C57" s="165">
        <f>TOMEK!O53+MIRU!N33+'1'!O64+BARTEK!O53+PIOTR!O53+KRZYSZTOF!O53+'0'!O64</f>
        <v>19</v>
      </c>
      <c r="D57" s="165">
        <f>TOMEK!P53+MIRU!O33+'1'!P64+BARTEK!P53+PIOTR!P53+KRZYSZTOF!P53+'0'!P64</f>
        <v>33</v>
      </c>
      <c r="E57" s="401">
        <f t="shared" si="22"/>
        <v>80</v>
      </c>
      <c r="F57" s="165">
        <f>TOMEK!J53+MIRU!J33+'1'!J64+BARTEK!J53+PIOTR!J53+KRZYSZTOF!J53+'0'!J64</f>
        <v>22</v>
      </c>
      <c r="G57" s="165">
        <f>TOMEK!K53+MIRU!K33+'1'!K64+BARTEK!K53+PIOTR!K53+KRZYSZTOF!K53+'0'!K64</f>
        <v>12</v>
      </c>
      <c r="H57" s="165">
        <f>TOMEK!L53+MIRU!L33+'1'!L64+BARTEK!L53+PIOTR!L53+KRZYSZTOF!L53+'0'!L64</f>
        <v>33</v>
      </c>
      <c r="I57" s="401">
        <f t="shared" si="23"/>
        <v>67</v>
      </c>
      <c r="J57" s="165">
        <f>TOMEK!F53+MIRU!F33+'1'!F64+BARTEK!F53+PIOTR!F53+KRZYSZTOF!F53+'0'!F64</f>
        <v>30</v>
      </c>
      <c r="K57" s="165">
        <f>TOMEK!G53+MIRU!G33+'1'!G64+BARTEK!G53+PIOTR!G53+KRZYSZTOF!G53+'0'!G64</f>
        <v>24</v>
      </c>
      <c r="L57" s="165">
        <f>TOMEK!H53+MIRU!H33+'1'!H64+BARTEK!H53+PIOTR!H53+KRZYSZTOF!H53+'0'!H64</f>
        <v>21</v>
      </c>
      <c r="M57" s="401">
        <f t="shared" si="24"/>
        <v>75</v>
      </c>
      <c r="N57" s="165">
        <f>TOMEK!B53+MIRU!B33+'1'!B64+BARTEK!B53+PIOTR!B53+KRZYSZTOF!B53+'0'!B64</f>
        <v>17</v>
      </c>
      <c r="O57" s="165">
        <f>TOMEK!C53+MIRU!C33+'1'!C64+BARTEK!C53+PIOTR!C53+KRZYSZTOF!C53+'0'!C64</f>
        <v>19</v>
      </c>
      <c r="P57" s="165">
        <f>TOMEK!D53+MIRU!D33+'1'!D64+BARTEK!D53+PIOTR!D53+KRZYSZTOF!D53+'0'!D64</f>
        <v>1</v>
      </c>
      <c r="Q57" s="401">
        <f t="shared" si="25"/>
        <v>37</v>
      </c>
      <c r="R57" s="401">
        <f>Q57+M57+I57+E57</f>
        <v>259</v>
      </c>
      <c r="S57" s="449">
        <f>R57/(R56+R57)</f>
        <v>0.49333333333333335</v>
      </c>
      <c r="T57" s="65"/>
    </row>
    <row r="58" spans="1:20" ht="13.8" thickBot="1">
      <c r="A58" s="399" t="s">
        <v>113</v>
      </c>
      <c r="B58" s="165">
        <f>TOMEK!N54+MIRU!M34+'1'!N65+BARTEK!N54+PIOTR!N54+KRZYSZTOF!N54+'0'!N65</f>
        <v>10</v>
      </c>
      <c r="C58" s="165">
        <f>TOMEK!O54+MIRU!N34+'1'!O65+BARTEK!O54+PIOTR!O54+KRZYSZTOF!O54+'0'!O65</f>
        <v>11</v>
      </c>
      <c r="D58" s="165">
        <f>TOMEK!P54+MIRU!O34+'1'!P65+BARTEK!P54+PIOTR!P54+KRZYSZTOF!P54+'0'!P65</f>
        <v>14</v>
      </c>
      <c r="E58" s="210"/>
      <c r="F58" s="165">
        <f>TOMEK!J54+MIRU!J34+'1'!J65+BARTEK!J54+PIOTR!J54+KRZYSZTOF!J54+'0'!J65</f>
        <v>14</v>
      </c>
      <c r="G58" s="165">
        <f>TOMEK!K54+MIRU!K34+'1'!K65+BARTEK!K54+PIOTR!K54+KRZYSZTOF!K54+'0'!K65</f>
        <v>14</v>
      </c>
      <c r="H58" s="165">
        <f>TOMEK!L54+MIRU!L34+'1'!L65+BARTEK!L54+PIOTR!L54+KRZYSZTOF!L54+'0'!L65</f>
        <v>13</v>
      </c>
      <c r="I58" s="210"/>
      <c r="J58" s="165">
        <f>TOMEK!F54+MIRU!F34+'1'!F65+BARTEK!F54+PIOTR!F54+KRZYSZTOF!F54+'0'!F65</f>
        <v>11</v>
      </c>
      <c r="K58" s="165">
        <f>TOMEK!G54+MIRU!G34+'1'!G65+BARTEK!G54+PIOTR!G54+KRZYSZTOF!G54+'0'!G65</f>
        <v>10</v>
      </c>
      <c r="L58" s="165">
        <f>TOMEK!H54+MIRU!H34+'1'!H65+BARTEK!H54+PIOTR!H54+KRZYSZTOF!H54+'0'!H65</f>
        <v>10</v>
      </c>
      <c r="M58" s="210"/>
      <c r="N58" s="165">
        <f>TOMEK!B54+MIRU!B34+'1'!B65+BARTEK!B54+PIOTR!B54+KRZYSZTOF!B54+'0'!B65</f>
        <v>9</v>
      </c>
      <c r="O58" s="165">
        <f>TOMEK!C54+MIRU!C34+'1'!C65+BARTEK!C54+PIOTR!C54+KRZYSZTOF!C54+'0'!C65</f>
        <v>7</v>
      </c>
      <c r="P58" s="165">
        <f>TOMEK!D54+MIRU!D34+'1'!D65+BARTEK!D54+PIOTR!D54+KRZYSZTOF!D54+'0'!D65</f>
        <v>6</v>
      </c>
      <c r="Q58" s="210"/>
      <c r="R58" s="210"/>
      <c r="T58" s="65"/>
    </row>
    <row r="59" spans="1:20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zoomScaleNormal="100" workbookViewId="0">
      <selection activeCell="P6" sqref="P6"/>
    </sheetView>
  </sheetViews>
  <sheetFormatPr defaultRowHeight="13.2"/>
  <cols>
    <col min="1" max="1" width="36" customWidth="1"/>
    <col min="2" max="2" width="11" style="522" customWidth="1"/>
    <col min="3" max="3" width="11.44140625" customWidth="1"/>
    <col min="4" max="4" width="11.33203125" style="522" bestFit="1" customWidth="1"/>
    <col min="5" max="5" width="11.5546875" customWidth="1"/>
    <col min="6" max="7" width="11.33203125" style="522" bestFit="1" customWidth="1"/>
    <col min="8" max="8" width="11.44140625" style="522" bestFit="1" customWidth="1"/>
    <col min="9" max="9" width="11.33203125" bestFit="1" customWidth="1"/>
    <col min="10" max="12" width="11.44140625" style="522" bestFit="1" customWidth="1"/>
    <col min="13" max="13" width="11.109375" bestFit="1" customWidth="1"/>
    <col min="14" max="15" width="11.44140625" style="727" bestFit="1" customWidth="1"/>
    <col min="16" max="16" width="12.109375" style="522" customWidth="1"/>
    <col min="17" max="17" width="11.109375" bestFit="1" customWidth="1"/>
    <col min="18" max="18" width="12.88671875" bestFit="1" customWidth="1"/>
  </cols>
  <sheetData>
    <row r="1" spans="1:18">
      <c r="A1" s="301"/>
      <c r="B1" s="779" t="s">
        <v>223</v>
      </c>
      <c r="C1" s="780"/>
      <c r="D1" s="780"/>
      <c r="E1" s="780"/>
      <c r="F1" s="780"/>
      <c r="G1" s="780"/>
      <c r="H1" s="780"/>
      <c r="I1" s="780"/>
      <c r="J1" s="780"/>
      <c r="K1" s="780"/>
      <c r="L1" s="780"/>
      <c r="M1" s="780"/>
      <c r="N1" s="780"/>
      <c r="O1" s="780"/>
      <c r="P1" s="780"/>
      <c r="Q1" s="780"/>
      <c r="R1" s="781"/>
    </row>
    <row r="2" spans="1:18" ht="13.8" thickBot="1">
      <c r="A2" s="302" t="s">
        <v>0</v>
      </c>
      <c r="B2" s="501" t="s">
        <v>1</v>
      </c>
      <c r="C2" s="303" t="s">
        <v>2</v>
      </c>
      <c r="D2" s="501" t="s">
        <v>3</v>
      </c>
      <c r="E2" s="303" t="s">
        <v>137</v>
      </c>
      <c r="F2" s="501" t="s">
        <v>4</v>
      </c>
      <c r="G2" s="501" t="s">
        <v>5</v>
      </c>
      <c r="H2" s="501" t="s">
        <v>6</v>
      </c>
      <c r="I2" s="303" t="s">
        <v>169</v>
      </c>
      <c r="J2" s="501" t="s">
        <v>7</v>
      </c>
      <c r="K2" s="501" t="s">
        <v>8</v>
      </c>
      <c r="L2" s="501" t="s">
        <v>9</v>
      </c>
      <c r="M2" s="385"/>
      <c r="N2" s="719" t="s">
        <v>10</v>
      </c>
      <c r="O2" s="719" t="s">
        <v>11</v>
      </c>
      <c r="P2" s="501" t="s">
        <v>12</v>
      </c>
      <c r="Q2" s="303"/>
      <c r="R2" s="303" t="s">
        <v>13</v>
      </c>
    </row>
    <row r="3" spans="1:18">
      <c r="A3" s="304" t="s">
        <v>219</v>
      </c>
      <c r="B3" s="502">
        <f>DH!B3</f>
        <v>322882.93719999999</v>
      </c>
      <c r="C3" s="305">
        <f>DH!C3</f>
        <v>292994.15209999995</v>
      </c>
      <c r="D3" s="502">
        <f>DH!D3</f>
        <v>273950.2145</v>
      </c>
      <c r="E3" s="305">
        <f>DH!E3</f>
        <v>889827.30379999988</v>
      </c>
      <c r="F3" s="502">
        <f>DH!F3</f>
        <v>241835.05220000001</v>
      </c>
      <c r="G3" s="502">
        <f>DH!G3</f>
        <v>185291.82400000002</v>
      </c>
      <c r="H3" s="502">
        <f>DH!H3</f>
        <v>232994.43259999997</v>
      </c>
      <c r="I3" s="305">
        <f>DH!I3</f>
        <v>660121.3088</v>
      </c>
      <c r="J3" s="502">
        <f>DH!J3</f>
        <v>278072.12209999998</v>
      </c>
      <c r="K3" s="502">
        <f>DH!K3</f>
        <v>214511.3676</v>
      </c>
      <c r="L3" s="502">
        <f>DH!L3</f>
        <v>245209.71260000003</v>
      </c>
      <c r="M3" s="305">
        <f>DH!M3</f>
        <v>737793.2023</v>
      </c>
      <c r="N3" s="735">
        <f>DH!N3</f>
        <v>323357.44770000002</v>
      </c>
      <c r="O3" s="735">
        <f>DH!O3</f>
        <v>229441.7506</v>
      </c>
      <c r="P3" s="735">
        <f>DH!P3</f>
        <v>272547.16109999997</v>
      </c>
      <c r="Q3" s="305">
        <f>DH!Q3</f>
        <v>825346.35939999996</v>
      </c>
      <c r="R3" s="305">
        <f>DH!R3</f>
        <v>3113088.1743000001</v>
      </c>
    </row>
    <row r="4" spans="1:18">
      <c r="A4" s="306" t="s">
        <v>221</v>
      </c>
      <c r="B4" s="503">
        <f>B3</f>
        <v>322882.93719999999</v>
      </c>
      <c r="C4" s="308">
        <f>C3+B4</f>
        <v>615877.08929999988</v>
      </c>
      <c r="D4" s="554">
        <f>D3+C4</f>
        <v>889827.30379999988</v>
      </c>
      <c r="E4" s="422"/>
      <c r="F4" s="503">
        <f>F3+D4</f>
        <v>1131662.3559999999</v>
      </c>
      <c r="G4" s="503">
        <f>G3+F4</f>
        <v>1316954.18</v>
      </c>
      <c r="H4" s="503">
        <f>H3+G4</f>
        <v>1549948.6125999999</v>
      </c>
      <c r="I4" s="308"/>
      <c r="J4" s="503">
        <f>J3+H4</f>
        <v>1828020.7346999999</v>
      </c>
      <c r="K4" s="503">
        <f>K3+J4</f>
        <v>2042532.1022999999</v>
      </c>
      <c r="L4" s="503">
        <f>L3+K4</f>
        <v>2287741.8149000001</v>
      </c>
      <c r="M4" s="308"/>
      <c r="N4" s="736">
        <f>N3+L4</f>
        <v>2611099.2626</v>
      </c>
      <c r="O4" s="736">
        <f>O3+N4</f>
        <v>2840541.0131999999</v>
      </c>
      <c r="P4" s="736">
        <f>P3+O4</f>
        <v>3113088.1743000001</v>
      </c>
      <c r="Q4" s="307"/>
      <c r="R4" s="309"/>
    </row>
    <row r="5" spans="1:18" ht="13.8" thickBot="1">
      <c r="A5" s="310" t="s">
        <v>224</v>
      </c>
      <c r="B5" s="504">
        <f>B9/B4-1</f>
        <v>-0.2603729237879342</v>
      </c>
      <c r="C5" s="386">
        <f>C9/C4-1</f>
        <v>-0.22895677733404496</v>
      </c>
      <c r="D5" s="504">
        <f>D9/D4-1</f>
        <v>-0.11752634118260896</v>
      </c>
      <c r="E5" s="386">
        <f>E8/E3-1</f>
        <v>-0.11752634118260896</v>
      </c>
      <c r="F5" s="504">
        <f>F9/F4-1</f>
        <v>-6.7765740543904607E-2</v>
      </c>
      <c r="G5" s="504">
        <f>G9/G4-1</f>
        <v>-2.5453529446254342E-3</v>
      </c>
      <c r="H5" s="504">
        <f>H9/H4-1</f>
        <v>2.3793866132204355E-2</v>
      </c>
      <c r="I5" s="386">
        <f>I8/I3-1</f>
        <v>0.21429003308065897</v>
      </c>
      <c r="J5" s="504">
        <f>J9/J4-1</f>
        <v>1.8172514824046582E-2</v>
      </c>
      <c r="K5" s="504">
        <f>K9/K4-1</f>
        <v>3.448997502691542E-2</v>
      </c>
      <c r="L5" s="504">
        <f>L9/L4-1</f>
        <v>3.3080617404944501E-2</v>
      </c>
      <c r="M5" s="386">
        <f>M8/M3-1</f>
        <v>5.2590132003172307E-2</v>
      </c>
      <c r="N5" s="734">
        <f>N9/N4-1</f>
        <v>4.2142124803954406E-3</v>
      </c>
      <c r="O5" s="734">
        <f>O9/O4-1</f>
        <v>2.3324871421363857E-2</v>
      </c>
      <c r="P5" s="734">
        <f>P9/P4-1</f>
        <v>4.5454738406765172E-2</v>
      </c>
      <c r="Q5" s="386">
        <f>Q8/Q3-1</f>
        <v>7.9754028294075852E-2</v>
      </c>
      <c r="R5" s="431">
        <f>R6/R3-1</f>
        <v>0.10950920970192457</v>
      </c>
    </row>
    <row r="6" spans="1:18" ht="13.8" thickBot="1">
      <c r="A6" s="311" t="s">
        <v>36</v>
      </c>
      <c r="B6" s="500">
        <f>DH!B6</f>
        <v>251350</v>
      </c>
      <c r="C6" s="312">
        <f>DH!C6</f>
        <v>274833.33333333331</v>
      </c>
      <c r="D6" s="500">
        <f>DH!D6</f>
        <v>309925</v>
      </c>
      <c r="E6" s="387">
        <f>SUM(B6:D6)</f>
        <v>836108.33333333326</v>
      </c>
      <c r="F6" s="500">
        <f>DH!F6</f>
        <v>300833.33333333331</v>
      </c>
      <c r="G6" s="500">
        <f>DH!G6</f>
        <v>302225</v>
      </c>
      <c r="H6" s="500">
        <f>DH!H6</f>
        <v>316616.66666666669</v>
      </c>
      <c r="I6" s="312">
        <f>SUM(F6:H6)</f>
        <v>919675</v>
      </c>
      <c r="J6" s="500">
        <f>DH!J6</f>
        <v>259050</v>
      </c>
      <c r="K6" s="500">
        <f>DH!K6</f>
        <v>259050</v>
      </c>
      <c r="L6" s="500">
        <f>DH!L6</f>
        <v>287833.33333333331</v>
      </c>
      <c r="M6" s="387">
        <f>SUM(J6:L6)</f>
        <v>805933.33333333326</v>
      </c>
      <c r="N6" s="720">
        <f>DH!N6</f>
        <v>302225</v>
      </c>
      <c r="O6" s="720">
        <f>DH!O6</f>
        <v>302225</v>
      </c>
      <c r="P6" s="500">
        <f>DH!P6</f>
        <v>287833.33333333331</v>
      </c>
      <c r="Q6" s="312">
        <f>SUM(N6:P6)</f>
        <v>892283.33333333326</v>
      </c>
      <c r="R6" s="313">
        <f>B6+C6+D6+F6+G6+H6+J6+K6+L6+N6+O6+P6</f>
        <v>3454000</v>
      </c>
    </row>
    <row r="7" spans="1:18">
      <c r="A7" s="314" t="s">
        <v>35</v>
      </c>
      <c r="B7" s="505">
        <f>B6</f>
        <v>251350</v>
      </c>
      <c r="C7" s="315">
        <f>C6+B7</f>
        <v>526183.33333333326</v>
      </c>
      <c r="D7" s="502">
        <f>DH!D7</f>
        <v>836108.33333333326</v>
      </c>
      <c r="E7" s="423"/>
      <c r="F7" s="505">
        <f>F6+D7</f>
        <v>1136941.6666666665</v>
      </c>
      <c r="G7" s="505">
        <f>G6+F7</f>
        <v>1439166.6666666665</v>
      </c>
      <c r="H7" s="505">
        <f>H6+G7</f>
        <v>1755783.3333333333</v>
      </c>
      <c r="I7" s="315"/>
      <c r="J7" s="505">
        <f>J6+H7</f>
        <v>2014833.3333333333</v>
      </c>
      <c r="K7" s="505">
        <f>K6+J7</f>
        <v>2273883.333333333</v>
      </c>
      <c r="L7" s="505">
        <f>L6+K7</f>
        <v>2561716.6666666665</v>
      </c>
      <c r="M7" s="388"/>
      <c r="N7" s="721">
        <f>N6+L7</f>
        <v>2863941.6666666665</v>
      </c>
      <c r="O7" s="721">
        <f>O6+N7</f>
        <v>3166166.6666666665</v>
      </c>
      <c r="P7" s="505">
        <f>P6+O7</f>
        <v>3454000</v>
      </c>
      <c r="Q7" s="315"/>
      <c r="R7" s="316"/>
    </row>
    <row r="8" spans="1:18">
      <c r="A8" s="744" t="s">
        <v>37</v>
      </c>
      <c r="B8" s="733">
        <f>DH!B8</f>
        <v>238812.96280000004</v>
      </c>
      <c r="C8" s="745">
        <f>DH!C8</f>
        <v>236054.89290000001</v>
      </c>
      <c r="D8" s="733">
        <f>DH!D8</f>
        <v>310381.30080000003</v>
      </c>
      <c r="E8" s="746">
        <f>SUM(B8:D8)</f>
        <v>785249.15650000004</v>
      </c>
      <c r="F8" s="733">
        <f>DH!F8</f>
        <v>269725.26189999998</v>
      </c>
      <c r="G8" s="733">
        <f>DH!G8</f>
        <v>258627.64840000001</v>
      </c>
      <c r="H8" s="733">
        <f>DH!H8</f>
        <v>273225.81559999997</v>
      </c>
      <c r="I8" s="746">
        <f>SUM(F8:H8)</f>
        <v>801578.72589999996</v>
      </c>
      <c r="J8" s="733">
        <f>DH!J8</f>
        <v>274412.58620000002</v>
      </c>
      <c r="K8" s="733">
        <f>DH!K8</f>
        <v>251738.51490000001</v>
      </c>
      <c r="L8" s="733">
        <f>DH!L8</f>
        <v>250442.74310000002</v>
      </c>
      <c r="M8" s="746">
        <f>SUM(J8:L8)</f>
        <v>776593.84420000017</v>
      </c>
      <c r="N8" s="733">
        <f>DH!N8</f>
        <v>258681.26309999998</v>
      </c>
      <c r="O8" s="733">
        <f>DH!O8</f>
        <v>284693.27740000002</v>
      </c>
      <c r="P8" s="733">
        <f>DH!P8</f>
        <v>347796.51579999999</v>
      </c>
      <c r="Q8" s="746">
        <f>SUM(N8:P8)</f>
        <v>891171.05630000005</v>
      </c>
      <c r="R8" s="747">
        <f>B8+C8+D8+F8+G8+H8+J8+K8+L8+N8+O8+P8</f>
        <v>3254592.7829000005</v>
      </c>
    </row>
    <row r="9" spans="1:18">
      <c r="A9" s="314" t="s">
        <v>38</v>
      </c>
      <c r="B9" s="506">
        <f>B8</f>
        <v>238812.96280000004</v>
      </c>
      <c r="C9" s="317">
        <f>C8+B9</f>
        <v>474867.85570000007</v>
      </c>
      <c r="D9" s="506">
        <f>D8+C9</f>
        <v>785249.15650000004</v>
      </c>
      <c r="E9" s="388"/>
      <c r="F9" s="506">
        <f>F8+D9</f>
        <v>1054974.4184000001</v>
      </c>
      <c r="G9" s="506">
        <f>G8+F9</f>
        <v>1313602.0668000001</v>
      </c>
      <c r="H9" s="506">
        <f>H8+G9</f>
        <v>1586827.8824</v>
      </c>
      <c r="I9" s="317"/>
      <c r="J9" s="506">
        <f>J8+H9</f>
        <v>1861240.4686</v>
      </c>
      <c r="K9" s="506">
        <f>K8+J9</f>
        <v>2112978.9835000001</v>
      </c>
      <c r="L9" s="506">
        <f>L8+K9</f>
        <v>2363421.7266000002</v>
      </c>
      <c r="M9" s="317"/>
      <c r="N9" s="737">
        <f>N8+L9</f>
        <v>2622102.9897000003</v>
      </c>
      <c r="O9" s="737">
        <f>O8+N9</f>
        <v>2906796.2671000003</v>
      </c>
      <c r="P9" s="737">
        <f>P8+O9</f>
        <v>3254592.7829000005</v>
      </c>
      <c r="Q9" s="317">
        <f>P7*0.95</f>
        <v>3281300</v>
      </c>
      <c r="R9" s="318">
        <f>R8*1.1</f>
        <v>3580052.0611900007</v>
      </c>
    </row>
    <row r="10" spans="1:18">
      <c r="A10" s="314" t="s">
        <v>39</v>
      </c>
      <c r="B10" s="507">
        <f>B8/B6</f>
        <v>0.95012119673761697</v>
      </c>
      <c r="C10" s="319">
        <f>C8/C6</f>
        <v>0.85890197537901769</v>
      </c>
      <c r="D10" s="507">
        <f>D8/D6</f>
        <v>1.0014722942647416</v>
      </c>
      <c r="E10" s="424"/>
      <c r="F10" s="507">
        <f>F8/F6</f>
        <v>0.89659366836565102</v>
      </c>
      <c r="G10" s="507">
        <f>G8/G6</f>
        <v>0.85574538307552317</v>
      </c>
      <c r="H10" s="507">
        <f>H8/H6</f>
        <v>0.86295462104542808</v>
      </c>
      <c r="I10" s="381"/>
      <c r="J10" s="507">
        <f>J8/J6</f>
        <v>1.0593035560702568</v>
      </c>
      <c r="K10" s="507">
        <f>K8/K6</f>
        <v>0.97177577649102498</v>
      </c>
      <c r="L10" s="507">
        <f>L8/L6</f>
        <v>0.87009638598726124</v>
      </c>
      <c r="M10" s="319">
        <f>+E16</f>
        <v>0</v>
      </c>
      <c r="N10" s="738">
        <f>N8/N6</f>
        <v>0.8559227830258912</v>
      </c>
      <c r="O10" s="738">
        <f>O8/O6</f>
        <v>0.94199115691951363</v>
      </c>
      <c r="P10" s="738">
        <f>P8/P6</f>
        <v>1.2083260537348004</v>
      </c>
      <c r="Q10" s="433">
        <f>Q9-P9</f>
        <v>26707.217099999543</v>
      </c>
      <c r="R10" s="318"/>
    </row>
    <row r="11" spans="1:18">
      <c r="A11" s="314" t="s">
        <v>48</v>
      </c>
      <c r="B11" s="508">
        <f>B9-B7</f>
        <v>-12537.037199999962</v>
      </c>
      <c r="C11" s="320">
        <f>C9-C7</f>
        <v>-51315.477633333183</v>
      </c>
      <c r="D11" s="508">
        <f>D9-D7</f>
        <v>-50859.176833333215</v>
      </c>
      <c r="E11" s="425"/>
      <c r="F11" s="508">
        <f>F9-F7</f>
        <v>-81967.248266666429</v>
      </c>
      <c r="G11" s="508">
        <f>G9-G7</f>
        <v>-125564.59986666637</v>
      </c>
      <c r="H11" s="508">
        <f>H9-H7</f>
        <v>-168955.45093333325</v>
      </c>
      <c r="I11" s="320"/>
      <c r="J11" s="508">
        <f>J9-J7</f>
        <v>-153592.86473333323</v>
      </c>
      <c r="K11" s="508">
        <f>K9-K7</f>
        <v>-160904.34983333293</v>
      </c>
      <c r="L11" s="508">
        <f>L9-L7</f>
        <v>-198294.94006666634</v>
      </c>
      <c r="M11" s="320"/>
      <c r="N11" s="739">
        <f>N9-N7</f>
        <v>-241838.67696666624</v>
      </c>
      <c r="O11" s="739">
        <f>O9-O7</f>
        <v>-259370.39956666622</v>
      </c>
      <c r="P11" s="739">
        <f>P9-P7</f>
        <v>-199407.21709999954</v>
      </c>
      <c r="Q11" s="320">
        <f>Q10+P8</f>
        <v>374503.73289999954</v>
      </c>
      <c r="R11" s="321"/>
    </row>
    <row r="12" spans="1:18" ht="13.8" thickBot="1">
      <c r="A12" s="322" t="s">
        <v>40</v>
      </c>
      <c r="B12" s="509">
        <f>B9/B7</f>
        <v>0.95012119673761697</v>
      </c>
      <c r="C12" s="323">
        <f>C9/C7</f>
        <v>0.90247604896899081</v>
      </c>
      <c r="D12" s="509">
        <f>D9/D7</f>
        <v>0.93917154654998869</v>
      </c>
      <c r="E12" s="323"/>
      <c r="F12" s="509">
        <f>F9/F7</f>
        <v>0.92790549359759023</v>
      </c>
      <c r="G12" s="509">
        <f>G9/G7</f>
        <v>0.91275187038795624</v>
      </c>
      <c r="H12" s="509">
        <f>H9/H7</f>
        <v>0.90377203853930344</v>
      </c>
      <c r="I12" s="323"/>
      <c r="J12" s="509">
        <f>J9/J7</f>
        <v>0.92376894793614039</v>
      </c>
      <c r="K12" s="509">
        <f>K9/K7</f>
        <v>0.92923808030315258</v>
      </c>
      <c r="L12" s="509">
        <f>L9/L7</f>
        <v>0.9225929461103558</v>
      </c>
      <c r="M12" s="323"/>
      <c r="N12" s="731">
        <f>N9/N7</f>
        <v>0.9155574012622465</v>
      </c>
      <c r="O12" s="731">
        <f>O9/O7</f>
        <v>0.91808062339316743</v>
      </c>
      <c r="P12" s="731">
        <f>P9/P7</f>
        <v>0.94226774258830359</v>
      </c>
      <c r="Q12" s="324"/>
      <c r="R12" s="325"/>
    </row>
    <row r="13" spans="1:18">
      <c r="A13" s="326" t="s">
        <v>144</v>
      </c>
      <c r="B13" s="510">
        <f>'Target 2021'!C10</f>
        <v>259200</v>
      </c>
      <c r="C13" s="357">
        <f>'Target 2021'!D10</f>
        <v>288000</v>
      </c>
      <c r="D13" s="555">
        <f>'Target 2021'!E10</f>
        <v>316800.00000000006</v>
      </c>
      <c r="E13" s="426">
        <f>SUM(B13:D13)</f>
        <v>864000</v>
      </c>
      <c r="F13" s="510">
        <f>'Target 2021'!F10</f>
        <v>259200</v>
      </c>
      <c r="G13" s="510">
        <f>'Target 2021'!G10</f>
        <v>288000</v>
      </c>
      <c r="H13" s="510">
        <f>'Target 2021'!H10</f>
        <v>316800</v>
      </c>
      <c r="I13" s="328">
        <f>SUM(F13:H13)</f>
        <v>864000</v>
      </c>
      <c r="J13" s="510">
        <f>'Target 2021'!I10</f>
        <v>259050</v>
      </c>
      <c r="K13" s="510">
        <f>'Target 2021'!J10</f>
        <v>287833.33333333337</v>
      </c>
      <c r="L13" s="510">
        <f>'Target 2021'!K10</f>
        <v>316616.66666666669</v>
      </c>
      <c r="M13" s="328"/>
      <c r="N13" s="740">
        <f>'Target 2021'!L10</f>
        <v>273600</v>
      </c>
      <c r="O13" s="740">
        <f>'Target 2021'!M10</f>
        <v>302400</v>
      </c>
      <c r="P13" s="740">
        <f>'Target 2021'!N10</f>
        <v>288000</v>
      </c>
      <c r="Q13" s="328">
        <f>SUM(N13:P13)</f>
        <v>864000</v>
      </c>
      <c r="R13" s="329"/>
    </row>
    <row r="14" spans="1:18" ht="13.8" thickBot="1">
      <c r="A14" s="330" t="s">
        <v>145</v>
      </c>
      <c r="B14" s="511">
        <f>B8/B13</f>
        <v>0.92134630709876553</v>
      </c>
      <c r="C14" s="331">
        <f>(B8+C8)/(B13+C13)</f>
        <v>0.86781406377923986</v>
      </c>
      <c r="D14" s="511">
        <f>(D8+C8+B8)/(B13+C13+D13)</f>
        <v>0.90885319039351853</v>
      </c>
      <c r="E14" s="331"/>
      <c r="F14" s="511">
        <f>F8/F13</f>
        <v>1.0406067202932099</v>
      </c>
      <c r="G14" s="511">
        <f>(F8+G8)/(F13+G13)</f>
        <v>0.96555721911549708</v>
      </c>
      <c r="H14" s="511">
        <f>(H8+G8+F8)/(F13+G13+H13)</f>
        <v>0.92775315497685185</v>
      </c>
      <c r="I14" s="332"/>
      <c r="J14" s="511">
        <f>J8/J13</f>
        <v>1.0593035560702568</v>
      </c>
      <c r="K14" s="511">
        <f>(J8+K8)/(J13+K13)</f>
        <v>0.96209021016060714</v>
      </c>
      <c r="L14" s="511">
        <f>(L8+K8+J8)/(J13+K13+L13)</f>
        <v>0.89935592843080492</v>
      </c>
      <c r="M14" s="332"/>
      <c r="N14" s="741">
        <f>N8/N13</f>
        <v>0.94547245285087711</v>
      </c>
      <c r="O14" s="741">
        <f>(N8+O8)/(N13+O13)</f>
        <v>0.9433585772569445</v>
      </c>
      <c r="P14" s="741">
        <f>(P8+O8+N8)/(N13+O13+P13)</f>
        <v>1.0314479818287037</v>
      </c>
      <c r="Q14" s="333"/>
      <c r="R14" s="334"/>
    </row>
    <row r="15" spans="1:18">
      <c r="A15" s="335" t="s">
        <v>162</v>
      </c>
      <c r="B15" s="512">
        <f>B9/('Target 2021'!$D$39/12*REALIZACJE!B18)</f>
        <v>0.87335981275713903</v>
      </c>
      <c r="C15" s="336">
        <f>C9/('Target 2021'!$D$39/12*REALIZACJE!C18)</f>
        <v>0.86831656178953476</v>
      </c>
      <c r="D15" s="512">
        <f>D9/('Target 2021'!$D$39/12*REALIZACJE!D18)</f>
        <v>0.95724152805290597</v>
      </c>
      <c r="E15" s="336"/>
      <c r="F15" s="512">
        <f>F9/('Target 2021'!$D$39/12*REALIZACJE!F18)</f>
        <v>0.96453334202907381</v>
      </c>
      <c r="G15" s="512">
        <f>G9/('Target 2021'!$D$39/12*REALIZACJE!G18)</f>
        <v>0.96079144251363791</v>
      </c>
      <c r="H15" s="512">
        <f>H9/('Target 2021'!$D$39/12*REALIZACJE!H18)</f>
        <v>0.96719463773504399</v>
      </c>
      <c r="I15" s="336"/>
      <c r="J15" s="512">
        <f>J9/('Target 2021'!$D$39/12*REALIZACJE!J18)</f>
        <v>0.97238836624856873</v>
      </c>
      <c r="K15" s="512">
        <f>K9/('Target 2021'!$D$39/12*REALIZACJE!K18)</f>
        <v>0.96591853084143475</v>
      </c>
      <c r="L15" s="512">
        <f>L9/('Target 2021'!$D$39/12*REALIZACJE!L18)</f>
        <v>0.96035990881662758</v>
      </c>
      <c r="M15" s="336"/>
      <c r="N15" s="728">
        <f>N9/('Target 2021'!$D$39/12*REALIZACJE!N18)</f>
        <v>0.95892590974308967</v>
      </c>
      <c r="O15" s="728">
        <f>O9/('Target 2021'!$D$39/12*REALIZACJE!O18)</f>
        <v>0.96640065620333404</v>
      </c>
      <c r="P15" s="728">
        <f>P9/('Target 2021'!$D$39/12*REALIZACJE!P18)</f>
        <v>0.99186078167189851</v>
      </c>
      <c r="Q15" s="337"/>
      <c r="R15" s="338"/>
    </row>
    <row r="16" spans="1:18">
      <c r="A16" s="339" t="s">
        <v>164</v>
      </c>
      <c r="B16" s="513">
        <f>B9/('Target 2021'!$F$39/12*REALIZACJE!B18)</f>
        <v>0.82969182211928216</v>
      </c>
      <c r="C16" s="409">
        <f>C9/('Target 2021'!$F$39/12*REALIZACJE!C18)</f>
        <v>0.82490073370005812</v>
      </c>
      <c r="D16" s="513">
        <f>D9/('Target 2021'!$F$39/12*REALIZACJE!D18)</f>
        <v>0.90937945165026057</v>
      </c>
      <c r="E16" s="409"/>
      <c r="F16" s="513">
        <f>F9/('Target 2021'!$F$39/12*REALIZACJE!F18)</f>
        <v>0.9163066749276203</v>
      </c>
      <c r="G16" s="513">
        <f>G9/('Target 2021'!$F$39/12*REALIZACJE!G18)</f>
        <v>0.91275187038795624</v>
      </c>
      <c r="H16" s="513">
        <f>H9/('Target 2021'!$F$39/12*REALIZACJE!H18)</f>
        <v>0.91883490584829186</v>
      </c>
      <c r="I16" s="408"/>
      <c r="J16" s="513">
        <f>J9/('Target 2021'!$F$39/12*REALIZACJE!J18)</f>
        <v>0.92376894793614039</v>
      </c>
      <c r="K16" s="513">
        <f>K9/('Target 2021'!$F$39/12*REALIZACJE!K18)</f>
        <v>0.91762260429936315</v>
      </c>
      <c r="L16" s="513">
        <f>L9/('Target 2021'!$F$39/12*REALIZACJE!L18)</f>
        <v>0.91234191337579629</v>
      </c>
      <c r="M16" s="409"/>
      <c r="N16" s="729">
        <f>N9/('Target 2021'!$F$39/12*REALIZACJE!N18)</f>
        <v>0.91097961425593532</v>
      </c>
      <c r="O16" s="729">
        <f>O9/('Target 2021'!$F$39/12*REALIZACJE!O18)</f>
        <v>0.91808062339316743</v>
      </c>
      <c r="P16" s="729">
        <f>P9/('Target 2021'!$F$39/12*REALIZACJE!P18)</f>
        <v>0.94226774258830359</v>
      </c>
      <c r="Q16" s="340"/>
      <c r="R16" s="341"/>
    </row>
    <row r="17" spans="1:18" ht="13.8" thickBot="1">
      <c r="A17" s="342" t="s">
        <v>163</v>
      </c>
      <c r="B17" s="514">
        <f>B9/('Target 2021'!$H$39/12*REALIZACJE!B18)</f>
        <v>0.79018268773264966</v>
      </c>
      <c r="C17" s="343">
        <f>C9/('Target 2021'!$H$39/12*REALIZACJE!C18)</f>
        <v>0.78561974638100762</v>
      </c>
      <c r="D17" s="514">
        <f>D9/('Target 2021'!$H$39/12*REALIZACJE!D18)</f>
        <v>0.86607566823834348</v>
      </c>
      <c r="E17" s="343"/>
      <c r="F17" s="514">
        <f>F9/('Target 2021'!$H$39/12*REALIZACJE!F18)</f>
        <v>0.87267302374059064</v>
      </c>
      <c r="G17" s="514">
        <f>G9/('Target 2021'!$H$39/12*REALIZACJE!G18)</f>
        <v>0.86928749560757723</v>
      </c>
      <c r="H17" s="514">
        <f>H9/('Target 2021'!$H$39/12*REALIZACJE!H18)</f>
        <v>0.87508086271265895</v>
      </c>
      <c r="I17" s="343"/>
      <c r="J17" s="514">
        <f>J9/('Target 2021'!$H$39/12*REALIZACJE!J18)</f>
        <v>0.87977995041537171</v>
      </c>
      <c r="K17" s="514">
        <f>K9/('Target 2021'!$H$39/12*REALIZACJE!K18)</f>
        <v>0.87392628980891729</v>
      </c>
      <c r="L17" s="514">
        <f>L9/('Target 2021'!$H$39/12*REALIZACJE!L18)</f>
        <v>0.86889706035790115</v>
      </c>
      <c r="M17" s="343"/>
      <c r="N17" s="730">
        <f>N9/('Target 2021'!$H$39/12*REALIZACJE!N18)</f>
        <v>0.86759963262470019</v>
      </c>
      <c r="O17" s="730">
        <f>O9/('Target 2021'!$H$39/12*REALIZACJE!O18)</f>
        <v>0.87436249846968328</v>
      </c>
      <c r="P17" s="730">
        <f>P9/('Target 2021'!$H$39/12*REALIZACJE!P18)</f>
        <v>0.89739785008409867</v>
      </c>
      <c r="Q17" s="343"/>
      <c r="R17" s="344"/>
    </row>
    <row r="18" spans="1:18" ht="13.8" thickBot="1">
      <c r="A18" s="265"/>
      <c r="B18" s="515">
        <v>1</v>
      </c>
      <c r="C18" s="266">
        <v>2</v>
      </c>
      <c r="D18" s="515">
        <v>3</v>
      </c>
      <c r="E18" s="427"/>
      <c r="F18" s="515">
        <v>4</v>
      </c>
      <c r="G18" s="515">
        <v>5</v>
      </c>
      <c r="H18" s="515">
        <v>6</v>
      </c>
      <c r="I18" s="266"/>
      <c r="J18" s="515">
        <v>7</v>
      </c>
      <c r="K18" s="515">
        <v>8</v>
      </c>
      <c r="L18" s="515">
        <v>9</v>
      </c>
      <c r="M18" s="266"/>
      <c r="N18" s="742">
        <v>10</v>
      </c>
      <c r="O18" s="742">
        <v>11</v>
      </c>
      <c r="P18" s="742">
        <v>12</v>
      </c>
      <c r="Q18" s="266"/>
      <c r="R18" s="267"/>
    </row>
    <row r="19" spans="1:18">
      <c r="A19" s="304" t="s">
        <v>220</v>
      </c>
      <c r="B19" s="516">
        <f>DH!B16</f>
        <v>956402.48249999993</v>
      </c>
      <c r="C19" s="417">
        <f>DH!C16</f>
        <v>947401.39450000005</v>
      </c>
      <c r="D19" s="516">
        <f>DH!D16</f>
        <v>841720.55280000006</v>
      </c>
      <c r="E19" s="417">
        <f>DH!E16</f>
        <v>2745524.4298</v>
      </c>
      <c r="F19" s="516">
        <f>DH!F16</f>
        <v>770190.66019999993</v>
      </c>
      <c r="G19" s="516">
        <f>DH!G16</f>
        <v>550307.66520000005</v>
      </c>
      <c r="H19" s="516">
        <f>DH!H16</f>
        <v>749067.73429999989</v>
      </c>
      <c r="I19" s="417">
        <f>DH!I16</f>
        <v>2069566.0596999999</v>
      </c>
      <c r="J19" s="516">
        <f>DH!J16</f>
        <v>852824.40230000007</v>
      </c>
      <c r="K19" s="516">
        <f>DH!K16</f>
        <v>703125.82220000017</v>
      </c>
      <c r="L19" s="516">
        <f>DH!L16</f>
        <v>732890.87119999994</v>
      </c>
      <c r="M19" s="417">
        <f>DH!M16</f>
        <v>2288841.0957000004</v>
      </c>
      <c r="N19" s="516">
        <f>DH!N16</f>
        <v>955205.79300000006</v>
      </c>
      <c r="O19" s="516">
        <f>DH!O16</f>
        <v>730577.06059999997</v>
      </c>
      <c r="P19" s="516">
        <f>DH!P16</f>
        <v>858525.26569999987</v>
      </c>
      <c r="Q19" s="417">
        <f>DH!Q16</f>
        <v>2544308.1192999999</v>
      </c>
      <c r="R19" s="417">
        <f>DH!R16</f>
        <v>9648239.7044999991</v>
      </c>
    </row>
    <row r="20" spans="1:18">
      <c r="A20" s="306" t="s">
        <v>222</v>
      </c>
      <c r="B20" s="503">
        <f>B19</f>
        <v>956402.48249999993</v>
      </c>
      <c r="C20" s="308">
        <f>C19+B20</f>
        <v>1903803.8769999999</v>
      </c>
      <c r="D20" s="554">
        <f>D19+C20</f>
        <v>2745524.4298</v>
      </c>
      <c r="E20" s="422"/>
      <c r="F20" s="503">
        <f>F19+D20</f>
        <v>3515715.09</v>
      </c>
      <c r="G20" s="503">
        <f>G19+F20</f>
        <v>4066022.7552</v>
      </c>
      <c r="H20" s="503">
        <f>H19+G20</f>
        <v>4815090.4895000001</v>
      </c>
      <c r="I20" s="308"/>
      <c r="J20" s="503">
        <f>J19+H20</f>
        <v>5667914.8918000003</v>
      </c>
      <c r="K20" s="503">
        <f>K19+J20</f>
        <v>6371040.7140000006</v>
      </c>
      <c r="L20" s="503">
        <f>L19+K20</f>
        <v>7103931.5852000006</v>
      </c>
      <c r="M20" s="308"/>
      <c r="N20" s="736">
        <f>N19+L20</f>
        <v>8059137.3782000002</v>
      </c>
      <c r="O20" s="736">
        <f>O19+N20</f>
        <v>8789714.4387999997</v>
      </c>
      <c r="P20" s="736">
        <f>P19+O20</f>
        <v>9648239.7044999991</v>
      </c>
      <c r="Q20" s="307"/>
      <c r="R20" s="418"/>
    </row>
    <row r="21" spans="1:18" ht="13.8" thickBot="1">
      <c r="A21" s="310" t="s">
        <v>227</v>
      </c>
      <c r="B21" s="504">
        <f>B25/B20-1</f>
        <v>-0.26469198170447017</v>
      </c>
      <c r="C21" s="386">
        <f>C25/C20-1</f>
        <v>-0.22649532696586683</v>
      </c>
      <c r="D21" s="504">
        <f>D25/D20-1</f>
        <v>-0.13643359408289324</v>
      </c>
      <c r="E21" s="386">
        <f>E24/E19-1</f>
        <v>-0.13643359408289324</v>
      </c>
      <c r="F21" s="504">
        <f>F25/F20-1</f>
        <v>-0.10852746002805358</v>
      </c>
      <c r="G21" s="504">
        <f>G25/G20-1</f>
        <v>-2.8562310639180688E-2</v>
      </c>
      <c r="H21" s="504">
        <f>H25/H20-1</f>
        <v>-3.3325123660690181E-3</v>
      </c>
      <c r="I21" s="386">
        <f>I24/I19-1</f>
        <v>0.17324183266320703</v>
      </c>
      <c r="J21" s="504">
        <f>J25/J20-1</f>
        <v>-8.9290250235087854E-3</v>
      </c>
      <c r="K21" s="504">
        <f>K25/K20-1</f>
        <v>1.4795144205069555E-2</v>
      </c>
      <c r="L21" s="504">
        <f>L25/L20-1</f>
        <v>1.2090385946134097E-2</v>
      </c>
      <c r="M21" s="386">
        <f>M24/M19-1</f>
        <v>4.4535910942661738E-2</v>
      </c>
      <c r="N21" s="734">
        <f>N25/N20-1</f>
        <v>-7.8663945438487426E-3</v>
      </c>
      <c r="O21" s="734">
        <f>O25/O20-1</f>
        <v>-3.5992184069533195E-4</v>
      </c>
      <c r="P21" s="734">
        <f>P25/P20-1</f>
        <v>1.4234903071069338E-2</v>
      </c>
      <c r="Q21" s="386">
        <f>Q24/Q19-1</f>
        <v>2.0222583110003134E-2</v>
      </c>
      <c r="R21" s="431">
        <f>R22/R19</f>
        <v>1.1090105892590387</v>
      </c>
    </row>
    <row r="22" spans="1:18">
      <c r="A22" s="345" t="s">
        <v>41</v>
      </c>
      <c r="B22" s="517">
        <f>DH!B19</f>
        <v>802500</v>
      </c>
      <c r="C22" s="346">
        <f>DH!C19</f>
        <v>891666.66666666663</v>
      </c>
      <c r="D22" s="517">
        <f>DH!D19</f>
        <v>936250</v>
      </c>
      <c r="E22" s="387">
        <f>SUM(B22:D22)</f>
        <v>2630416.6666666665</v>
      </c>
      <c r="F22" s="517">
        <f>DH!F19</f>
        <v>891666.66666666663</v>
      </c>
      <c r="G22" s="517">
        <f>DH!G19</f>
        <v>936250</v>
      </c>
      <c r="H22" s="517">
        <f>DH!H19</f>
        <v>980833.33333333337</v>
      </c>
      <c r="I22" s="312">
        <f>SUM(F22:H22)</f>
        <v>2808750</v>
      </c>
      <c r="J22" s="517">
        <f>DH!J19</f>
        <v>802500</v>
      </c>
      <c r="K22" s="517">
        <f>DH!K19</f>
        <v>802500</v>
      </c>
      <c r="L22" s="517">
        <f>DH!L19</f>
        <v>891666.66666666663</v>
      </c>
      <c r="M22" s="312">
        <f>SUM(J22:L22)</f>
        <v>2496666.6666666665</v>
      </c>
      <c r="N22" s="724">
        <f>DH!N19</f>
        <v>936250</v>
      </c>
      <c r="O22" s="724">
        <f>DH!O19</f>
        <v>936250</v>
      </c>
      <c r="P22" s="517">
        <f>DH!P19</f>
        <v>891666.66666666663</v>
      </c>
      <c r="Q22" s="312">
        <f>SUM(N22:P22)</f>
        <v>2764166.6666666665</v>
      </c>
      <c r="R22" s="347">
        <f>B22+C22+D22+F22+G22+H22+J22+K22+L22+N22+O22+P22</f>
        <v>10699999.999999998</v>
      </c>
    </row>
    <row r="23" spans="1:18">
      <c r="A23" s="348" t="s">
        <v>42</v>
      </c>
      <c r="B23" s="505">
        <f>B22</f>
        <v>802500</v>
      </c>
      <c r="C23" s="315">
        <f>C22+B23</f>
        <v>1694166.6666666665</v>
      </c>
      <c r="D23" s="505">
        <f>D22+C23</f>
        <v>2630416.6666666665</v>
      </c>
      <c r="E23" s="388"/>
      <c r="F23" s="505">
        <f>F22+D23</f>
        <v>3522083.333333333</v>
      </c>
      <c r="G23" s="505">
        <f>G22+F23</f>
        <v>4458333.333333333</v>
      </c>
      <c r="H23" s="505">
        <f>H22+G23</f>
        <v>5439166.666666666</v>
      </c>
      <c r="I23" s="315"/>
      <c r="J23" s="505">
        <f>J22+H23</f>
        <v>6241666.666666666</v>
      </c>
      <c r="K23" s="505">
        <f>K22+J23</f>
        <v>7044166.666666666</v>
      </c>
      <c r="L23" s="505">
        <f>L22+K23</f>
        <v>7935833.333333333</v>
      </c>
      <c r="M23" s="315"/>
      <c r="N23" s="721">
        <f>N22+L23</f>
        <v>8872083.3333333321</v>
      </c>
      <c r="O23" s="721">
        <f>O22+N23</f>
        <v>9808333.3333333321</v>
      </c>
      <c r="P23" s="505">
        <f>P22+O23</f>
        <v>10699999.999999998</v>
      </c>
      <c r="Q23" s="315"/>
      <c r="R23" s="349"/>
    </row>
    <row r="24" spans="1:18">
      <c r="A24" s="748" t="s">
        <v>43</v>
      </c>
      <c r="B24" s="733">
        <f>DH!B21</f>
        <v>703250.41410000005</v>
      </c>
      <c r="C24" s="745">
        <f>DH!C21</f>
        <v>769350.78130000003</v>
      </c>
      <c r="D24" s="733">
        <f>DH!D21</f>
        <v>898341.46880000003</v>
      </c>
      <c r="E24" s="746">
        <f>SUM(B24:D24)</f>
        <v>2370942.6642</v>
      </c>
      <c r="F24" s="733">
        <f>DH!F21</f>
        <v>763220.79689999996</v>
      </c>
      <c r="G24" s="733">
        <f>DH!G21</f>
        <v>815724.28910000005</v>
      </c>
      <c r="H24" s="733">
        <f>DH!H21</f>
        <v>849156.39069999999</v>
      </c>
      <c r="I24" s="745">
        <f>SUM(F24:H24)</f>
        <v>2428101.4767</v>
      </c>
      <c r="J24" s="733">
        <f>DH!J21</f>
        <v>818261.7969999999</v>
      </c>
      <c r="K24" s="733">
        <f>DH!K21</f>
        <v>847995.24219999998</v>
      </c>
      <c r="L24" s="733">
        <f>DH!L21</f>
        <v>724519.67969999998</v>
      </c>
      <c r="M24" s="745">
        <f>SUM(J24:L24)</f>
        <v>2390776.7188999997</v>
      </c>
      <c r="N24" s="733">
        <f>DH!N21</f>
        <v>805920.16410000005</v>
      </c>
      <c r="O24" s="733">
        <f>DH!O21</f>
        <v>790809.80469999998</v>
      </c>
      <c r="P24" s="733">
        <f>DH!P21</f>
        <v>999030.63290000008</v>
      </c>
      <c r="Q24" s="745">
        <f>SUM(N24:P24)</f>
        <v>2595760.6017</v>
      </c>
      <c r="R24" s="749">
        <f>B24+C24+D24+F24+G24+H24+J24+K24+L24+N24+O24+P24</f>
        <v>9785581.4615000002</v>
      </c>
    </row>
    <row r="25" spans="1:18">
      <c r="A25" s="348" t="s">
        <v>44</v>
      </c>
      <c r="B25" s="506">
        <f>B24</f>
        <v>703250.41410000005</v>
      </c>
      <c r="C25" s="317">
        <f>C24+B25</f>
        <v>1472601.1954000001</v>
      </c>
      <c r="D25" s="506">
        <f>D24+C25</f>
        <v>2370942.6642</v>
      </c>
      <c r="E25" s="428"/>
      <c r="F25" s="506">
        <f>F24+D25</f>
        <v>3134163.4611</v>
      </c>
      <c r="G25" s="506">
        <f>G24+F25</f>
        <v>3949887.7502000001</v>
      </c>
      <c r="H25" s="506">
        <f>H24+G25</f>
        <v>4799044.1409</v>
      </c>
      <c r="I25" s="317"/>
      <c r="J25" s="506">
        <f>J24+H25</f>
        <v>5617305.9379000003</v>
      </c>
      <c r="K25" s="506">
        <f>K24+J25</f>
        <v>6465301.1801000005</v>
      </c>
      <c r="L25" s="506">
        <f>L24+K25</f>
        <v>7189820.8598000007</v>
      </c>
      <c r="M25" s="317"/>
      <c r="N25" s="737">
        <f>N24+L25</f>
        <v>7995741.0239000004</v>
      </c>
      <c r="O25" s="737">
        <f>O24+N25</f>
        <v>8786550.8286000006</v>
      </c>
      <c r="P25" s="737">
        <f>P24+O25</f>
        <v>9785581.4615000002</v>
      </c>
      <c r="Q25" s="317"/>
      <c r="R25" s="350">
        <f>R24*1.1</f>
        <v>10764139.607650001</v>
      </c>
    </row>
    <row r="26" spans="1:18">
      <c r="A26" s="348" t="s">
        <v>45</v>
      </c>
      <c r="B26" s="507">
        <f t="shared" ref="B26:D27" si="0">B24/B22</f>
        <v>0.8763245035514019</v>
      </c>
      <c r="C26" s="319">
        <f t="shared" si="0"/>
        <v>0.86282330613084124</v>
      </c>
      <c r="D26" s="507">
        <f t="shared" si="0"/>
        <v>0.95951024704939925</v>
      </c>
      <c r="E26" s="424"/>
      <c r="F26" s="507">
        <f t="shared" ref="F26:H27" si="1">F24/F22</f>
        <v>0.85594855727102803</v>
      </c>
      <c r="G26" s="507">
        <f t="shared" si="1"/>
        <v>0.87126759850467295</v>
      </c>
      <c r="H26" s="507">
        <f t="shared" si="1"/>
        <v>0.86574993104502973</v>
      </c>
      <c r="I26" s="319"/>
      <c r="J26" s="507">
        <f t="shared" ref="J26:L27" si="2">J24/J22</f>
        <v>1.0196408685358254</v>
      </c>
      <c r="K26" s="507">
        <f t="shared" si="2"/>
        <v>1.0566918905919003</v>
      </c>
      <c r="L26" s="507">
        <f t="shared" si="2"/>
        <v>0.81254543517757005</v>
      </c>
      <c r="M26" s="319"/>
      <c r="N26" s="738">
        <f t="shared" ref="N26:P27" si="3">N24/N22</f>
        <v>0.86079590291054742</v>
      </c>
      <c r="O26" s="738">
        <f t="shared" si="3"/>
        <v>0.84465666723631505</v>
      </c>
      <c r="P26" s="738">
        <f t="shared" si="3"/>
        <v>1.1204081864299067</v>
      </c>
      <c r="Q26" s="319"/>
      <c r="R26" s="350"/>
    </row>
    <row r="27" spans="1:18">
      <c r="A27" s="351" t="s">
        <v>46</v>
      </c>
      <c r="B27" s="518">
        <f t="shared" si="0"/>
        <v>0.8763245035514019</v>
      </c>
      <c r="C27" s="352">
        <f t="shared" si="0"/>
        <v>0.86921861017215951</v>
      </c>
      <c r="D27" s="518">
        <f t="shared" si="0"/>
        <v>0.90135631143354988</v>
      </c>
      <c r="E27" s="429"/>
      <c r="F27" s="518">
        <f t="shared" si="1"/>
        <v>0.88986067746835451</v>
      </c>
      <c r="G27" s="518">
        <f>G25/G23</f>
        <v>0.88595613088598135</v>
      </c>
      <c r="H27" s="518">
        <f t="shared" si="1"/>
        <v>0.88231238993105576</v>
      </c>
      <c r="I27" s="352"/>
      <c r="J27" s="518">
        <f t="shared" si="2"/>
        <v>0.89996890860881185</v>
      </c>
      <c r="K27" s="518">
        <f t="shared" si="2"/>
        <v>0.91782342554359408</v>
      </c>
      <c r="L27" s="518">
        <f t="shared" si="2"/>
        <v>0.90599443786201839</v>
      </c>
      <c r="M27" s="352"/>
      <c r="N27" s="732">
        <f t="shared" si="3"/>
        <v>0.90122474321889845</v>
      </c>
      <c r="O27" s="732">
        <f t="shared" si="3"/>
        <v>0.89582506323874278</v>
      </c>
      <c r="P27" s="518">
        <f t="shared" si="3"/>
        <v>0.91454032350467307</v>
      </c>
      <c r="Q27" s="352"/>
      <c r="R27" s="353"/>
    </row>
    <row r="28" spans="1:18" ht="13.8" thickBot="1">
      <c r="A28" s="354" t="s">
        <v>47</v>
      </c>
      <c r="B28" s="519">
        <f>B25-B23</f>
        <v>-99249.585899999947</v>
      </c>
      <c r="C28" s="355">
        <f>C25-C23</f>
        <v>-221565.47126666643</v>
      </c>
      <c r="D28" s="519">
        <f>D25-D23</f>
        <v>-259474.00246666651</v>
      </c>
      <c r="E28" s="430"/>
      <c r="F28" s="519">
        <f>F25-F23</f>
        <v>-387919.87223333307</v>
      </c>
      <c r="G28" s="519">
        <f>G25-G23</f>
        <v>-508445.5831333329</v>
      </c>
      <c r="H28" s="519">
        <f>H25-H23</f>
        <v>-640122.52576666605</v>
      </c>
      <c r="I28" s="355"/>
      <c r="J28" s="519">
        <f>J25-J23</f>
        <v>-624360.72876666579</v>
      </c>
      <c r="K28" s="519">
        <f>K25-K23</f>
        <v>-578865.48656666558</v>
      </c>
      <c r="L28" s="519">
        <f>L25-L23</f>
        <v>-746012.47353333235</v>
      </c>
      <c r="M28" s="355"/>
      <c r="N28" s="743">
        <f>N25-N23</f>
        <v>-876342.30943333171</v>
      </c>
      <c r="O28" s="743">
        <f>O25-O23</f>
        <v>-1021782.5047333315</v>
      </c>
      <c r="P28" s="743">
        <f>P25-P23</f>
        <v>-914418.53849999793</v>
      </c>
      <c r="Q28" s="355"/>
      <c r="R28" s="356"/>
    </row>
    <row r="29" spans="1:18">
      <c r="A29" s="326" t="s">
        <v>143</v>
      </c>
      <c r="B29" s="510">
        <f>'Target 2021'!C20</f>
        <v>0</v>
      </c>
      <c r="C29" s="327">
        <f>'Target 2021'!D20</f>
        <v>0</v>
      </c>
      <c r="D29" s="510">
        <f>'Target 2021'!E20</f>
        <v>0</v>
      </c>
      <c r="E29" s="426">
        <f>SUM(B29:D29)</f>
        <v>0</v>
      </c>
      <c r="F29" s="510">
        <f>'Target 2021'!F20</f>
        <v>0</v>
      </c>
      <c r="G29" s="510">
        <f>'Target 2021'!G20</f>
        <v>0</v>
      </c>
      <c r="H29" s="510">
        <f>'Target 2021'!H20</f>
        <v>0</v>
      </c>
      <c r="I29" s="328">
        <f>SUM(F29:H29)</f>
        <v>0</v>
      </c>
      <c r="J29" s="510">
        <f>'Target 2021'!I20</f>
        <v>0</v>
      </c>
      <c r="K29" s="510">
        <f>'Target 2021'!J20</f>
        <v>0</v>
      </c>
      <c r="L29" s="510">
        <f>'Target 2021'!K20</f>
        <v>0</v>
      </c>
      <c r="M29" s="328">
        <f>SUM(J29:L29)</f>
        <v>0</v>
      </c>
      <c r="N29" s="722">
        <f>'Target 2021'!L20</f>
        <v>0</v>
      </c>
      <c r="O29" s="722">
        <f>'Target 2021'!M20</f>
        <v>0</v>
      </c>
      <c r="P29" s="510">
        <f>'Target 2021'!N20</f>
        <v>0</v>
      </c>
      <c r="Q29" s="328">
        <f>SUM(N29:P29)</f>
        <v>0</v>
      </c>
      <c r="R29" s="329"/>
    </row>
    <row r="30" spans="1:18" ht="13.8" thickBot="1">
      <c r="A30" s="330" t="s">
        <v>146</v>
      </c>
      <c r="B30" s="511" t="e">
        <f>B24/B29</f>
        <v>#DIV/0!</v>
      </c>
      <c r="C30" s="331" t="e">
        <f>(B24+C24)/(B29+C29)</f>
        <v>#DIV/0!</v>
      </c>
      <c r="D30" s="511" t="e">
        <f>(D24+C24+B24)/(B29+C29+D29)</f>
        <v>#DIV/0!</v>
      </c>
      <c r="E30" s="331"/>
      <c r="F30" s="511" t="e">
        <f>F24/F29</f>
        <v>#DIV/0!</v>
      </c>
      <c r="G30" s="511" t="e">
        <f>(F24+G24)/(F29+G29)</f>
        <v>#DIV/0!</v>
      </c>
      <c r="H30" s="511" t="e">
        <f>(H24+G24+F24)/(F29+G29+H29)</f>
        <v>#DIV/0!</v>
      </c>
      <c r="I30" s="332"/>
      <c r="J30" s="511" t="e">
        <f>J24/J29</f>
        <v>#DIV/0!</v>
      </c>
      <c r="K30" s="511" t="e">
        <f>(J24+K24)/(J29+K29)</f>
        <v>#DIV/0!</v>
      </c>
      <c r="L30" s="511" t="e">
        <f>(L24+K24+J24)/(J29+K29+L29)</f>
        <v>#DIV/0!</v>
      </c>
      <c r="M30" s="332"/>
      <c r="N30" s="741" t="e">
        <f>N24/N29</f>
        <v>#DIV/0!</v>
      </c>
      <c r="O30" s="741" t="e">
        <f>(N24+O24)/(N29+O29)</f>
        <v>#DIV/0!</v>
      </c>
      <c r="P30" s="741" t="e">
        <f>(P24+O24+N24)/(N29+O29+P29)</f>
        <v>#DIV/0!</v>
      </c>
      <c r="Q30" s="333"/>
      <c r="R30" s="334"/>
    </row>
    <row r="31" spans="1:18">
      <c r="A31" s="335" t="s">
        <v>162</v>
      </c>
      <c r="B31" s="512">
        <f>B25/('Target 2021'!$D$40/12*B18)</f>
        <v>0.83020216125922308</v>
      </c>
      <c r="C31" s="336">
        <f>C25/('Target 2021'!$D$40/12*C18)</f>
        <v>0.86921861017215962</v>
      </c>
      <c r="D31" s="512">
        <f>D25/('Target 2021'!$D$40/12*D18)</f>
        <v>0.93298284867683245</v>
      </c>
      <c r="E31" s="336"/>
      <c r="F31" s="512">
        <f>F25/('Target 2021'!$D$40/12*F18)</f>
        <v>0.92498675684210552</v>
      </c>
      <c r="G31" s="512">
        <f>G25/('Target 2021'!$D$40/12*G18)</f>
        <v>0.93258540093261211</v>
      </c>
      <c r="H31" s="512">
        <f>H25/('Target 2021'!$D$40/12*H18)</f>
        <v>0.94422904887358605</v>
      </c>
      <c r="I31" s="336"/>
      <c r="J31" s="512">
        <f>J25/('Target 2021'!$D$40/12*J18)</f>
        <v>0.94733569327243361</v>
      </c>
      <c r="K31" s="512">
        <f>K25/('Target 2021'!$D$40/12*K18)</f>
        <v>0.95405329760452562</v>
      </c>
      <c r="L31" s="512">
        <f>L25/('Target 2021'!$D$40/12*L18)</f>
        <v>0.94308192947040526</v>
      </c>
      <c r="M31" s="336"/>
      <c r="N31" s="728">
        <f>N25/('Target 2021'!$D$40/12*N18)</f>
        <v>0.943914336318741</v>
      </c>
      <c r="O31" s="728">
        <f>O25/('Target 2021'!$D$40/12*O18)</f>
        <v>0.94297375077762402</v>
      </c>
      <c r="P31" s="728">
        <f>P25/('Target 2021'!$D$40/12*P18)</f>
        <v>0.96267402474176111</v>
      </c>
      <c r="Q31" s="337"/>
      <c r="R31" s="338"/>
    </row>
    <row r="32" spans="1:18" s="413" customFormat="1" ht="12">
      <c r="A32" s="411" t="s">
        <v>194</v>
      </c>
      <c r="B32" s="513">
        <f>B25/('Target 2021'!$F$40/12*REALIZACJE!B18)</f>
        <v>0.7886920531962619</v>
      </c>
      <c r="C32" s="409">
        <f>C25/('Target 2021'!$F$40/12*REALIZACJE!C18)</f>
        <v>0.82575767966355162</v>
      </c>
      <c r="D32" s="513">
        <f>D25/('Target 2021'!$F$40/12*REALIZACJE!D18)</f>
        <v>0.88633370624299079</v>
      </c>
      <c r="E32" s="409"/>
      <c r="F32" s="513">
        <f>F25/('Target 2021'!$F$40/12*REALIZACJE!F18)</f>
        <v>0.87873741900000013</v>
      </c>
      <c r="G32" s="513">
        <f>G25/('Target 2021'!$F$40/12*REALIZACJE!G18)</f>
        <v>0.88595613088598157</v>
      </c>
      <c r="H32" s="513">
        <f>H25/('Target 2021'!$F$40/12*REALIZACJE!H18)</f>
        <v>0.89701759642990675</v>
      </c>
      <c r="I32" s="410"/>
      <c r="J32" s="513">
        <f>J25/('Target 2021'!$F$40/12*REALIZACJE!J18)</f>
        <v>0.89996890860881185</v>
      </c>
      <c r="K32" s="513">
        <f>K25/('Target 2021'!$F$40/12*REALIZACJE!K18)</f>
        <v>0.90635063272429928</v>
      </c>
      <c r="L32" s="513">
        <f>L25/('Target 2021'!$F$40/12*REALIZACJE!L18)</f>
        <v>0.89592783299688505</v>
      </c>
      <c r="M32" s="409"/>
      <c r="N32" s="729">
        <f>N25/('Target 2021'!$F$40/12*REALIZACJE!N18)</f>
        <v>0.89671861950280407</v>
      </c>
      <c r="O32" s="729">
        <f>O25/('Target 2021'!$F$40/12*REALIZACJE!O18)</f>
        <v>0.89582506323874278</v>
      </c>
      <c r="P32" s="729">
        <f>P25/('Target 2021'!$F$40/12*REALIZACJE!P18)</f>
        <v>0.91454032350467307</v>
      </c>
      <c r="Q32" s="409"/>
      <c r="R32" s="412"/>
    </row>
    <row r="33" spans="1:18" ht="13.8" thickBot="1">
      <c r="A33" s="342" t="s">
        <v>163</v>
      </c>
      <c r="B33" s="514">
        <f>B25/('Target 2021'!$H$40/12*B18)</f>
        <v>0.75113528875834457</v>
      </c>
      <c r="C33" s="343">
        <f>C25/('Target 2021'!$H$40/12*C18)</f>
        <v>0.78643588539385867</v>
      </c>
      <c r="D33" s="514">
        <f>D25/('Target 2021'!$H$40/12*D18)</f>
        <v>0.84412733927903882</v>
      </c>
      <c r="E33" s="343"/>
      <c r="F33" s="514">
        <f>F25/('Target 2021'!$H$40/12*F18)</f>
        <v>0.83689278000000011</v>
      </c>
      <c r="G33" s="514">
        <f>G25/('Target 2021'!$H$40/12*G18)</f>
        <v>0.84376774370093477</v>
      </c>
      <c r="H33" s="514">
        <f>H25/('Target 2021'!$H$40/12*H18)</f>
        <v>0.85430247279038729</v>
      </c>
      <c r="I33" s="343"/>
      <c r="J33" s="514">
        <f>J25/('Target 2021'!$H$40/12*J18)</f>
        <v>0.85711324629410657</v>
      </c>
      <c r="K33" s="514">
        <f>K25/('Target 2021'!$H$40/12*K18)</f>
        <v>0.86319107878504686</v>
      </c>
      <c r="L33" s="514">
        <f>L25/('Target 2021'!$H$40/12*L18)</f>
        <v>0.85326460285417616</v>
      </c>
      <c r="M33" s="343"/>
      <c r="N33" s="730">
        <f>N25/('Target 2021'!$H$40/12*N18)</f>
        <v>0.85401773285981331</v>
      </c>
      <c r="O33" s="730">
        <f>O25/('Target 2021'!$H$40/12*O18)</f>
        <v>0.85316672689404072</v>
      </c>
      <c r="P33" s="730">
        <f>P25/('Target 2021'!$H$40/12*P18)</f>
        <v>0.87099078429016485</v>
      </c>
      <c r="Q33" s="343"/>
      <c r="R33" s="344"/>
    </row>
    <row r="34" spans="1:18" ht="13.8" thickBot="1">
      <c r="A34" s="265"/>
      <c r="B34" s="515"/>
      <c r="C34" s="266"/>
      <c r="D34" s="515"/>
      <c r="E34" s="266"/>
      <c r="F34" s="515"/>
      <c r="G34" s="515"/>
      <c r="H34" s="515"/>
      <c r="I34" s="266"/>
      <c r="J34" s="515"/>
      <c r="K34" s="515"/>
      <c r="L34" s="515"/>
      <c r="M34" s="266"/>
      <c r="N34" s="723"/>
      <c r="O34" s="723"/>
      <c r="P34" s="515"/>
      <c r="Q34" s="266"/>
      <c r="R34" s="271"/>
    </row>
    <row r="35" spans="1:18">
      <c r="A35" s="275" t="s">
        <v>32</v>
      </c>
      <c r="B35" s="520">
        <f>B8/B24</f>
        <v>0.33958453206974093</v>
      </c>
      <c r="C35" s="276">
        <f t="shared" ref="B35:D36" si="4">C8/C24</f>
        <v>0.30682349149126675</v>
      </c>
      <c r="D35" s="520">
        <f t="shared" si="4"/>
        <v>0.34550481256821619</v>
      </c>
      <c r="E35" s="276"/>
      <c r="F35" s="520">
        <f t="shared" ref="F35:H36" si="5">F8/F24</f>
        <v>0.35340397299910109</v>
      </c>
      <c r="G35" s="520">
        <f t="shared" si="5"/>
        <v>0.31705277365879037</v>
      </c>
      <c r="H35" s="520">
        <f t="shared" si="5"/>
        <v>0.32176147832411289</v>
      </c>
      <c r="I35" s="276"/>
      <c r="J35" s="520">
        <f t="shared" ref="J35:L36" si="6">J8/J24</f>
        <v>0.33536037880062491</v>
      </c>
      <c r="K35" s="520">
        <f t="shared" si="6"/>
        <v>0.2968631218341522</v>
      </c>
      <c r="L35" s="520">
        <f t="shared" si="6"/>
        <v>0.3456672746331752</v>
      </c>
      <c r="M35" s="276"/>
      <c r="N35" s="725">
        <f t="shared" ref="N35:O36" si="7">N8/N24</f>
        <v>0.32097628849983995</v>
      </c>
      <c r="O35" s="725">
        <f t="shared" si="7"/>
        <v>0.36000221002318084</v>
      </c>
      <c r="P35" s="520">
        <f>P8/P24</f>
        <v>0.34813398543186952</v>
      </c>
      <c r="Q35" s="276"/>
      <c r="R35" s="277"/>
    </row>
    <row r="36" spans="1:18" ht="13.8" thickBot="1">
      <c r="A36" s="278" t="s">
        <v>33</v>
      </c>
      <c r="B36" s="521">
        <f t="shared" si="4"/>
        <v>0.33958453206974093</v>
      </c>
      <c r="C36" s="279">
        <f t="shared" si="4"/>
        <v>0.32246874251043411</v>
      </c>
      <c r="D36" s="521">
        <f t="shared" si="4"/>
        <v>0.33119702486139946</v>
      </c>
      <c r="E36" s="279"/>
      <c r="F36" s="521">
        <f t="shared" si="5"/>
        <v>0.33660478513451075</v>
      </c>
      <c r="G36" s="521">
        <f t="shared" si="5"/>
        <v>0.33256693604355891</v>
      </c>
      <c r="H36" s="521">
        <f t="shared" si="5"/>
        <v>0.33065498791232423</v>
      </c>
      <c r="I36" s="279"/>
      <c r="J36" s="521">
        <f t="shared" si="6"/>
        <v>0.33134041285560012</v>
      </c>
      <c r="K36" s="521">
        <f t="shared" si="6"/>
        <v>0.32681833755922846</v>
      </c>
      <c r="L36" s="521">
        <f t="shared" si="6"/>
        <v>0.32871774870142501</v>
      </c>
      <c r="M36" s="279"/>
      <c r="N36" s="726">
        <f t="shared" si="7"/>
        <v>0.32793745843722238</v>
      </c>
      <c r="O36" s="726">
        <f t="shared" si="7"/>
        <v>0.33082335990573819</v>
      </c>
      <c r="P36" s="521">
        <f>P9/P25</f>
        <v>0.33259063814498302</v>
      </c>
      <c r="Q36" s="279"/>
      <c r="R36" s="280"/>
    </row>
  </sheetData>
  <mergeCells count="1">
    <mergeCell ref="B1:R1"/>
  </mergeCells>
  <pageMargins left="0.7" right="0.7" top="0.75" bottom="0.75" header="0.3" footer="0.3"/>
  <pageSetup paperSize="9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Q6" sqref="Q6:Q8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7" s="2" customFormat="1" ht="12.75" customHeight="1">
      <c r="A1" s="782"/>
      <c r="B1" s="783"/>
      <c r="C1" s="783"/>
      <c r="D1" s="783"/>
      <c r="E1" s="783"/>
      <c r="F1" s="783"/>
      <c r="G1" s="783"/>
      <c r="H1" s="783"/>
      <c r="I1" s="783"/>
      <c r="J1" s="783"/>
      <c r="K1" s="783"/>
      <c r="L1" s="783"/>
      <c r="M1" s="783"/>
      <c r="N1" s="783"/>
      <c r="O1" s="783"/>
      <c r="P1" s="762"/>
    </row>
    <row r="2" spans="1:17" ht="12.75" customHeight="1">
      <c r="A2" s="784" t="s">
        <v>27</v>
      </c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784"/>
      <c r="N2" s="784"/>
      <c r="O2" s="784"/>
      <c r="P2" s="784"/>
    </row>
    <row r="3" spans="1:17" ht="12.75" customHeight="1">
      <c r="A3" s="46"/>
      <c r="B3" s="47" t="s">
        <v>28</v>
      </c>
      <c r="C3" s="47" t="s">
        <v>22</v>
      </c>
      <c r="D3" s="47" t="s">
        <v>14</v>
      </c>
      <c r="E3" s="47"/>
      <c r="F3" s="483" t="s">
        <v>15</v>
      </c>
      <c r="G3" s="483" t="s">
        <v>16</v>
      </c>
      <c r="H3" s="483" t="s">
        <v>17</v>
      </c>
      <c r="I3" s="405"/>
      <c r="J3" s="47" t="s">
        <v>29</v>
      </c>
      <c r="K3" s="47" t="s">
        <v>30</v>
      </c>
      <c r="L3" s="47" t="s">
        <v>18</v>
      </c>
      <c r="M3" s="405"/>
      <c r="N3" s="47" t="s">
        <v>19</v>
      </c>
      <c r="O3" s="47" t="s">
        <v>20</v>
      </c>
      <c r="P3" s="47" t="s">
        <v>21</v>
      </c>
    </row>
    <row r="4" spans="1:17" ht="12.75" customHeight="1">
      <c r="A4" s="1" t="s">
        <v>31</v>
      </c>
      <c r="B4" s="68">
        <f>TOMEK!N28</f>
        <v>1640</v>
      </c>
      <c r="C4" s="68">
        <f>TOMEK!O28</f>
        <v>1800</v>
      </c>
      <c r="D4" s="68">
        <f>TOMEK!P28</f>
        <v>1800</v>
      </c>
      <c r="E4" s="68"/>
      <c r="F4" s="484">
        <f>TOMEK!J28</f>
        <v>1800</v>
      </c>
      <c r="G4" s="484">
        <f>TOMEK!K28</f>
        <v>1800</v>
      </c>
      <c r="H4" s="484">
        <f>TOMEK!L28</f>
        <v>1800</v>
      </c>
      <c r="I4" s="298"/>
      <c r="J4" s="68">
        <f>TOMEK!F28</f>
        <v>1800</v>
      </c>
      <c r="K4" s="68">
        <f>TOMEK!G28</f>
        <v>1800</v>
      </c>
      <c r="L4" s="68">
        <f>TOMEK!H28</f>
        <v>1800</v>
      </c>
      <c r="M4" s="298"/>
      <c r="N4" s="68">
        <f>TOMEK!B28</f>
        <v>1800</v>
      </c>
      <c r="O4" s="68">
        <f>TOMEK!C28</f>
        <v>1800</v>
      </c>
      <c r="P4" s="68">
        <f>TOMEK!D28</f>
        <v>1800</v>
      </c>
      <c r="Q4" s="808">
        <f>SUM(B4:D4,F4:H4,J4:K4)</f>
        <v>14240</v>
      </c>
    </row>
    <row r="5" spans="1:17" ht="12.75" customHeight="1">
      <c r="A5" s="1" t="s">
        <v>71</v>
      </c>
      <c r="B5" s="68">
        <f>DH!B38</f>
        <v>2400</v>
      </c>
      <c r="C5" s="68">
        <f>DH!C38</f>
        <v>1890</v>
      </c>
      <c r="D5" s="68">
        <f>DH!D38</f>
        <v>1890</v>
      </c>
      <c r="E5" s="68"/>
      <c r="F5" s="484">
        <f>DH!F38</f>
        <v>1890</v>
      </c>
      <c r="G5" s="484">
        <f>DH!G38</f>
        <v>1890</v>
      </c>
      <c r="H5" s="484">
        <f>DH!H38</f>
        <v>1890</v>
      </c>
      <c r="I5" s="298"/>
      <c r="J5" s="68">
        <f>DH!J38</f>
        <v>1890</v>
      </c>
      <c r="K5" s="68">
        <f>DH!K38</f>
        <v>1890</v>
      </c>
      <c r="L5" s="68">
        <f>DH!L38</f>
        <v>1890</v>
      </c>
      <c r="M5" s="298"/>
      <c r="N5" s="68">
        <f>DH!N38</f>
        <v>1890</v>
      </c>
      <c r="O5" s="68">
        <f>DH!O38</f>
        <v>1890</v>
      </c>
      <c r="P5" s="68">
        <f>DH!P38</f>
        <v>1890</v>
      </c>
      <c r="Q5" s="808"/>
    </row>
    <row r="6" spans="1:17" s="2" customFormat="1" ht="12.75" customHeight="1">
      <c r="A6" s="1" t="s">
        <v>77</v>
      </c>
      <c r="B6" s="157">
        <f>BARTEK!N28</f>
        <v>1437.5</v>
      </c>
      <c r="C6" s="157">
        <f>BARTEK!O28</f>
        <v>1125</v>
      </c>
      <c r="D6" s="68">
        <f>BARTEK!P28</f>
        <v>1000</v>
      </c>
      <c r="E6" s="68"/>
      <c r="F6" s="484">
        <f>BARTEK!J28</f>
        <v>1875</v>
      </c>
      <c r="G6" s="484">
        <f>BARTEK!K28</f>
        <v>2000</v>
      </c>
      <c r="H6" s="484">
        <f>BARTEK!L28</f>
        <v>1562.5</v>
      </c>
      <c r="I6" s="298"/>
      <c r="J6" s="68">
        <f>BARTEK!F28</f>
        <v>2000</v>
      </c>
      <c r="K6" s="68">
        <f>BARTEK!G28</f>
        <v>2000</v>
      </c>
      <c r="L6" s="68">
        <f>BARTEK!H28</f>
        <v>2000</v>
      </c>
      <c r="M6" s="298"/>
      <c r="N6" s="68">
        <f>BARTEK!B28</f>
        <v>2000</v>
      </c>
      <c r="O6" s="68">
        <f>BARTEK!C28</f>
        <v>2000</v>
      </c>
      <c r="P6" s="68">
        <f>BARTEK!D28</f>
        <v>2000</v>
      </c>
      <c r="Q6" s="808">
        <f t="shared" ref="Q6:Q8" si="0">SUM(B6:D6,F6:H6,J6:K6)</f>
        <v>13000</v>
      </c>
    </row>
    <row r="7" spans="1:17" ht="12.75" customHeight="1">
      <c r="A7" s="1" t="s">
        <v>24</v>
      </c>
      <c r="B7" s="68">
        <f>PIOTR!N28</f>
        <v>2120</v>
      </c>
      <c r="C7" s="68">
        <f>PIOTR!O28</f>
        <v>2280</v>
      </c>
      <c r="D7" s="68">
        <f>PIOTR!P28</f>
        <v>2208.75</v>
      </c>
      <c r="E7" s="68"/>
      <c r="F7" s="484">
        <f>PIOTR!J28</f>
        <v>2137.5</v>
      </c>
      <c r="G7" s="484">
        <f>PIOTR!K28</f>
        <v>2280</v>
      </c>
      <c r="H7" s="484">
        <f>PIOTR!L28</f>
        <v>1781.2499999999998</v>
      </c>
      <c r="I7" s="298"/>
      <c r="J7" s="68">
        <f>PIOTR!F28</f>
        <v>2280</v>
      </c>
      <c r="K7" s="68">
        <f>PIOTR!G28</f>
        <v>1781.2499999999998</v>
      </c>
      <c r="L7" s="68">
        <f>PIOTR!H28</f>
        <v>1282.5</v>
      </c>
      <c r="M7" s="298"/>
      <c r="N7" s="68">
        <f>PIOTR!B28</f>
        <v>1781.2499999999998</v>
      </c>
      <c r="O7" s="68">
        <f>PIOTR!C28</f>
        <v>2280</v>
      </c>
      <c r="P7" s="68">
        <f>PIOTR!D28</f>
        <v>2280</v>
      </c>
      <c r="Q7" s="808">
        <f t="shared" si="0"/>
        <v>16868.75</v>
      </c>
    </row>
    <row r="8" spans="1:17" ht="12.75" customHeight="1">
      <c r="A8" s="1" t="s">
        <v>25</v>
      </c>
      <c r="B8" s="68">
        <f>KRZYSZTOF!N28</f>
        <v>967.5</v>
      </c>
      <c r="C8" s="68">
        <f>KRZYSZTOF!O28</f>
        <v>1880</v>
      </c>
      <c r="D8" s="68">
        <f>KRZYSZTOF!P28</f>
        <v>1880</v>
      </c>
      <c r="E8" s="68"/>
      <c r="F8" s="484">
        <f>KRZYSZTOF!J28</f>
        <v>1880</v>
      </c>
      <c r="G8" s="484">
        <f>KRZYSZTOF!K28</f>
        <v>1880</v>
      </c>
      <c r="H8" s="484">
        <f>KRZYSZTOF!L28</f>
        <v>1880</v>
      </c>
      <c r="I8" s="298"/>
      <c r="J8" s="68">
        <f>KRZYSZTOF!F28</f>
        <v>1880</v>
      </c>
      <c r="K8" s="68">
        <f>KRZYSZTOF!G28</f>
        <v>1880</v>
      </c>
      <c r="L8" s="68">
        <f>KRZYSZTOF!H28</f>
        <v>1880</v>
      </c>
      <c r="M8" s="298"/>
      <c r="N8" s="68">
        <f>KRZYSZTOF!B28</f>
        <v>1880</v>
      </c>
      <c r="O8" s="68">
        <f>KRZYSZTOF!C28</f>
        <v>1880</v>
      </c>
      <c r="P8" s="68">
        <f>KRZYSZTOF!D28</f>
        <v>1880</v>
      </c>
      <c r="Q8" s="808">
        <f t="shared" si="0"/>
        <v>14127.5</v>
      </c>
    </row>
    <row r="9" spans="1:17" ht="12.75" customHeight="1">
      <c r="A9" s="375" t="s">
        <v>174</v>
      </c>
      <c r="B9" s="298" t="e">
        <f>'1'!N39</f>
        <v>#DIV/0!</v>
      </c>
      <c r="C9" s="298" t="e">
        <f>'1'!O39</f>
        <v>#DIV/0!</v>
      </c>
      <c r="D9" s="298" t="e">
        <f>'1'!P39</f>
        <v>#DIV/0!</v>
      </c>
      <c r="E9" s="68"/>
      <c r="F9" s="298" t="e">
        <f>'1'!J39</f>
        <v>#DIV/0!</v>
      </c>
      <c r="G9" s="298" t="e">
        <f>'1'!K39</f>
        <v>#DIV/0!</v>
      </c>
      <c r="H9" s="298" t="e">
        <f>'1'!L39</f>
        <v>#DIV/0!</v>
      </c>
      <c r="I9" s="298"/>
      <c r="J9" s="298" t="e">
        <f>'1'!F39</f>
        <v>#DIV/0!</v>
      </c>
      <c r="K9" s="298" t="e">
        <f>'1'!G39</f>
        <v>#DIV/0!</v>
      </c>
      <c r="L9" s="298" t="e">
        <f>'1'!H39</f>
        <v>#DIV/0!</v>
      </c>
      <c r="M9" s="298"/>
      <c r="N9" s="298" t="e">
        <f>'1'!B39</f>
        <v>#DIV/0!</v>
      </c>
      <c r="O9" s="298" t="e">
        <f>'1'!C39</f>
        <v>#DIV/0!</v>
      </c>
      <c r="P9" s="298" t="e">
        <f>'1'!D39</f>
        <v>#DIV/0!</v>
      </c>
    </row>
    <row r="10" spans="1:17" ht="12.75" customHeight="1">
      <c r="A10" s="375" t="s">
        <v>170</v>
      </c>
      <c r="B10" s="68"/>
      <c r="C10" s="68"/>
      <c r="D10" s="68"/>
      <c r="E10" s="68"/>
      <c r="F10" s="298"/>
      <c r="G10" s="298"/>
      <c r="H10" s="298"/>
      <c r="I10" s="298"/>
      <c r="J10" s="374" t="e">
        <f>'0'!F39-520</f>
        <v>#DIV/0!</v>
      </c>
      <c r="K10" s="374" t="e">
        <f>'0'!G39+520</f>
        <v>#DIV/0!</v>
      </c>
      <c r="L10" s="298" t="e">
        <f>'0'!H39</f>
        <v>#DIV/0!</v>
      </c>
      <c r="M10" s="298"/>
      <c r="N10" s="298" t="e">
        <f>'0'!B39</f>
        <v>#DIV/0!</v>
      </c>
      <c r="O10" s="298" t="e">
        <f>'0'!C39</f>
        <v>#DIV/0!</v>
      </c>
      <c r="P10" s="437" t="e">
        <f>'0'!D39</f>
        <v>#DIV/0!</v>
      </c>
    </row>
    <row r="11" spans="1:17" ht="12.75" customHeight="1"/>
    <row r="12" spans="1:17" ht="12.75" customHeight="1">
      <c r="A12" s="784" t="s">
        <v>23</v>
      </c>
      <c r="B12" s="784"/>
      <c r="C12" s="784"/>
      <c r="D12" s="784"/>
      <c r="E12" s="784"/>
      <c r="F12" s="784"/>
      <c r="G12" s="784"/>
      <c r="H12" s="784"/>
      <c r="I12" s="784"/>
      <c r="J12" s="784"/>
      <c r="K12" s="784"/>
      <c r="L12" s="784"/>
      <c r="M12" s="784"/>
      <c r="N12" s="784"/>
      <c r="O12" s="784"/>
      <c r="P12" s="784"/>
    </row>
    <row r="13" spans="1:17" ht="12.75" customHeight="1">
      <c r="A13" s="46"/>
      <c r="B13" s="799" t="s">
        <v>72</v>
      </c>
      <c r="C13" s="758"/>
      <c r="D13" s="759"/>
      <c r="E13" s="211"/>
      <c r="F13" s="800" t="s">
        <v>73</v>
      </c>
      <c r="G13" s="795"/>
      <c r="H13" s="796"/>
      <c r="I13" s="546"/>
      <c r="J13" s="799" t="s">
        <v>74</v>
      </c>
      <c r="K13" s="789"/>
      <c r="L13" s="790"/>
      <c r="M13" s="546"/>
      <c r="N13" s="799" t="s">
        <v>75</v>
      </c>
      <c r="O13" s="789"/>
      <c r="P13" s="790"/>
    </row>
    <row r="14" spans="1:17" ht="12.75" customHeight="1">
      <c r="A14" s="1" t="s">
        <v>31</v>
      </c>
      <c r="B14" s="788">
        <f>TOMEK!N34</f>
        <v>0</v>
      </c>
      <c r="C14" s="758"/>
      <c r="D14" s="759"/>
      <c r="E14" s="211"/>
      <c r="F14" s="794">
        <f>TOMEK!J34</f>
        <v>3150</v>
      </c>
      <c r="G14" s="795"/>
      <c r="H14" s="796"/>
      <c r="I14" s="546"/>
      <c r="J14" s="788">
        <f>TOMEK!F34</f>
        <v>0</v>
      </c>
      <c r="K14" s="789"/>
      <c r="L14" s="790"/>
      <c r="M14" s="546"/>
      <c r="N14" s="788">
        <f>TOMEK!B34</f>
        <v>4500</v>
      </c>
      <c r="O14" s="789"/>
      <c r="P14" s="790"/>
      <c r="Q14" s="362">
        <f>SUM(N14,J14,F14,B14)</f>
        <v>7650</v>
      </c>
    </row>
    <row r="15" spans="1:17" ht="12.75" customHeight="1">
      <c r="A15" s="1" t="s">
        <v>77</v>
      </c>
      <c r="B15" s="788">
        <f>BARTEK!N34</f>
        <v>0</v>
      </c>
      <c r="C15" s="797"/>
      <c r="D15" s="798"/>
      <c r="E15" s="212"/>
      <c r="F15" s="794">
        <f>BARTEK!J34</f>
        <v>0</v>
      </c>
      <c r="G15" s="795"/>
      <c r="H15" s="796"/>
      <c r="I15" s="546"/>
      <c r="J15" s="788">
        <f>BARTEK!F34</f>
        <v>0</v>
      </c>
      <c r="K15" s="789"/>
      <c r="L15" s="790"/>
      <c r="M15" s="546"/>
      <c r="N15" s="788">
        <f>BARTEK!B34</f>
        <v>2500</v>
      </c>
      <c r="O15" s="789"/>
      <c r="P15" s="790"/>
      <c r="Q15" s="362">
        <f t="shared" ref="Q15:Q17" si="1">SUM(N15,J15,F15,B15)</f>
        <v>2500</v>
      </c>
    </row>
    <row r="16" spans="1:17" ht="12.75" customHeight="1">
      <c r="A16" s="1" t="s">
        <v>24</v>
      </c>
      <c r="B16" s="788">
        <f>PIOTR!N34</f>
        <v>0</v>
      </c>
      <c r="C16" s="758"/>
      <c r="D16" s="759"/>
      <c r="E16" s="211"/>
      <c r="F16" s="794">
        <f>PIOTR!J34</f>
        <v>0</v>
      </c>
      <c r="G16" s="795"/>
      <c r="H16" s="796"/>
      <c r="I16" s="546"/>
      <c r="J16" s="788">
        <f>PIOTR!F34</f>
        <v>0</v>
      </c>
      <c r="K16" s="789"/>
      <c r="L16" s="790"/>
      <c r="M16" s="546"/>
      <c r="N16" s="788">
        <f>PIOTR!B34</f>
        <v>0</v>
      </c>
      <c r="O16" s="789"/>
      <c r="P16" s="790"/>
      <c r="Q16" s="362">
        <f t="shared" si="1"/>
        <v>0</v>
      </c>
    </row>
    <row r="17" spans="1:17" ht="12.75" customHeight="1">
      <c r="A17" s="1" t="s">
        <v>25</v>
      </c>
      <c r="B17" s="788">
        <f>KRZYSZTOF!N34</f>
        <v>2350</v>
      </c>
      <c r="C17" s="758"/>
      <c r="D17" s="759"/>
      <c r="E17" s="211"/>
      <c r="F17" s="794">
        <f>KRZYSZTOF!J34</f>
        <v>3290</v>
      </c>
      <c r="G17" s="795"/>
      <c r="H17" s="796"/>
      <c r="I17" s="546"/>
      <c r="J17" s="788">
        <f>KRZYSZTOF!F34</f>
        <v>2350</v>
      </c>
      <c r="K17" s="789"/>
      <c r="L17" s="790"/>
      <c r="M17" s="546"/>
      <c r="N17" s="788">
        <f>KRZYSZTOF!B34</f>
        <v>3290</v>
      </c>
      <c r="O17" s="789"/>
      <c r="P17" s="790"/>
      <c r="Q17" s="362">
        <f t="shared" si="1"/>
        <v>11280</v>
      </c>
    </row>
    <row r="18" spans="1:17" ht="12.75" customHeight="1">
      <c r="A18" s="375" t="s">
        <v>174</v>
      </c>
      <c r="B18" s="785" t="e">
        <f>'1'!N45</f>
        <v>#DIV/0!</v>
      </c>
      <c r="C18" s="786"/>
      <c r="D18" s="787"/>
      <c r="E18" s="211"/>
      <c r="F18" s="785" t="e">
        <f>'1'!J45</f>
        <v>#DIV/0!</v>
      </c>
      <c r="G18" s="786"/>
      <c r="H18" s="787"/>
      <c r="I18" s="546"/>
      <c r="J18" s="785" t="e">
        <f>'1'!F45</f>
        <v>#DIV/0!</v>
      </c>
      <c r="K18" s="786"/>
      <c r="L18" s="787"/>
      <c r="M18" s="546"/>
      <c r="N18" s="791" t="e">
        <f>'1'!B45</f>
        <v>#DIV/0!</v>
      </c>
      <c r="O18" s="792"/>
      <c r="P18" s="793"/>
    </row>
    <row r="19" spans="1:17" ht="12.75" customHeight="1">
      <c r="A19" s="375" t="s">
        <v>170</v>
      </c>
      <c r="B19" s="785" t="e">
        <f>'0'!N45</f>
        <v>#DIV/0!</v>
      </c>
      <c r="C19" s="786"/>
      <c r="D19" s="787"/>
      <c r="E19" s="364"/>
      <c r="F19" s="785" t="e">
        <f>'0'!J45</f>
        <v>#DIV/0!</v>
      </c>
      <c r="G19" s="786"/>
      <c r="H19" s="787"/>
      <c r="I19" s="546"/>
      <c r="J19" s="785" t="e">
        <f>'0'!F45</f>
        <v>#DIV/0!</v>
      </c>
      <c r="K19" s="786"/>
      <c r="L19" s="787"/>
      <c r="M19" s="546"/>
      <c r="N19" s="785" t="e">
        <f>'0'!B45</f>
        <v>#DIV/0!</v>
      </c>
      <c r="O19" s="786"/>
      <c r="P19" s="787"/>
    </row>
    <row r="20" spans="1:17" ht="12.75" customHeight="1">
      <c r="C20" s="362"/>
    </row>
    <row r="21" spans="1:17" ht="12.75" customHeight="1">
      <c r="A21" s="782"/>
      <c r="B21" s="783"/>
      <c r="C21" s="783"/>
      <c r="D21" s="783"/>
      <c r="E21" s="783"/>
      <c r="F21" s="783"/>
      <c r="G21" s="783"/>
      <c r="H21" s="783"/>
      <c r="I21" s="783"/>
      <c r="J21" s="783"/>
      <c r="K21" s="783"/>
      <c r="L21" s="783"/>
      <c r="M21" s="783"/>
      <c r="N21" s="783"/>
      <c r="O21" s="783"/>
      <c r="P21" s="762"/>
    </row>
    <row r="22" spans="1:17" ht="12.75" customHeight="1">
      <c r="A22" s="784" t="s">
        <v>216</v>
      </c>
      <c r="B22" s="784"/>
      <c r="C22" s="784"/>
      <c r="D22" s="784"/>
      <c r="E22" s="784"/>
      <c r="F22" s="784"/>
      <c r="G22" s="784"/>
      <c r="H22" s="784"/>
      <c r="I22" s="784"/>
      <c r="J22" s="784"/>
      <c r="K22" s="784"/>
      <c r="L22" s="784"/>
      <c r="M22" s="784"/>
      <c r="N22" s="784"/>
      <c r="O22" s="784"/>
      <c r="P22" s="784"/>
    </row>
    <row r="23" spans="1:17" ht="12.75" customHeight="1">
      <c r="A23" s="46"/>
      <c r="B23" s="47" t="s">
        <v>28</v>
      </c>
      <c r="C23" s="47" t="s">
        <v>22</v>
      </c>
      <c r="D23" s="47" t="s">
        <v>14</v>
      </c>
      <c r="E23" s="47"/>
      <c r="F23" s="483" t="s">
        <v>15</v>
      </c>
      <c r="G23" s="483" t="s">
        <v>16</v>
      </c>
      <c r="H23" s="483" t="s">
        <v>17</v>
      </c>
      <c r="I23" s="405"/>
      <c r="J23" s="483" t="s">
        <v>29</v>
      </c>
      <c r="K23" s="483" t="s">
        <v>30</v>
      </c>
      <c r="L23" s="483" t="s">
        <v>18</v>
      </c>
      <c r="M23" s="405"/>
      <c r="N23" s="47" t="s">
        <v>19</v>
      </c>
      <c r="O23" s="47" t="s">
        <v>20</v>
      </c>
      <c r="P23" s="47" t="s">
        <v>21</v>
      </c>
    </row>
    <row r="24" spans="1:17" ht="12.75" customHeight="1">
      <c r="A24" s="1" t="s">
        <v>31</v>
      </c>
      <c r="B24" s="68"/>
      <c r="C24" s="68"/>
      <c r="D24" s="68"/>
      <c r="E24" s="68"/>
      <c r="F24" s="484"/>
      <c r="G24" s="484"/>
      <c r="H24" s="484"/>
      <c r="I24" s="298"/>
      <c r="J24" s="484"/>
      <c r="K24" s="484"/>
      <c r="L24" s="484"/>
      <c r="M24" s="298"/>
      <c r="N24" s="68"/>
      <c r="O24" s="68"/>
      <c r="P24" s="68"/>
    </row>
    <row r="25" spans="1:17" ht="12.75" customHeight="1">
      <c r="A25" s="1" t="s">
        <v>71</v>
      </c>
      <c r="B25" s="68"/>
      <c r="C25" s="68"/>
      <c r="D25" s="68"/>
      <c r="E25" s="68"/>
      <c r="F25" s="484"/>
      <c r="G25" s="484"/>
      <c r="H25" s="484"/>
      <c r="I25" s="298"/>
      <c r="J25" s="484"/>
      <c r="K25" s="484"/>
      <c r="L25" s="484"/>
      <c r="M25" s="298"/>
      <c r="N25" s="68"/>
      <c r="O25" s="68"/>
      <c r="P25" s="68"/>
    </row>
    <row r="26" spans="1:17" ht="12.75" customHeight="1">
      <c r="A26" s="1" t="s">
        <v>77</v>
      </c>
      <c r="B26" s="157"/>
      <c r="C26" s="157"/>
      <c r="D26" s="68"/>
      <c r="E26" s="68"/>
      <c r="F26" s="484"/>
      <c r="G26" s="484"/>
      <c r="H26" s="484"/>
      <c r="I26" s="298"/>
      <c r="J26" s="484">
        <v>800</v>
      </c>
      <c r="K26" s="484"/>
      <c r="L26" s="484"/>
      <c r="M26" s="298"/>
      <c r="N26" s="68"/>
      <c r="O26" s="68"/>
      <c r="P26" s="68"/>
    </row>
    <row r="27" spans="1:17" ht="12.75" customHeight="1">
      <c r="A27" s="1" t="s">
        <v>24</v>
      </c>
      <c r="B27" s="68"/>
      <c r="C27" s="68"/>
      <c r="D27" s="68"/>
      <c r="E27" s="68"/>
      <c r="F27" s="484"/>
      <c r="G27" s="484"/>
      <c r="H27" s="484"/>
      <c r="I27" s="298"/>
      <c r="J27" s="484"/>
      <c r="K27" s="484"/>
      <c r="L27" s="484"/>
      <c r="M27" s="298"/>
      <c r="N27" s="68"/>
      <c r="O27" s="68"/>
      <c r="P27" s="68"/>
    </row>
    <row r="28" spans="1:17" ht="12.75" customHeight="1">
      <c r="A28" s="1" t="s">
        <v>25</v>
      </c>
      <c r="B28" s="68"/>
      <c r="C28" s="68"/>
      <c r="D28" s="68"/>
      <c r="E28" s="68"/>
      <c r="F28" s="484"/>
      <c r="G28" s="484"/>
      <c r="H28" s="484"/>
      <c r="I28" s="298"/>
      <c r="J28" s="484"/>
      <c r="K28" s="484"/>
      <c r="L28" s="484"/>
      <c r="M28" s="298"/>
      <c r="N28" s="68"/>
      <c r="O28" s="68"/>
      <c r="P28" s="68"/>
    </row>
    <row r="29" spans="1:17" ht="12.75" customHeight="1">
      <c r="A29" s="375" t="s">
        <v>174</v>
      </c>
      <c r="B29" s="68"/>
      <c r="C29" s="68"/>
      <c r="D29" s="68"/>
      <c r="E29" s="68"/>
      <c r="F29" s="484"/>
      <c r="G29" s="484"/>
      <c r="H29" s="484"/>
      <c r="I29" s="298"/>
      <c r="J29" s="484"/>
      <c r="K29" s="484"/>
      <c r="L29" s="298"/>
      <c r="M29" s="298"/>
      <c r="N29" s="68"/>
      <c r="O29" s="68"/>
      <c r="P29" s="68"/>
    </row>
    <row r="30" spans="1:17" ht="12.75" customHeight="1">
      <c r="A30" s="375" t="s">
        <v>170</v>
      </c>
      <c r="B30" s="68"/>
      <c r="C30" s="68"/>
      <c r="D30" s="68"/>
      <c r="E30" s="68"/>
      <c r="F30" s="484"/>
      <c r="G30" s="484"/>
      <c r="H30" s="484"/>
      <c r="I30" s="298"/>
      <c r="J30" s="374"/>
      <c r="K30" s="374"/>
      <c r="L30" s="298"/>
      <c r="M30" s="298"/>
      <c r="N30" s="68"/>
      <c r="O30" s="68"/>
      <c r="P30" s="533"/>
    </row>
    <row r="33" spans="3:3">
      <c r="C33" s="754"/>
    </row>
    <row r="34" spans="3:3">
      <c r="C34" s="99"/>
    </row>
    <row r="35" spans="3:3">
      <c r="C35" s="362"/>
    </row>
    <row r="36" spans="3:3">
      <c r="C36" s="754"/>
    </row>
  </sheetData>
  <mergeCells count="33"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  <mergeCell ref="F17:H17"/>
    <mergeCell ref="B19:D19"/>
    <mergeCell ref="F19:H19"/>
    <mergeCell ref="B18:D18"/>
    <mergeCell ref="B15:D15"/>
    <mergeCell ref="B16:D16"/>
    <mergeCell ref="A21:P21"/>
    <mergeCell ref="A22:P22"/>
    <mergeCell ref="J18:L18"/>
    <mergeCell ref="J15:L15"/>
    <mergeCell ref="J16:L16"/>
    <mergeCell ref="J17:L17"/>
    <mergeCell ref="N18:P18"/>
    <mergeCell ref="N15:P15"/>
    <mergeCell ref="N16:P16"/>
    <mergeCell ref="N17:P17"/>
    <mergeCell ref="J19:L19"/>
    <mergeCell ref="N19:P19"/>
    <mergeCell ref="B17:D17"/>
    <mergeCell ref="F18:H18"/>
    <mergeCell ref="F15:H15"/>
    <mergeCell ref="F16:H16"/>
  </mergeCells>
  <phoneticPr fontId="209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zoomScaleNormal="100" workbookViewId="0">
      <selection activeCell="A3" sqref="A3"/>
    </sheetView>
  </sheetViews>
  <sheetFormatPr defaultRowHeight="13.8"/>
  <cols>
    <col min="1" max="1" width="20.6640625" style="454" customWidth="1"/>
    <col min="2" max="2" width="14" style="154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3.44140625" customWidth="1"/>
    <col min="10" max="10" width="15.6640625" customWidth="1"/>
    <col min="11" max="11" width="13.109375" customWidth="1"/>
    <col min="12" max="12" width="16.109375" customWidth="1"/>
    <col min="13" max="13" width="15.109375" customWidth="1"/>
    <col min="14" max="14" width="14.44140625" customWidth="1"/>
    <col min="15" max="15" width="16.109375" customWidth="1"/>
    <col min="16" max="16" width="14.88671875" customWidth="1"/>
    <col min="17" max="19" width="13.109375" customWidth="1"/>
  </cols>
  <sheetData>
    <row r="1" spans="1:18" ht="13.2">
      <c r="A1" s="801" t="s">
        <v>94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</row>
    <row r="2" spans="1:18">
      <c r="A2" s="455"/>
      <c r="B2" s="105"/>
      <c r="C2" s="101" t="s">
        <v>79</v>
      </c>
      <c r="D2" s="101" t="s">
        <v>80</v>
      </c>
      <c r="E2" s="101" t="s">
        <v>81</v>
      </c>
      <c r="F2" s="101" t="s">
        <v>82</v>
      </c>
      <c r="G2" s="101" t="s">
        <v>83</v>
      </c>
      <c r="H2" s="101" t="s">
        <v>84</v>
      </c>
      <c r="I2" s="101" t="s">
        <v>85</v>
      </c>
      <c r="J2" s="101" t="s">
        <v>86</v>
      </c>
      <c r="K2" s="101" t="s">
        <v>87</v>
      </c>
      <c r="L2" s="101" t="s">
        <v>88</v>
      </c>
      <c r="M2" s="101" t="s">
        <v>89</v>
      </c>
      <c r="N2" s="101" t="s">
        <v>90</v>
      </c>
      <c r="O2" s="104" t="s">
        <v>171</v>
      </c>
      <c r="P2" s="370" t="s">
        <v>172</v>
      </c>
    </row>
    <row r="3" spans="1:18" ht="14.4">
      <c r="A3" s="455" t="s">
        <v>78</v>
      </c>
      <c r="B3" s="105">
        <v>22</v>
      </c>
      <c r="C3" s="185">
        <f>C25</f>
        <v>43500</v>
      </c>
      <c r="D3" s="186">
        <f t="shared" ref="D3:D5" si="0">E25</f>
        <v>48333.333333333336</v>
      </c>
      <c r="E3" s="186">
        <f t="shared" ref="E3:E5" si="1">G25</f>
        <v>53166.666666666672</v>
      </c>
      <c r="F3" s="186">
        <f>I25</f>
        <v>41100</v>
      </c>
      <c r="G3" s="186">
        <f t="shared" ref="G3:G5" si="2">K25</f>
        <v>45666.666666666664</v>
      </c>
      <c r="H3" s="186">
        <f t="shared" ref="H3:H5" si="3">M25</f>
        <v>50233.333333333336</v>
      </c>
      <c r="I3" s="102">
        <f t="shared" ref="I3:I4" si="4">O25</f>
        <v>43500</v>
      </c>
      <c r="J3" s="102">
        <f t="shared" ref="J3:J4" si="5">Q25</f>
        <v>48333.333333333336</v>
      </c>
      <c r="K3" s="102">
        <f t="shared" ref="K3:K4" si="6">S25</f>
        <v>53166.666666666672</v>
      </c>
      <c r="L3" s="102">
        <f>C78</f>
        <v>42433.333333333328</v>
      </c>
      <c r="M3" s="102">
        <f>E78</f>
        <v>46900</v>
      </c>
      <c r="N3" s="102">
        <f>G78</f>
        <v>44666.666666666664</v>
      </c>
      <c r="O3" s="102">
        <f t="shared" ref="O3:O10" si="7">SUM(C3:N3)</f>
        <v>561000</v>
      </c>
      <c r="P3" s="172">
        <f>TOMEK!R6</f>
        <v>579813.80429999996</v>
      </c>
      <c r="Q3" s="101" t="s">
        <v>78</v>
      </c>
      <c r="R3" s="371">
        <f>P3/O3</f>
        <v>1.0335361930481282</v>
      </c>
    </row>
    <row r="4" spans="1:18" ht="14.4">
      <c r="A4" s="455" t="s">
        <v>71</v>
      </c>
      <c r="B4" s="105">
        <v>23</v>
      </c>
      <c r="C4" s="185">
        <f t="shared" ref="C4:C6" si="8">C26</f>
        <v>36000</v>
      </c>
      <c r="D4" s="186">
        <f t="shared" si="0"/>
        <v>40000</v>
      </c>
      <c r="E4" s="186">
        <f t="shared" si="1"/>
        <v>44000</v>
      </c>
      <c r="F4" s="186">
        <f>I26</f>
        <v>32100</v>
      </c>
      <c r="G4" s="186">
        <f t="shared" si="2"/>
        <v>35666.666666666664</v>
      </c>
      <c r="H4" s="186">
        <f t="shared" si="3"/>
        <v>39233.333333333336</v>
      </c>
      <c r="I4" s="102">
        <f t="shared" si="4"/>
        <v>31950</v>
      </c>
      <c r="J4" s="102">
        <f t="shared" si="5"/>
        <v>35500</v>
      </c>
      <c r="K4" s="102">
        <f t="shared" si="6"/>
        <v>39050</v>
      </c>
      <c r="L4" s="102">
        <f>C79</f>
        <v>34833.333333333328</v>
      </c>
      <c r="M4" s="102">
        <f>E79</f>
        <v>38500</v>
      </c>
      <c r="N4" s="102">
        <f>G79</f>
        <v>36666.666666666664</v>
      </c>
      <c r="O4" s="102">
        <f t="shared" si="7"/>
        <v>443500</v>
      </c>
      <c r="P4" s="172">
        <f>MIRU!R6</f>
        <v>344938.55849999998</v>
      </c>
      <c r="Q4" s="101" t="s">
        <v>71</v>
      </c>
      <c r="R4" s="371">
        <f t="shared" ref="R4:R9" si="9">P4/O4</f>
        <v>0.77776450620067639</v>
      </c>
    </row>
    <row r="5" spans="1:18" ht="14.4">
      <c r="A5" s="455" t="s">
        <v>175</v>
      </c>
      <c r="B5" s="105">
        <v>27</v>
      </c>
      <c r="C5" s="185">
        <f t="shared" si="8"/>
        <v>0</v>
      </c>
      <c r="D5" s="186">
        <f t="shared" si="0"/>
        <v>0</v>
      </c>
      <c r="E5" s="186">
        <f t="shared" si="1"/>
        <v>0</v>
      </c>
      <c r="F5" s="186">
        <f t="shared" ref="F5" si="10">I27</f>
        <v>0</v>
      </c>
      <c r="G5" s="186">
        <f t="shared" si="2"/>
        <v>0</v>
      </c>
      <c r="H5" s="186">
        <f t="shared" si="3"/>
        <v>0</v>
      </c>
      <c r="I5" s="102">
        <f>O27</f>
        <v>0</v>
      </c>
      <c r="J5" s="102">
        <f>Q27</f>
        <v>0</v>
      </c>
      <c r="K5" s="102">
        <f>S27</f>
        <v>0</v>
      </c>
      <c r="L5" s="102">
        <f>C80</f>
        <v>0</v>
      </c>
      <c r="M5" s="102">
        <f>E80</f>
        <v>0</v>
      </c>
      <c r="N5" s="102">
        <f>G80</f>
        <v>0</v>
      </c>
      <c r="O5" s="102">
        <f t="shared" si="7"/>
        <v>0</v>
      </c>
      <c r="P5" s="172">
        <f>'1'!R6</f>
        <v>0</v>
      </c>
      <c r="Q5" s="101" t="s">
        <v>70</v>
      </c>
      <c r="R5" s="371" t="e">
        <f t="shared" si="9"/>
        <v>#DIV/0!</v>
      </c>
    </row>
    <row r="6" spans="1:18" ht="14.4">
      <c r="A6" s="455" t="s">
        <v>187</v>
      </c>
      <c r="B6" s="367">
        <v>27</v>
      </c>
      <c r="C6" s="185">
        <f t="shared" si="8"/>
        <v>0</v>
      </c>
      <c r="D6" s="186">
        <f t="shared" ref="D6" si="11">E28</f>
        <v>0</v>
      </c>
      <c r="E6" s="186">
        <f t="shared" ref="E6" si="12">G28</f>
        <v>0</v>
      </c>
      <c r="F6" s="186">
        <f t="shared" ref="F6" si="13">I28</f>
        <v>0</v>
      </c>
      <c r="G6" s="186">
        <f t="shared" ref="G6" si="14">K28</f>
        <v>0</v>
      </c>
      <c r="H6" s="186">
        <f t="shared" ref="H6" si="15">M28</f>
        <v>0</v>
      </c>
      <c r="I6" s="102"/>
      <c r="J6" s="102"/>
      <c r="K6" s="102"/>
      <c r="L6" s="102">
        <f>C81</f>
        <v>0</v>
      </c>
      <c r="M6" s="102">
        <f>E81</f>
        <v>0</v>
      </c>
      <c r="N6" s="102">
        <f>G81</f>
        <v>0</v>
      </c>
      <c r="O6" s="102">
        <f t="shared" si="7"/>
        <v>0</v>
      </c>
      <c r="P6" s="172">
        <f>'0'!R6</f>
        <v>0</v>
      </c>
      <c r="Q6" s="101" t="s">
        <v>170</v>
      </c>
      <c r="R6" s="371" t="e">
        <f t="shared" si="9"/>
        <v>#DIV/0!</v>
      </c>
    </row>
    <row r="7" spans="1:18" ht="14.4">
      <c r="A7" s="455" t="s">
        <v>91</v>
      </c>
      <c r="B7" s="105">
        <v>29</v>
      </c>
      <c r="C7" s="185">
        <f>C29</f>
        <v>61200</v>
      </c>
      <c r="D7" s="186">
        <f>E29</f>
        <v>68000</v>
      </c>
      <c r="E7" s="186">
        <f>G29</f>
        <v>74800</v>
      </c>
      <c r="F7" s="186">
        <f>I29</f>
        <v>61500</v>
      </c>
      <c r="G7" s="186">
        <f>K29</f>
        <v>68333.333333333328</v>
      </c>
      <c r="H7" s="186">
        <f>M29</f>
        <v>75166.666666666672</v>
      </c>
      <c r="I7" s="102">
        <f>O29</f>
        <v>63000</v>
      </c>
      <c r="J7" s="102">
        <f>Q29</f>
        <v>70000</v>
      </c>
      <c r="K7" s="102">
        <f>S29</f>
        <v>77000</v>
      </c>
      <c r="L7" s="102">
        <f t="shared" ref="L7:L9" si="16">C82</f>
        <v>60166.666666666664</v>
      </c>
      <c r="M7" s="102">
        <f t="shared" ref="M7:M9" si="17">E82</f>
        <v>66500</v>
      </c>
      <c r="N7" s="102">
        <f t="shared" ref="N7:N9" si="18">G82</f>
        <v>63333.333333333336</v>
      </c>
      <c r="O7" s="102">
        <f t="shared" si="7"/>
        <v>809000</v>
      </c>
      <c r="P7" s="172">
        <f>BARTEK!R6</f>
        <v>744731.60510000004</v>
      </c>
      <c r="Q7" s="101" t="s">
        <v>91</v>
      </c>
      <c r="R7" s="371">
        <f t="shared" si="9"/>
        <v>0.92055822632880102</v>
      </c>
    </row>
    <row r="8" spans="1:18" ht="14.4">
      <c r="A8" s="455" t="s">
        <v>24</v>
      </c>
      <c r="B8" s="105">
        <v>31</v>
      </c>
      <c r="C8" s="185">
        <f>C30</f>
        <v>71400</v>
      </c>
      <c r="D8" s="186">
        <f>E30</f>
        <v>79333.333333333328</v>
      </c>
      <c r="E8" s="186">
        <f>G30</f>
        <v>87266.666666666672</v>
      </c>
      <c r="F8" s="186">
        <f>I30</f>
        <v>73500</v>
      </c>
      <c r="G8" s="186">
        <f>K30</f>
        <v>81666.666666666672</v>
      </c>
      <c r="H8" s="186">
        <f>M30</f>
        <v>89833.333333333343</v>
      </c>
      <c r="I8" s="102">
        <f>O30</f>
        <v>70500</v>
      </c>
      <c r="J8" s="102">
        <f>Q30</f>
        <v>78333.333333333328</v>
      </c>
      <c r="K8" s="102">
        <f>S30</f>
        <v>86166.666666666672</v>
      </c>
      <c r="L8" s="102">
        <f t="shared" si="16"/>
        <v>80750</v>
      </c>
      <c r="M8" s="102">
        <f t="shared" si="17"/>
        <v>89250</v>
      </c>
      <c r="N8" s="102">
        <f t="shared" si="18"/>
        <v>85000</v>
      </c>
      <c r="O8" s="102">
        <f t="shared" si="7"/>
        <v>973000</v>
      </c>
      <c r="P8" s="172">
        <f>PIOTR!R6</f>
        <v>890503.95330000005</v>
      </c>
      <c r="Q8" s="101" t="s">
        <v>24</v>
      </c>
      <c r="R8" s="371">
        <f t="shared" si="9"/>
        <v>0.91521475159301136</v>
      </c>
    </row>
    <row r="9" spans="1:18" ht="14.4">
      <c r="A9" s="455" t="s">
        <v>25</v>
      </c>
      <c r="B9" s="105">
        <v>32</v>
      </c>
      <c r="C9" s="185">
        <f>C31</f>
        <v>47100</v>
      </c>
      <c r="D9" s="186">
        <f>E31</f>
        <v>52333.333333333336</v>
      </c>
      <c r="E9" s="186">
        <f>G31</f>
        <v>57566.666666666672</v>
      </c>
      <c r="F9" s="186">
        <f>I31</f>
        <v>51000</v>
      </c>
      <c r="G9" s="186">
        <f>K31</f>
        <v>56666.666666666664</v>
      </c>
      <c r="H9" s="186">
        <f>M31</f>
        <v>62333.333333333336</v>
      </c>
      <c r="I9" s="102">
        <f>O31</f>
        <v>50100</v>
      </c>
      <c r="J9" s="102">
        <f>Q31</f>
        <v>55666.666666666664</v>
      </c>
      <c r="K9" s="102">
        <f>S31</f>
        <v>61233.333333333336</v>
      </c>
      <c r="L9" s="102">
        <f t="shared" si="16"/>
        <v>55416.666666666664</v>
      </c>
      <c r="M9" s="102">
        <f t="shared" si="17"/>
        <v>61250.000000000007</v>
      </c>
      <c r="N9" s="102">
        <f t="shared" si="18"/>
        <v>58333.333333333336</v>
      </c>
      <c r="O9" s="102">
        <f t="shared" si="7"/>
        <v>669000</v>
      </c>
      <c r="P9" s="172">
        <f>KRZYSZTOF!R6</f>
        <v>694604.86170000001</v>
      </c>
      <c r="Q9" s="101" t="s">
        <v>25</v>
      </c>
      <c r="R9" s="371">
        <f t="shared" si="9"/>
        <v>1.0382733358744394</v>
      </c>
    </row>
    <row r="10" spans="1:18">
      <c r="A10" s="455" t="s">
        <v>92</v>
      </c>
      <c r="B10" s="105"/>
      <c r="C10" s="172">
        <f>SUM(C3:C9)</f>
        <v>259200</v>
      </c>
      <c r="D10" s="172">
        <f t="shared" ref="D10:N10" si="19">SUM(D3:D9)</f>
        <v>288000</v>
      </c>
      <c r="E10" s="172">
        <f>SUM(E3:E9)</f>
        <v>316800.00000000006</v>
      </c>
      <c r="F10" s="172">
        <f t="shared" si="19"/>
        <v>259200</v>
      </c>
      <c r="G10" s="172">
        <f t="shared" si="19"/>
        <v>288000</v>
      </c>
      <c r="H10" s="172">
        <f t="shared" si="19"/>
        <v>316800</v>
      </c>
      <c r="I10" s="172">
        <f t="shared" si="19"/>
        <v>259050</v>
      </c>
      <c r="J10" s="172">
        <f t="shared" si="19"/>
        <v>287833.33333333337</v>
      </c>
      <c r="K10" s="172">
        <f t="shared" si="19"/>
        <v>316616.66666666669</v>
      </c>
      <c r="L10" s="172">
        <f t="shared" si="19"/>
        <v>273600</v>
      </c>
      <c r="M10" s="172">
        <f t="shared" si="19"/>
        <v>302400</v>
      </c>
      <c r="N10" s="172">
        <f t="shared" si="19"/>
        <v>288000</v>
      </c>
      <c r="O10" s="172">
        <f t="shared" si="7"/>
        <v>3455500</v>
      </c>
    </row>
    <row r="11" spans="1:18" ht="13.2">
      <c r="A11" s="801" t="s">
        <v>93</v>
      </c>
      <c r="B11" s="801"/>
      <c r="C11" s="801"/>
      <c r="D11" s="801"/>
      <c r="E11" s="801"/>
      <c r="F11" s="801"/>
      <c r="G11" s="801"/>
      <c r="H11" s="801"/>
      <c r="I11" s="801"/>
      <c r="J11" s="801"/>
      <c r="K11" s="801"/>
      <c r="L11" s="801"/>
      <c r="M11" s="801"/>
      <c r="N11" s="801"/>
      <c r="O11" s="801"/>
    </row>
    <row r="12" spans="1:18">
      <c r="A12" s="455"/>
      <c r="B12" s="105"/>
      <c r="C12" s="101" t="s">
        <v>79</v>
      </c>
      <c r="D12" s="101" t="s">
        <v>80</v>
      </c>
      <c r="E12" s="101" t="s">
        <v>81</v>
      </c>
      <c r="F12" s="101" t="s">
        <v>82</v>
      </c>
      <c r="G12" s="101" t="s">
        <v>83</v>
      </c>
      <c r="H12" s="101" t="s">
        <v>84</v>
      </c>
      <c r="I12" s="101" t="s">
        <v>85</v>
      </c>
      <c r="J12" s="101" t="s">
        <v>86</v>
      </c>
      <c r="K12" s="101" t="s">
        <v>87</v>
      </c>
      <c r="L12" s="101" t="s">
        <v>88</v>
      </c>
      <c r="M12" s="101" t="s">
        <v>89</v>
      </c>
      <c r="N12" s="101" t="s">
        <v>90</v>
      </c>
      <c r="O12" s="101"/>
    </row>
    <row r="13" spans="1:18" ht="14.4">
      <c r="A13" s="455" t="s">
        <v>78</v>
      </c>
      <c r="B13" s="105">
        <v>22</v>
      </c>
      <c r="C13" s="185">
        <f t="shared" ref="C13:C15" si="20">B25</f>
        <v>0</v>
      </c>
      <c r="D13" s="186">
        <f t="shared" ref="D13:D16" si="21">D25</f>
        <v>0</v>
      </c>
      <c r="E13" s="186">
        <f t="shared" ref="E13:E15" si="22">F25</f>
        <v>0</v>
      </c>
      <c r="F13" s="186">
        <f t="shared" ref="F13:F15" si="23">H25</f>
        <v>0</v>
      </c>
      <c r="G13" s="186">
        <f t="shared" ref="G13:G15" si="24">J25</f>
        <v>0</v>
      </c>
      <c r="H13" s="186">
        <f t="shared" ref="H13:H15" si="25">L25</f>
        <v>0</v>
      </c>
      <c r="I13" s="103">
        <f t="shared" ref="I13:I14" si="26">N25</f>
        <v>0</v>
      </c>
      <c r="J13" s="103">
        <f t="shared" ref="J13:J15" si="27">P25</f>
        <v>0</v>
      </c>
      <c r="K13" s="103">
        <f t="shared" ref="K13:K15" si="28">R25</f>
        <v>0</v>
      </c>
      <c r="L13" s="103">
        <f>B78</f>
        <v>0</v>
      </c>
      <c r="M13" s="103">
        <f>D78</f>
        <v>0</v>
      </c>
      <c r="N13" s="103">
        <f>F78</f>
        <v>0</v>
      </c>
      <c r="O13" s="102">
        <f t="shared" ref="O13:O20" si="29">SUM(C13:N13)</f>
        <v>0</v>
      </c>
      <c r="P13" s="172">
        <f>TOMEK!R11</f>
        <v>1521371.6875</v>
      </c>
      <c r="Q13" s="101" t="s">
        <v>78</v>
      </c>
      <c r="R13" s="371" t="e">
        <f t="shared" ref="R13:R19" si="30">P13/O13</f>
        <v>#DIV/0!</v>
      </c>
    </row>
    <row r="14" spans="1:18" ht="14.4">
      <c r="A14" s="455" t="s">
        <v>71</v>
      </c>
      <c r="B14" s="105">
        <v>23</v>
      </c>
      <c r="C14" s="185">
        <f t="shared" si="20"/>
        <v>0</v>
      </c>
      <c r="D14" s="186">
        <f t="shared" si="21"/>
        <v>0</v>
      </c>
      <c r="E14" s="186">
        <f>F26</f>
        <v>0</v>
      </c>
      <c r="F14" s="186">
        <f t="shared" si="23"/>
        <v>0</v>
      </c>
      <c r="G14" s="186">
        <f t="shared" si="24"/>
        <v>0</v>
      </c>
      <c r="H14" s="186">
        <f t="shared" si="25"/>
        <v>0</v>
      </c>
      <c r="I14" s="103">
        <f t="shared" si="26"/>
        <v>0</v>
      </c>
      <c r="J14" s="103">
        <f t="shared" si="27"/>
        <v>0</v>
      </c>
      <c r="K14" s="103">
        <f t="shared" si="28"/>
        <v>0</v>
      </c>
      <c r="L14" s="103">
        <f>B79</f>
        <v>0</v>
      </c>
      <c r="M14" s="103">
        <f>D79</f>
        <v>0</v>
      </c>
      <c r="N14" s="103">
        <f>F79</f>
        <v>0</v>
      </c>
      <c r="O14" s="102">
        <f t="shared" si="29"/>
        <v>0</v>
      </c>
      <c r="P14" s="172">
        <f>MIRU!R11</f>
        <v>594335.17200000002</v>
      </c>
      <c r="Q14" s="101" t="s">
        <v>71</v>
      </c>
      <c r="R14" s="371" t="e">
        <f t="shared" si="30"/>
        <v>#DIV/0!</v>
      </c>
    </row>
    <row r="15" spans="1:18" ht="14.4">
      <c r="A15" s="455" t="s">
        <v>174</v>
      </c>
      <c r="B15" s="105">
        <v>27</v>
      </c>
      <c r="C15" s="185">
        <f t="shared" si="20"/>
        <v>0</v>
      </c>
      <c r="D15" s="186">
        <f t="shared" si="21"/>
        <v>0</v>
      </c>
      <c r="E15" s="186">
        <f t="shared" si="22"/>
        <v>0</v>
      </c>
      <c r="F15" s="186">
        <f t="shared" si="23"/>
        <v>0</v>
      </c>
      <c r="G15" s="186">
        <f t="shared" si="24"/>
        <v>0</v>
      </c>
      <c r="H15" s="186">
        <f t="shared" si="25"/>
        <v>0</v>
      </c>
      <c r="I15" s="103">
        <f>N27</f>
        <v>0</v>
      </c>
      <c r="J15" s="103">
        <f t="shared" si="27"/>
        <v>0</v>
      </c>
      <c r="K15" s="103">
        <f t="shared" si="28"/>
        <v>0</v>
      </c>
      <c r="L15" s="103">
        <f>B80</f>
        <v>0</v>
      </c>
      <c r="M15" s="103">
        <f>D80</f>
        <v>0</v>
      </c>
      <c r="N15" s="384">
        <f>F80</f>
        <v>0</v>
      </c>
      <c r="O15" s="102">
        <f t="shared" si="29"/>
        <v>0</v>
      </c>
      <c r="P15" s="172">
        <f>'1'!R13</f>
        <v>0</v>
      </c>
      <c r="Q15" s="101" t="s">
        <v>70</v>
      </c>
      <c r="R15" s="371" t="e">
        <f t="shared" si="30"/>
        <v>#DIV/0!</v>
      </c>
    </row>
    <row r="16" spans="1:18" ht="14.4">
      <c r="A16" s="455" t="s">
        <v>187</v>
      </c>
      <c r="B16" s="367">
        <v>27</v>
      </c>
      <c r="C16" s="185">
        <f t="shared" ref="C16" si="31">B28</f>
        <v>0</v>
      </c>
      <c r="D16" s="186">
        <f t="shared" si="21"/>
        <v>0</v>
      </c>
      <c r="E16" s="186">
        <f t="shared" ref="E16" si="32">F28</f>
        <v>0</v>
      </c>
      <c r="F16" s="186">
        <f t="shared" ref="F16" si="33">H28</f>
        <v>0</v>
      </c>
      <c r="G16" s="186">
        <f t="shared" ref="G16" si="34">J28</f>
        <v>0</v>
      </c>
      <c r="H16" s="186">
        <f t="shared" ref="H16" si="35">L28</f>
        <v>0</v>
      </c>
      <c r="I16" s="103"/>
      <c r="J16" s="103"/>
      <c r="K16" s="103"/>
      <c r="L16" s="369"/>
      <c r="M16" s="103"/>
      <c r="N16" s="103"/>
      <c r="O16" s="102">
        <f t="shared" si="29"/>
        <v>0</v>
      </c>
      <c r="P16" s="172">
        <f>'0'!R13</f>
        <v>0</v>
      </c>
      <c r="Q16" s="101" t="s">
        <v>170</v>
      </c>
      <c r="R16" s="371" t="e">
        <f t="shared" si="30"/>
        <v>#DIV/0!</v>
      </c>
    </row>
    <row r="17" spans="1:19" ht="14.4">
      <c r="A17" s="455" t="s">
        <v>91</v>
      </c>
      <c r="B17" s="105">
        <v>29</v>
      </c>
      <c r="C17" s="185">
        <f>B29</f>
        <v>0</v>
      </c>
      <c r="D17" s="186">
        <f>D29</f>
        <v>0</v>
      </c>
      <c r="E17" s="186">
        <f>F29</f>
        <v>0</v>
      </c>
      <c r="F17" s="186">
        <f>H29</f>
        <v>0</v>
      </c>
      <c r="G17" s="186">
        <f>J29</f>
        <v>0</v>
      </c>
      <c r="H17" s="186">
        <f>L29</f>
        <v>0</v>
      </c>
      <c r="I17" s="103">
        <f>N29</f>
        <v>0</v>
      </c>
      <c r="J17" s="103">
        <f>P29</f>
        <v>0</v>
      </c>
      <c r="K17" s="103">
        <f>R29</f>
        <v>0</v>
      </c>
      <c r="L17" s="103">
        <f t="shared" ref="L17:L19" si="36">B82</f>
        <v>0</v>
      </c>
      <c r="M17" s="103">
        <f t="shared" ref="M17:M19" si="37">D82</f>
        <v>0</v>
      </c>
      <c r="N17" s="103">
        <f t="shared" ref="N17:N19" si="38">F82</f>
        <v>0</v>
      </c>
      <c r="O17" s="102">
        <f t="shared" si="29"/>
        <v>0</v>
      </c>
      <c r="P17" s="172">
        <f>BARTEK!R11</f>
        <v>2287249.9219</v>
      </c>
      <c r="Q17" s="101" t="s">
        <v>91</v>
      </c>
      <c r="R17" s="371" t="e">
        <f t="shared" si="30"/>
        <v>#DIV/0!</v>
      </c>
    </row>
    <row r="18" spans="1:19" ht="14.4">
      <c r="A18" s="455" t="s">
        <v>24</v>
      </c>
      <c r="B18" s="105">
        <v>31</v>
      </c>
      <c r="C18" s="185">
        <f>B30</f>
        <v>0</v>
      </c>
      <c r="D18" s="186">
        <f>D30</f>
        <v>0</v>
      </c>
      <c r="E18" s="186">
        <f>F30</f>
        <v>0</v>
      </c>
      <c r="F18" s="186">
        <f>H30</f>
        <v>0</v>
      </c>
      <c r="G18" s="186">
        <f>J30</f>
        <v>0</v>
      </c>
      <c r="H18" s="186">
        <f>L30</f>
        <v>0</v>
      </c>
      <c r="I18" s="103">
        <f>N30</f>
        <v>0</v>
      </c>
      <c r="J18" s="103">
        <f>P30</f>
        <v>0</v>
      </c>
      <c r="K18" s="103">
        <f>R30</f>
        <v>0</v>
      </c>
      <c r="L18" s="103">
        <f t="shared" si="36"/>
        <v>0</v>
      </c>
      <c r="M18" s="103">
        <f t="shared" si="37"/>
        <v>0</v>
      </c>
      <c r="N18" s="103">
        <f t="shared" si="38"/>
        <v>0</v>
      </c>
      <c r="O18" s="102">
        <f t="shared" si="29"/>
        <v>0</v>
      </c>
      <c r="P18" s="172">
        <f>PIOTR!R11</f>
        <v>2762753.8284</v>
      </c>
      <c r="Q18" s="101" t="s">
        <v>24</v>
      </c>
      <c r="R18" s="371" t="e">
        <f t="shared" si="30"/>
        <v>#DIV/0!</v>
      </c>
    </row>
    <row r="19" spans="1:19" ht="14.4">
      <c r="A19" s="455" t="s">
        <v>25</v>
      </c>
      <c r="B19" s="105">
        <v>32</v>
      </c>
      <c r="C19" s="185">
        <f>B31</f>
        <v>0</v>
      </c>
      <c r="D19" s="186">
        <f>D31</f>
        <v>0</v>
      </c>
      <c r="E19" s="186">
        <f>F31</f>
        <v>0</v>
      </c>
      <c r="F19" s="186">
        <f>H31</f>
        <v>0</v>
      </c>
      <c r="G19" s="186">
        <f>J31</f>
        <v>0</v>
      </c>
      <c r="H19" s="186">
        <f>L31</f>
        <v>0</v>
      </c>
      <c r="I19" s="103">
        <f>N31</f>
        <v>0</v>
      </c>
      <c r="J19" s="103">
        <f>P31</f>
        <v>0</v>
      </c>
      <c r="K19" s="103">
        <f>R31</f>
        <v>0</v>
      </c>
      <c r="L19" s="103">
        <f t="shared" si="36"/>
        <v>0</v>
      </c>
      <c r="M19" s="103">
        <f t="shared" si="37"/>
        <v>0</v>
      </c>
      <c r="N19" s="103">
        <f t="shared" si="38"/>
        <v>0</v>
      </c>
      <c r="O19" s="102">
        <f t="shared" si="29"/>
        <v>0</v>
      </c>
      <c r="P19" s="172">
        <f>KRZYSZTOF!R11</f>
        <v>2062815.6954000001</v>
      </c>
      <c r="Q19" s="101" t="s">
        <v>25</v>
      </c>
      <c r="R19" s="371" t="e">
        <f t="shared" si="30"/>
        <v>#DIV/0!</v>
      </c>
    </row>
    <row r="20" spans="1:19">
      <c r="A20" s="455" t="s">
        <v>92</v>
      </c>
      <c r="B20" s="105"/>
      <c r="C20" s="172">
        <f>SUM(C13:C19)</f>
        <v>0</v>
      </c>
      <c r="D20" s="172">
        <f t="shared" ref="D20:N20" si="39">SUM(D13:D19)</f>
        <v>0</v>
      </c>
      <c r="E20" s="172">
        <f t="shared" si="39"/>
        <v>0</v>
      </c>
      <c r="F20" s="172">
        <f t="shared" si="39"/>
        <v>0</v>
      </c>
      <c r="G20" s="172">
        <f t="shared" si="39"/>
        <v>0</v>
      </c>
      <c r="H20" s="172">
        <f t="shared" si="39"/>
        <v>0</v>
      </c>
      <c r="I20" s="172">
        <f t="shared" si="39"/>
        <v>0</v>
      </c>
      <c r="J20" s="172">
        <f t="shared" si="39"/>
        <v>0</v>
      </c>
      <c r="K20" s="172">
        <f t="shared" si="39"/>
        <v>0</v>
      </c>
      <c r="L20" s="172">
        <f t="shared" si="39"/>
        <v>0</v>
      </c>
      <c r="M20" s="172">
        <f t="shared" si="39"/>
        <v>0</v>
      </c>
      <c r="N20" s="172">
        <f t="shared" si="39"/>
        <v>0</v>
      </c>
      <c r="O20" s="172">
        <f t="shared" si="29"/>
        <v>0</v>
      </c>
    </row>
    <row r="21" spans="1:19">
      <c r="N21" s="156"/>
    </row>
    <row r="23" spans="1:19">
      <c r="A23" s="455"/>
      <c r="B23" s="801" t="s">
        <v>116</v>
      </c>
      <c r="C23" s="801"/>
      <c r="D23" s="801" t="s">
        <v>117</v>
      </c>
      <c r="E23" s="801"/>
      <c r="F23" s="801" t="s">
        <v>118</v>
      </c>
      <c r="G23" s="801"/>
      <c r="H23" s="801" t="s">
        <v>15</v>
      </c>
      <c r="I23" s="801"/>
      <c r="J23" s="801" t="s">
        <v>147</v>
      </c>
      <c r="K23" s="801"/>
      <c r="L23" s="801" t="s">
        <v>17</v>
      </c>
      <c r="M23" s="801"/>
      <c r="N23" s="801" t="s">
        <v>151</v>
      </c>
      <c r="O23" s="801"/>
      <c r="P23" s="801" t="s">
        <v>152</v>
      </c>
      <c r="Q23" s="801"/>
      <c r="R23" s="801" t="s">
        <v>18</v>
      </c>
      <c r="S23" s="801"/>
    </row>
    <row r="24" spans="1:19" ht="14.4">
      <c r="A24" s="455"/>
      <c r="B24" s="297" t="s">
        <v>119</v>
      </c>
      <c r="C24" s="297" t="s">
        <v>114</v>
      </c>
      <c r="D24" s="297" t="s">
        <v>119</v>
      </c>
      <c r="E24" s="297" t="s">
        <v>114</v>
      </c>
      <c r="F24" s="297" t="s">
        <v>119</v>
      </c>
      <c r="G24" s="297" t="s">
        <v>114</v>
      </c>
      <c r="H24" s="105" t="s">
        <v>119</v>
      </c>
      <c r="I24" s="105" t="s">
        <v>114</v>
      </c>
      <c r="J24" s="105" t="s">
        <v>119</v>
      </c>
      <c r="K24" s="105" t="s">
        <v>114</v>
      </c>
      <c r="L24" s="105" t="s">
        <v>119</v>
      </c>
      <c r="M24" s="105" t="s">
        <v>114</v>
      </c>
      <c r="N24" s="105" t="s">
        <v>119</v>
      </c>
      <c r="O24" s="105" t="s">
        <v>114</v>
      </c>
      <c r="P24" s="105" t="s">
        <v>119</v>
      </c>
      <c r="Q24" s="105" t="s">
        <v>114</v>
      </c>
      <c r="R24" s="105" t="s">
        <v>119</v>
      </c>
      <c r="S24" s="105" t="s">
        <v>114</v>
      </c>
    </row>
    <row r="25" spans="1:19" ht="14.4">
      <c r="A25" s="455" t="s">
        <v>120</v>
      </c>
      <c r="B25" s="372">
        <f>B44</f>
        <v>0</v>
      </c>
      <c r="C25" s="373">
        <f t="shared" ref="C25:G25" si="40">C44</f>
        <v>43500</v>
      </c>
      <c r="D25" s="373">
        <f t="shared" si="40"/>
        <v>0</v>
      </c>
      <c r="E25" s="373">
        <f t="shared" si="40"/>
        <v>48333.333333333336</v>
      </c>
      <c r="F25" s="373">
        <f t="shared" si="40"/>
        <v>0</v>
      </c>
      <c r="G25" s="373">
        <f t="shared" si="40"/>
        <v>53166.666666666672</v>
      </c>
      <c r="H25" s="361">
        <f>B55</f>
        <v>0</v>
      </c>
      <c r="I25" s="361">
        <f t="shared" ref="I25:M25" si="41">C55</f>
        <v>41100</v>
      </c>
      <c r="J25" s="361">
        <f t="shared" si="41"/>
        <v>0</v>
      </c>
      <c r="K25" s="361">
        <f t="shared" si="41"/>
        <v>45666.666666666664</v>
      </c>
      <c r="L25" s="361">
        <f t="shared" si="41"/>
        <v>0</v>
      </c>
      <c r="M25" s="361">
        <f t="shared" si="41"/>
        <v>50233.333333333336</v>
      </c>
      <c r="N25" s="185">
        <f>B67</f>
        <v>0</v>
      </c>
      <c r="O25" s="185">
        <f t="shared" ref="O25:S25" si="42">C67</f>
        <v>43500</v>
      </c>
      <c r="P25" s="185">
        <f t="shared" si="42"/>
        <v>0</v>
      </c>
      <c r="Q25" s="185">
        <f t="shared" si="42"/>
        <v>48333.333333333336</v>
      </c>
      <c r="R25" s="185">
        <f t="shared" si="42"/>
        <v>0</v>
      </c>
      <c r="S25" s="185">
        <f t="shared" si="42"/>
        <v>53166.666666666672</v>
      </c>
    </row>
    <row r="26" spans="1:19" ht="14.4">
      <c r="A26" s="455" t="s">
        <v>121</v>
      </c>
      <c r="B26" s="373">
        <f t="shared" ref="B26:G26" si="43">B45</f>
        <v>0</v>
      </c>
      <c r="C26" s="373">
        <f t="shared" si="43"/>
        <v>36000</v>
      </c>
      <c r="D26" s="373">
        <f t="shared" si="43"/>
        <v>0</v>
      </c>
      <c r="E26" s="373">
        <f t="shared" si="43"/>
        <v>40000</v>
      </c>
      <c r="F26" s="373">
        <f t="shared" si="43"/>
        <v>0</v>
      </c>
      <c r="G26" s="373">
        <f t="shared" si="43"/>
        <v>44000</v>
      </c>
      <c r="H26" s="361">
        <f t="shared" ref="H26:M26" si="44">B56</f>
        <v>0</v>
      </c>
      <c r="I26" s="361">
        <f t="shared" si="44"/>
        <v>32100</v>
      </c>
      <c r="J26" s="361">
        <f t="shared" si="44"/>
        <v>0</v>
      </c>
      <c r="K26" s="361">
        <f t="shared" si="44"/>
        <v>35666.666666666664</v>
      </c>
      <c r="L26" s="361">
        <f t="shared" si="44"/>
        <v>0</v>
      </c>
      <c r="M26" s="361">
        <f t="shared" si="44"/>
        <v>39233.333333333336</v>
      </c>
      <c r="N26" s="185">
        <f>B68</f>
        <v>0</v>
      </c>
      <c r="O26" s="185">
        <f t="shared" ref="O26:S28" si="45">C68</f>
        <v>31950</v>
      </c>
      <c r="P26" s="185">
        <f t="shared" si="45"/>
        <v>0</v>
      </c>
      <c r="Q26" s="185">
        <f t="shared" si="45"/>
        <v>35500</v>
      </c>
      <c r="R26" s="185">
        <f t="shared" si="45"/>
        <v>0</v>
      </c>
      <c r="S26" s="185">
        <f t="shared" si="45"/>
        <v>39050</v>
      </c>
    </row>
    <row r="27" spans="1:19" ht="14.4">
      <c r="A27" s="455" t="s">
        <v>173</v>
      </c>
      <c r="B27" s="373">
        <f t="shared" ref="B27:G27" si="46">B46</f>
        <v>0</v>
      </c>
      <c r="C27" s="373">
        <f t="shared" si="46"/>
        <v>0</v>
      </c>
      <c r="D27" s="373">
        <f t="shared" si="46"/>
        <v>0</v>
      </c>
      <c r="E27" s="373">
        <f t="shared" si="46"/>
        <v>0</v>
      </c>
      <c r="F27" s="373">
        <f t="shared" si="46"/>
        <v>0</v>
      </c>
      <c r="G27" s="373">
        <f t="shared" si="46"/>
        <v>0</v>
      </c>
      <c r="H27" s="361">
        <f t="shared" ref="H27:M27" si="47">B57</f>
        <v>0</v>
      </c>
      <c r="I27" s="361">
        <f t="shared" si="47"/>
        <v>0</v>
      </c>
      <c r="J27" s="361">
        <f t="shared" si="47"/>
        <v>0</v>
      </c>
      <c r="K27" s="361">
        <f t="shared" si="47"/>
        <v>0</v>
      </c>
      <c r="L27" s="361">
        <f t="shared" si="47"/>
        <v>0</v>
      </c>
      <c r="M27" s="361">
        <f t="shared" si="47"/>
        <v>0</v>
      </c>
      <c r="N27" s="185">
        <f>B69</f>
        <v>0</v>
      </c>
      <c r="O27" s="185">
        <f t="shared" si="45"/>
        <v>0</v>
      </c>
      <c r="P27" s="185">
        <f t="shared" si="45"/>
        <v>0</v>
      </c>
      <c r="Q27" s="185">
        <f t="shared" si="45"/>
        <v>0</v>
      </c>
      <c r="R27" s="185">
        <f t="shared" si="45"/>
        <v>0</v>
      </c>
      <c r="S27" s="185">
        <f t="shared" si="45"/>
        <v>0</v>
      </c>
    </row>
    <row r="28" spans="1:19" ht="14.4">
      <c r="A28" s="455" t="s">
        <v>187</v>
      </c>
      <c r="B28" s="373">
        <f t="shared" ref="B28:G28" si="48">B47</f>
        <v>0</v>
      </c>
      <c r="C28" s="373">
        <f t="shared" si="48"/>
        <v>0</v>
      </c>
      <c r="D28" s="373">
        <f t="shared" si="48"/>
        <v>0</v>
      </c>
      <c r="E28" s="373">
        <f t="shared" si="48"/>
        <v>0</v>
      </c>
      <c r="F28" s="373">
        <f t="shared" si="48"/>
        <v>0</v>
      </c>
      <c r="G28" s="373">
        <f t="shared" si="48"/>
        <v>0</v>
      </c>
      <c r="H28" s="361"/>
      <c r="I28" s="361"/>
      <c r="J28" s="361"/>
      <c r="K28" s="361"/>
      <c r="L28" s="361"/>
      <c r="M28" s="361"/>
      <c r="N28" s="185">
        <f>B70</f>
        <v>0</v>
      </c>
      <c r="O28" s="185">
        <f t="shared" si="45"/>
        <v>0</v>
      </c>
      <c r="P28" s="185">
        <f t="shared" si="45"/>
        <v>0</v>
      </c>
      <c r="Q28" s="185">
        <f t="shared" si="45"/>
        <v>0</v>
      </c>
      <c r="R28" s="185">
        <f t="shared" si="45"/>
        <v>0</v>
      </c>
      <c r="S28" s="185">
        <f t="shared" si="45"/>
        <v>0</v>
      </c>
    </row>
    <row r="29" spans="1:19" ht="14.4">
      <c r="A29" s="455" t="s">
        <v>122</v>
      </c>
      <c r="B29" s="373">
        <f t="shared" ref="B29:G29" si="49">B48</f>
        <v>0</v>
      </c>
      <c r="C29" s="373">
        <f t="shared" si="49"/>
        <v>61200</v>
      </c>
      <c r="D29" s="373">
        <f t="shared" si="49"/>
        <v>0</v>
      </c>
      <c r="E29" s="373">
        <f t="shared" si="49"/>
        <v>68000</v>
      </c>
      <c r="F29" s="373">
        <f t="shared" si="49"/>
        <v>0</v>
      </c>
      <c r="G29" s="373">
        <f t="shared" si="49"/>
        <v>74800</v>
      </c>
      <c r="H29" s="361">
        <f t="shared" ref="H29:M31" si="50">B59</f>
        <v>0</v>
      </c>
      <c r="I29" s="361">
        <f t="shared" si="50"/>
        <v>61500</v>
      </c>
      <c r="J29" s="361">
        <f t="shared" si="50"/>
        <v>0</v>
      </c>
      <c r="K29" s="361">
        <f t="shared" si="50"/>
        <v>68333.333333333328</v>
      </c>
      <c r="L29" s="361">
        <f>F59</f>
        <v>0</v>
      </c>
      <c r="M29" s="361">
        <f t="shared" si="50"/>
        <v>75166.666666666672</v>
      </c>
      <c r="N29" s="185">
        <f t="shared" ref="N29:S31" si="51">B71</f>
        <v>0</v>
      </c>
      <c r="O29" s="185">
        <f t="shared" si="51"/>
        <v>63000</v>
      </c>
      <c r="P29" s="185">
        <f t="shared" si="51"/>
        <v>0</v>
      </c>
      <c r="Q29" s="185">
        <f t="shared" si="51"/>
        <v>70000</v>
      </c>
      <c r="R29" s="185">
        <f t="shared" si="51"/>
        <v>0</v>
      </c>
      <c r="S29" s="185">
        <f t="shared" si="51"/>
        <v>77000</v>
      </c>
    </row>
    <row r="30" spans="1:19" ht="14.4">
      <c r="A30" s="455" t="s">
        <v>123</v>
      </c>
      <c r="B30" s="373">
        <f t="shared" ref="B30:G30" si="52">B49</f>
        <v>0</v>
      </c>
      <c r="C30" s="373">
        <f t="shared" si="52"/>
        <v>71400</v>
      </c>
      <c r="D30" s="373">
        <f t="shared" si="52"/>
        <v>0</v>
      </c>
      <c r="E30" s="373">
        <f t="shared" si="52"/>
        <v>79333.333333333328</v>
      </c>
      <c r="F30" s="373">
        <f t="shared" si="52"/>
        <v>0</v>
      </c>
      <c r="G30" s="373">
        <f t="shared" si="52"/>
        <v>87266.666666666672</v>
      </c>
      <c r="H30" s="361">
        <f t="shared" si="50"/>
        <v>0</v>
      </c>
      <c r="I30" s="361">
        <f t="shared" si="50"/>
        <v>73500</v>
      </c>
      <c r="J30" s="361">
        <f t="shared" si="50"/>
        <v>0</v>
      </c>
      <c r="K30" s="361">
        <f t="shared" si="50"/>
        <v>81666.666666666672</v>
      </c>
      <c r="L30" s="361">
        <f t="shared" si="50"/>
        <v>0</v>
      </c>
      <c r="M30" s="361">
        <f t="shared" si="50"/>
        <v>89833.333333333343</v>
      </c>
      <c r="N30" s="185">
        <f t="shared" si="51"/>
        <v>0</v>
      </c>
      <c r="O30" s="185">
        <f t="shared" si="51"/>
        <v>70500</v>
      </c>
      <c r="P30" s="185">
        <f t="shared" si="51"/>
        <v>0</v>
      </c>
      <c r="Q30" s="185">
        <f t="shared" si="51"/>
        <v>78333.333333333328</v>
      </c>
      <c r="R30" s="185">
        <f t="shared" si="51"/>
        <v>0</v>
      </c>
      <c r="S30" s="185">
        <f t="shared" si="51"/>
        <v>86166.666666666672</v>
      </c>
    </row>
    <row r="31" spans="1:19" ht="14.4">
      <c r="A31" s="455" t="s">
        <v>124</v>
      </c>
      <c r="B31" s="373">
        <f t="shared" ref="B31:G31" si="53">B50</f>
        <v>0</v>
      </c>
      <c r="C31" s="373">
        <f t="shared" si="53"/>
        <v>47100</v>
      </c>
      <c r="D31" s="373">
        <f t="shared" si="53"/>
        <v>0</v>
      </c>
      <c r="E31" s="373">
        <f t="shared" si="53"/>
        <v>52333.333333333336</v>
      </c>
      <c r="F31" s="373">
        <f t="shared" si="53"/>
        <v>0</v>
      </c>
      <c r="G31" s="373">
        <f t="shared" si="53"/>
        <v>57566.666666666672</v>
      </c>
      <c r="H31" s="361">
        <f t="shared" si="50"/>
        <v>0</v>
      </c>
      <c r="I31" s="361">
        <f t="shared" si="50"/>
        <v>51000</v>
      </c>
      <c r="J31" s="361">
        <f t="shared" si="50"/>
        <v>0</v>
      </c>
      <c r="K31" s="361">
        <f t="shared" si="50"/>
        <v>56666.666666666664</v>
      </c>
      <c r="L31" s="361">
        <f t="shared" si="50"/>
        <v>0</v>
      </c>
      <c r="M31" s="361">
        <f t="shared" si="50"/>
        <v>62333.333333333336</v>
      </c>
      <c r="N31" s="185">
        <f t="shared" si="51"/>
        <v>0</v>
      </c>
      <c r="O31" s="185">
        <f t="shared" si="51"/>
        <v>50100</v>
      </c>
      <c r="P31" s="185">
        <f t="shared" si="51"/>
        <v>0</v>
      </c>
      <c r="Q31" s="185">
        <f t="shared" si="51"/>
        <v>55666.666666666664</v>
      </c>
      <c r="R31" s="185">
        <f t="shared" si="51"/>
        <v>0</v>
      </c>
      <c r="S31" s="185">
        <f t="shared" si="51"/>
        <v>61233.333333333336</v>
      </c>
    </row>
    <row r="32" spans="1:19" ht="14.4">
      <c r="A32" s="455"/>
      <c r="B32" s="185"/>
      <c r="C32" s="185"/>
      <c r="D32" s="185"/>
      <c r="E32" s="185"/>
      <c r="F32" s="185"/>
      <c r="G32" s="185"/>
      <c r="H32" s="361"/>
      <c r="I32" s="361"/>
      <c r="J32" s="361"/>
      <c r="K32" s="361"/>
      <c r="L32" s="361"/>
      <c r="M32" s="361"/>
    </row>
    <row r="35" spans="1:15">
      <c r="A35" s="456" t="s">
        <v>114</v>
      </c>
      <c r="B35" s="469">
        <v>259050</v>
      </c>
      <c r="C35" s="469">
        <v>287833.33333333331</v>
      </c>
      <c r="D35" s="469">
        <v>302225</v>
      </c>
      <c r="E35" s="469">
        <v>287833.33333333331</v>
      </c>
      <c r="F35" s="469">
        <v>302225</v>
      </c>
      <c r="G35" s="469">
        <v>316616.66666666669</v>
      </c>
      <c r="H35" s="469">
        <v>259050</v>
      </c>
      <c r="I35" s="469">
        <v>259050</v>
      </c>
      <c r="J35" s="469">
        <v>287833.33333333331</v>
      </c>
      <c r="K35" s="469">
        <v>302225</v>
      </c>
      <c r="L35" s="469">
        <v>302225</v>
      </c>
      <c r="M35" s="469">
        <v>287833.33333333331</v>
      </c>
      <c r="N35" s="390">
        <f>SUM(B35:M35)</f>
        <v>3454000</v>
      </c>
      <c r="O35">
        <f>N35/12</f>
        <v>287833.33333333331</v>
      </c>
    </row>
    <row r="36" spans="1:15">
      <c r="A36" s="456" t="s">
        <v>119</v>
      </c>
      <c r="B36" s="469">
        <v>802500</v>
      </c>
      <c r="C36" s="469">
        <v>891666.66666666663</v>
      </c>
      <c r="D36" s="469">
        <v>936250</v>
      </c>
      <c r="E36" s="469">
        <v>891666.66666666663</v>
      </c>
      <c r="F36" s="469">
        <v>936250</v>
      </c>
      <c r="G36" s="469">
        <v>980833.33333333337</v>
      </c>
      <c r="H36" s="469">
        <v>802500</v>
      </c>
      <c r="I36" s="469">
        <v>802500</v>
      </c>
      <c r="J36" s="469">
        <v>891666.66666666663</v>
      </c>
      <c r="K36" s="469">
        <v>936250</v>
      </c>
      <c r="L36" s="469">
        <v>936250</v>
      </c>
      <c r="M36" s="469">
        <v>891666.66666666663</v>
      </c>
      <c r="N36" s="390">
        <f>SUM(B36:M36)</f>
        <v>10699999.999999998</v>
      </c>
      <c r="O36">
        <f>N36/12</f>
        <v>891666.66666666651</v>
      </c>
    </row>
    <row r="38" spans="1:15">
      <c r="B38" s="802">
        <v>2019</v>
      </c>
      <c r="C38" s="802"/>
      <c r="D38" s="802" t="s">
        <v>205</v>
      </c>
      <c r="E38" s="802"/>
      <c r="F38" s="802" t="s">
        <v>225</v>
      </c>
      <c r="G38" s="802"/>
      <c r="H38" s="802" t="s">
        <v>226</v>
      </c>
      <c r="I38" s="802"/>
    </row>
    <row r="39" spans="1:15">
      <c r="A39" s="457" t="s">
        <v>114</v>
      </c>
      <c r="B39" s="216">
        <f>DH!R3</f>
        <v>3113088.1743000001</v>
      </c>
      <c r="C39" s="216"/>
      <c r="D39" s="216">
        <f>F39*0.95</f>
        <v>3281300</v>
      </c>
      <c r="E39" s="217">
        <f>D39/B39-1</f>
        <v>5.4033749216828353E-2</v>
      </c>
      <c r="F39" s="216">
        <f>DH!R6</f>
        <v>3454000</v>
      </c>
      <c r="G39" s="217">
        <f>F39/B39-1</f>
        <v>0.10950920970192457</v>
      </c>
      <c r="H39" s="216">
        <f>F39*1.05</f>
        <v>3626700</v>
      </c>
      <c r="I39" s="217">
        <f>H39/B39-1</f>
        <v>0.16498467018702079</v>
      </c>
      <c r="J39" s="156">
        <f>H39/4</f>
        <v>906675</v>
      </c>
      <c r="K39" s="299"/>
      <c r="L39" s="300"/>
      <c r="M39" s="300"/>
      <c r="N39" s="300"/>
    </row>
    <row r="40" spans="1:15">
      <c r="A40" s="457" t="s">
        <v>119</v>
      </c>
      <c r="B40" s="216">
        <f>DH!R16</f>
        <v>9648239.7044999991</v>
      </c>
      <c r="C40" s="216"/>
      <c r="D40" s="216">
        <f>F40*0.95</f>
        <v>10164999.999999998</v>
      </c>
      <c r="E40" s="217">
        <f>D40/B40-1</f>
        <v>5.3560059796086801E-2</v>
      </c>
      <c r="F40" s="216">
        <f>DH!R19</f>
        <v>10699999.999999998</v>
      </c>
      <c r="G40" s="217">
        <f>F40/B40-1</f>
        <v>0.10901058925903873</v>
      </c>
      <c r="H40" s="216">
        <f>F40*1.05</f>
        <v>11234999.999999998</v>
      </c>
      <c r="I40" s="217">
        <f>H40/B40-1</f>
        <v>0.16446111872199065</v>
      </c>
      <c r="J40" s="156">
        <f>H40/4</f>
        <v>2808749.9999999995</v>
      </c>
      <c r="K40" s="299"/>
      <c r="L40" s="300"/>
      <c r="M40" s="300"/>
      <c r="N40" s="300"/>
    </row>
    <row r="41" spans="1:15">
      <c r="J41" s="172">
        <f>F39/12</f>
        <v>287833.33333333331</v>
      </c>
    </row>
    <row r="42" spans="1:15" ht="14.4">
      <c r="A42" s="378"/>
      <c r="B42" s="803" t="s">
        <v>116</v>
      </c>
      <c r="C42" s="803"/>
      <c r="D42" s="803" t="s">
        <v>117</v>
      </c>
      <c r="E42" s="803"/>
      <c r="F42" s="803" t="s">
        <v>118</v>
      </c>
      <c r="G42" s="803"/>
      <c r="H42" s="803" t="s">
        <v>161</v>
      </c>
      <c r="I42" s="803"/>
      <c r="J42" s="172">
        <f>B39/12*0.9</f>
        <v>233481.61307250001</v>
      </c>
    </row>
    <row r="43" spans="1:15" ht="14.4">
      <c r="A43" s="378"/>
      <c r="B43" s="389" t="s">
        <v>119</v>
      </c>
      <c r="C43" s="389" t="s">
        <v>114</v>
      </c>
      <c r="D43" s="389" t="s">
        <v>119</v>
      </c>
      <c r="E43" s="389" t="s">
        <v>114</v>
      </c>
      <c r="F43" s="389" t="s">
        <v>119</v>
      </c>
      <c r="G43" s="389" t="s">
        <v>114</v>
      </c>
      <c r="H43" s="297" t="s">
        <v>119</v>
      </c>
      <c r="I43" s="297" t="s">
        <v>114</v>
      </c>
    </row>
    <row r="44" spans="1:15">
      <c r="A44" s="378" t="s">
        <v>120</v>
      </c>
      <c r="B44" s="383"/>
      <c r="C44" s="379">
        <v>43500</v>
      </c>
      <c r="D44" s="383"/>
      <c r="E44" s="383">
        <v>48333.333333333336</v>
      </c>
      <c r="F44" s="383"/>
      <c r="G44" s="383">
        <v>53166.666666666672</v>
      </c>
      <c r="H44" s="383"/>
      <c r="I44" s="383">
        <f>SUM(C44:G44)</f>
        <v>145000</v>
      </c>
    </row>
    <row r="45" spans="1:15">
      <c r="A45" s="378" t="s">
        <v>121</v>
      </c>
      <c r="B45" s="383"/>
      <c r="C45" s="379">
        <v>36000</v>
      </c>
      <c r="D45" s="383"/>
      <c r="E45" s="383">
        <v>40000</v>
      </c>
      <c r="F45" s="383"/>
      <c r="G45" s="383">
        <v>44000</v>
      </c>
      <c r="H45" s="383"/>
      <c r="I45" s="383">
        <f>SUM(C45:G45)</f>
        <v>120000</v>
      </c>
    </row>
    <row r="46" spans="1:15" ht="14.4">
      <c r="A46" s="378">
        <v>0</v>
      </c>
      <c r="B46" s="379"/>
      <c r="C46" s="379"/>
      <c r="D46" s="380"/>
      <c r="E46" s="380"/>
      <c r="F46" s="380"/>
      <c r="G46" s="380"/>
      <c r="H46" s="290"/>
      <c r="I46" s="290"/>
    </row>
    <row r="47" spans="1:15" ht="14.4">
      <c r="A47" s="378">
        <v>1</v>
      </c>
      <c r="B47" s="379"/>
      <c r="C47" s="379"/>
      <c r="D47" s="379"/>
      <c r="E47" s="379"/>
      <c r="F47" s="379"/>
      <c r="G47" s="379"/>
      <c r="H47" s="290"/>
      <c r="I47" s="290"/>
    </row>
    <row r="48" spans="1:15" ht="14.4">
      <c r="A48" s="378" t="s">
        <v>122</v>
      </c>
      <c r="B48" s="379"/>
      <c r="C48" s="379">
        <v>61200</v>
      </c>
      <c r="D48" s="380"/>
      <c r="E48" s="380">
        <v>68000</v>
      </c>
      <c r="F48" s="380"/>
      <c r="G48" s="380">
        <v>74800</v>
      </c>
      <c r="H48" s="290"/>
      <c r="I48" s="383">
        <f>SUM(C48:G48)</f>
        <v>204000</v>
      </c>
    </row>
    <row r="49" spans="1:12" ht="14.4">
      <c r="A49" s="378" t="s">
        <v>123</v>
      </c>
      <c r="B49" s="379"/>
      <c r="C49" s="379">
        <v>71400</v>
      </c>
      <c r="D49" s="380"/>
      <c r="E49" s="380">
        <v>79333.333333333328</v>
      </c>
      <c r="F49" s="380"/>
      <c r="G49" s="380">
        <v>87266.666666666672</v>
      </c>
      <c r="H49" s="290"/>
      <c r="I49" s="383">
        <f>SUM(C49:G49)</f>
        <v>238000</v>
      </c>
    </row>
    <row r="50" spans="1:12" ht="14.4">
      <c r="A50" s="378" t="s">
        <v>124</v>
      </c>
      <c r="B50" s="379"/>
      <c r="C50" s="379">
        <v>47100</v>
      </c>
      <c r="D50" s="380"/>
      <c r="E50" s="380">
        <v>52333.333333333336</v>
      </c>
      <c r="F50" s="380"/>
      <c r="G50" s="380">
        <v>57566.666666666672</v>
      </c>
      <c r="H50" s="290"/>
      <c r="I50" s="383">
        <f>SUM(C50:G50)</f>
        <v>157000</v>
      </c>
    </row>
    <row r="51" spans="1:12" ht="14.4">
      <c r="A51" s="378" t="s">
        <v>154</v>
      </c>
      <c r="B51" s="291">
        <f t="shared" ref="B51:G51" si="54">SUM(B44:B50)</f>
        <v>0</v>
      </c>
      <c r="C51" s="291">
        <f t="shared" si="54"/>
        <v>259200</v>
      </c>
      <c r="D51" s="291"/>
      <c r="E51" s="291">
        <f t="shared" si="54"/>
        <v>288000</v>
      </c>
      <c r="F51" s="291"/>
      <c r="G51" s="291">
        <f t="shared" si="54"/>
        <v>316800.00000000006</v>
      </c>
      <c r="H51" s="292"/>
      <c r="I51" s="292">
        <f>SUM(I44:I50)</f>
        <v>864000</v>
      </c>
    </row>
    <row r="53" spans="1:12">
      <c r="A53" s="376"/>
      <c r="B53" s="804" t="s">
        <v>166</v>
      </c>
      <c r="C53" s="805"/>
      <c r="D53" s="804" t="s">
        <v>167</v>
      </c>
      <c r="E53" s="805"/>
      <c r="F53" s="804" t="s">
        <v>168</v>
      </c>
      <c r="G53" s="805"/>
      <c r="H53" s="804" t="s">
        <v>165</v>
      </c>
      <c r="I53" s="805"/>
    </row>
    <row r="54" spans="1:12" ht="14.4">
      <c r="A54" s="376"/>
      <c r="B54" s="377" t="s">
        <v>119</v>
      </c>
      <c r="C54" s="377" t="s">
        <v>114</v>
      </c>
      <c r="D54" s="377" t="s">
        <v>119</v>
      </c>
      <c r="E54" s="377" t="s">
        <v>114</v>
      </c>
      <c r="F54" s="377" t="s">
        <v>119</v>
      </c>
      <c r="G54" s="377" t="s">
        <v>114</v>
      </c>
      <c r="H54" s="377" t="s">
        <v>119</v>
      </c>
      <c r="I54" s="377" t="s">
        <v>114</v>
      </c>
      <c r="J54" s="497"/>
      <c r="K54" s="498"/>
      <c r="L54" s="498"/>
    </row>
    <row r="55" spans="1:12" ht="14.4">
      <c r="A55" s="378" t="s">
        <v>179</v>
      </c>
      <c r="B55" s="379"/>
      <c r="C55" s="379">
        <v>41100</v>
      </c>
      <c r="D55" s="380"/>
      <c r="E55" s="380">
        <v>45666.666666666664</v>
      </c>
      <c r="F55" s="380"/>
      <c r="G55" s="380">
        <v>50233.333333333336</v>
      </c>
      <c r="H55" s="452"/>
      <c r="I55" s="383">
        <f>SUM(C55:G55)</f>
        <v>137000</v>
      </c>
      <c r="J55" s="497"/>
      <c r="K55" s="498"/>
      <c r="L55" s="498"/>
    </row>
    <row r="56" spans="1:12" ht="14.4">
      <c r="A56" s="378" t="s">
        <v>180</v>
      </c>
      <c r="B56" s="379"/>
      <c r="C56" s="379">
        <v>32100</v>
      </c>
      <c r="D56" s="380"/>
      <c r="E56" s="380">
        <v>35666.666666666664</v>
      </c>
      <c r="F56" s="380"/>
      <c r="G56" s="380">
        <v>39233.333333333336</v>
      </c>
      <c r="H56" s="452"/>
      <c r="I56" s="383">
        <f>SUM(C56:G56)</f>
        <v>107000</v>
      </c>
      <c r="J56" s="497"/>
      <c r="K56" s="498"/>
      <c r="L56" s="498"/>
    </row>
    <row r="57" spans="1:12" ht="14.4">
      <c r="A57" t="s">
        <v>181</v>
      </c>
      <c r="B57" s="379"/>
      <c r="C57" s="379">
        <v>0</v>
      </c>
      <c r="D57" s="380"/>
      <c r="E57" s="380">
        <v>0</v>
      </c>
      <c r="F57" s="380"/>
      <c r="G57" s="380">
        <v>0</v>
      </c>
      <c r="H57" s="452"/>
      <c r="I57" s="290"/>
      <c r="J57" s="497"/>
      <c r="K57" s="498"/>
      <c r="L57" s="498"/>
    </row>
    <row r="58" spans="1:12" ht="14.4">
      <c r="A58" s="453" t="s">
        <v>201</v>
      </c>
      <c r="B58" s="379"/>
      <c r="C58" s="379">
        <v>0</v>
      </c>
      <c r="D58" s="380"/>
      <c r="E58" s="380">
        <v>0</v>
      </c>
      <c r="F58" s="380"/>
      <c r="G58" s="380">
        <v>0</v>
      </c>
      <c r="H58" s="452"/>
      <c r="I58" s="290"/>
      <c r="J58" s="497"/>
      <c r="K58" s="498"/>
      <c r="L58" s="498"/>
    </row>
    <row r="59" spans="1:12" ht="14.4">
      <c r="A59" s="378" t="s">
        <v>182</v>
      </c>
      <c r="B59" s="379"/>
      <c r="C59" s="379">
        <v>61500</v>
      </c>
      <c r="D59" s="380"/>
      <c r="E59" s="380">
        <v>68333.333333333328</v>
      </c>
      <c r="F59" s="380"/>
      <c r="G59" s="380">
        <v>75166.666666666672</v>
      </c>
      <c r="H59" s="452"/>
      <c r="I59" s="383">
        <f>SUM(C59:G59)</f>
        <v>205000</v>
      </c>
      <c r="J59" s="497"/>
      <c r="K59" s="498"/>
      <c r="L59" s="498"/>
    </row>
    <row r="60" spans="1:12">
      <c r="A60" s="378" t="s">
        <v>183</v>
      </c>
      <c r="B60" s="379"/>
      <c r="C60" s="379">
        <v>73500</v>
      </c>
      <c r="D60" s="380"/>
      <c r="E60" s="380">
        <v>81666.666666666672</v>
      </c>
      <c r="F60" s="380"/>
      <c r="G60" s="380">
        <v>89833.333333333343</v>
      </c>
      <c r="H60" s="452"/>
      <c r="I60" s="383">
        <f>SUM(C60:G60)</f>
        <v>245000.00000000003</v>
      </c>
    </row>
    <row r="61" spans="1:12">
      <c r="A61" s="378" t="s">
        <v>184</v>
      </c>
      <c r="B61" s="379"/>
      <c r="C61" s="379">
        <v>51000</v>
      </c>
      <c r="D61" s="380"/>
      <c r="E61" s="380">
        <v>56666.666666666664</v>
      </c>
      <c r="F61" s="380"/>
      <c r="G61" s="380">
        <v>62333.333333333336</v>
      </c>
      <c r="H61" s="452"/>
      <c r="I61" s="383">
        <f>SUM(C61:G61)</f>
        <v>170000</v>
      </c>
    </row>
    <row r="62" spans="1:12" ht="14.4">
      <c r="A62" s="376" t="s">
        <v>154</v>
      </c>
      <c r="B62" s="291">
        <f t="shared" ref="B62:G62" si="55">SUM(B55:B61)</f>
        <v>0</v>
      </c>
      <c r="C62" s="291">
        <f t="shared" si="55"/>
        <v>259200</v>
      </c>
      <c r="D62" s="291">
        <f t="shared" si="55"/>
        <v>0</v>
      </c>
      <c r="E62" s="291">
        <f t="shared" si="55"/>
        <v>288000</v>
      </c>
      <c r="F62" s="291">
        <f t="shared" si="55"/>
        <v>0</v>
      </c>
      <c r="G62" s="291">
        <f t="shared" si="55"/>
        <v>316800</v>
      </c>
      <c r="H62" s="292">
        <f t="shared" ref="H62" si="56">SUM(H55:H61)</f>
        <v>0</v>
      </c>
      <c r="I62" s="292">
        <f>SUM(I55:I61)</f>
        <v>864000</v>
      </c>
    </row>
    <row r="65" spans="1:9">
      <c r="A65" s="455"/>
      <c r="B65" s="801" t="s">
        <v>151</v>
      </c>
      <c r="C65" s="801"/>
      <c r="D65" s="801" t="s">
        <v>152</v>
      </c>
      <c r="E65" s="801"/>
      <c r="F65" s="801" t="s">
        <v>18</v>
      </c>
      <c r="G65" s="801"/>
      <c r="H65" s="801" t="s">
        <v>153</v>
      </c>
      <c r="I65" s="801"/>
    </row>
    <row r="66" spans="1:9">
      <c r="A66" s="455"/>
      <c r="B66" s="105" t="s">
        <v>119</v>
      </c>
      <c r="C66" s="105" t="s">
        <v>114</v>
      </c>
      <c r="D66" s="105" t="s">
        <v>119</v>
      </c>
      <c r="E66" s="105" t="s">
        <v>114</v>
      </c>
      <c r="F66" s="105" t="s">
        <v>119</v>
      </c>
      <c r="G66" s="105" t="s">
        <v>114</v>
      </c>
      <c r="H66" s="105" t="s">
        <v>119</v>
      </c>
      <c r="I66" s="105" t="s">
        <v>114</v>
      </c>
    </row>
    <row r="67" spans="1:9">
      <c r="A67" s="378" t="s">
        <v>179</v>
      </c>
      <c r="B67" s="379"/>
      <c r="C67" s="379">
        <v>43500</v>
      </c>
      <c r="D67" s="380"/>
      <c r="E67" s="380">
        <v>48333.333333333336</v>
      </c>
      <c r="F67" s="380"/>
      <c r="G67" s="380">
        <v>53166.666666666672</v>
      </c>
      <c r="H67" s="452"/>
      <c r="I67" s="383">
        <f>SUM(C67:G67)</f>
        <v>145000</v>
      </c>
    </row>
    <row r="68" spans="1:9">
      <c r="A68" s="378" t="s">
        <v>180</v>
      </c>
      <c r="B68" s="379"/>
      <c r="C68" s="379">
        <v>31950</v>
      </c>
      <c r="D68" s="380"/>
      <c r="E68" s="380">
        <v>35500</v>
      </c>
      <c r="F68" s="380"/>
      <c r="G68" s="380">
        <v>39050</v>
      </c>
      <c r="H68" s="452"/>
      <c r="I68" s="383">
        <f>SUM(C68:G68)</f>
        <v>106500</v>
      </c>
    </row>
    <row r="69" spans="1:9" ht="14.4">
      <c r="A69" s="378"/>
      <c r="B69" s="379"/>
      <c r="C69" s="379"/>
      <c r="D69" s="380"/>
      <c r="E69" s="380"/>
      <c r="F69" s="380"/>
      <c r="G69" s="380"/>
      <c r="H69" s="452"/>
      <c r="I69" s="290"/>
    </row>
    <row r="70" spans="1:9" ht="14.4">
      <c r="A70" s="453" t="s">
        <v>201</v>
      </c>
      <c r="B70" s="379"/>
      <c r="C70" s="379"/>
      <c r="D70" s="380"/>
      <c r="E70" s="380"/>
      <c r="F70" s="380"/>
      <c r="G70" s="380"/>
      <c r="H70" s="290"/>
      <c r="I70" s="290"/>
    </row>
    <row r="71" spans="1:9" ht="14.4">
      <c r="A71" s="378" t="s">
        <v>182</v>
      </c>
      <c r="B71" s="379"/>
      <c r="C71" s="379">
        <v>63000</v>
      </c>
      <c r="D71" s="380"/>
      <c r="E71" s="380">
        <v>70000</v>
      </c>
      <c r="F71" s="380"/>
      <c r="G71" s="380">
        <v>77000</v>
      </c>
      <c r="H71" s="290"/>
      <c r="I71" s="383">
        <f>SUM(C71:G71)</f>
        <v>210000</v>
      </c>
    </row>
    <row r="72" spans="1:9" ht="14.4">
      <c r="A72" s="378" t="s">
        <v>183</v>
      </c>
      <c r="B72" s="379"/>
      <c r="C72" s="379">
        <v>70500</v>
      </c>
      <c r="D72" s="380"/>
      <c r="E72" s="380">
        <v>78333.333333333328</v>
      </c>
      <c r="F72" s="380"/>
      <c r="G72" s="380">
        <v>86166.666666666672</v>
      </c>
      <c r="H72" s="290"/>
      <c r="I72" s="383">
        <f>SUM(C72:G72)</f>
        <v>235000</v>
      </c>
    </row>
    <row r="73" spans="1:9" ht="14.4">
      <c r="A73" s="378" t="s">
        <v>184</v>
      </c>
      <c r="B73" s="379"/>
      <c r="C73" s="379">
        <v>50100</v>
      </c>
      <c r="D73" s="380"/>
      <c r="E73" s="380">
        <v>55666.666666666664</v>
      </c>
      <c r="F73" s="380"/>
      <c r="G73" s="380">
        <v>61233.333333333336</v>
      </c>
      <c r="H73" s="290"/>
      <c r="I73" s="383">
        <f>SUM(C73:G73)</f>
        <v>167000</v>
      </c>
    </row>
    <row r="74" spans="1:9" ht="14.4">
      <c r="A74" s="455" t="s">
        <v>154</v>
      </c>
      <c r="B74" s="291">
        <f t="shared" ref="B74:G74" si="57">SUM(B67:B73)</f>
        <v>0</v>
      </c>
      <c r="C74" s="291">
        <f t="shared" si="57"/>
        <v>259050</v>
      </c>
      <c r="D74" s="291">
        <f t="shared" si="57"/>
        <v>0</v>
      </c>
      <c r="E74" s="291">
        <f t="shared" si="57"/>
        <v>287833.33333333337</v>
      </c>
      <c r="F74" s="291">
        <f t="shared" si="57"/>
        <v>0</v>
      </c>
      <c r="G74" s="291">
        <f t="shared" si="57"/>
        <v>316616.66666666669</v>
      </c>
      <c r="H74" s="292">
        <f t="shared" ref="H74" si="58">SUM(H67:H73)</f>
        <v>0</v>
      </c>
      <c r="I74" s="292">
        <f>SUM(I67:I73)</f>
        <v>863500</v>
      </c>
    </row>
    <row r="76" spans="1:9">
      <c r="A76" s="455"/>
      <c r="B76" s="360" t="s">
        <v>10</v>
      </c>
      <c r="C76" s="360"/>
      <c r="D76" s="360" t="s">
        <v>11</v>
      </c>
      <c r="E76" s="360"/>
      <c r="F76" s="360" t="s">
        <v>12</v>
      </c>
      <c r="G76" s="360"/>
      <c r="H76" s="360" t="s">
        <v>158</v>
      </c>
      <c r="I76" s="360"/>
    </row>
    <row r="77" spans="1:9">
      <c r="A77" s="455"/>
      <c r="B77" s="360" t="s">
        <v>119</v>
      </c>
      <c r="C77" s="360" t="s">
        <v>114</v>
      </c>
      <c r="D77" s="360" t="s">
        <v>119</v>
      </c>
      <c r="E77" s="360" t="s">
        <v>114</v>
      </c>
      <c r="F77" s="360" t="s">
        <v>119</v>
      </c>
      <c r="G77" s="360" t="s">
        <v>114</v>
      </c>
      <c r="H77" s="360" t="s">
        <v>119</v>
      </c>
      <c r="I77" s="360" t="s">
        <v>114</v>
      </c>
    </row>
    <row r="78" spans="1:9" ht="14.4">
      <c r="A78" s="378" t="s">
        <v>179</v>
      </c>
      <c r="B78" s="558"/>
      <c r="C78" s="560">
        <v>42433.333333333328</v>
      </c>
      <c r="D78" s="380"/>
      <c r="E78" s="561">
        <v>46900</v>
      </c>
      <c r="F78" s="380"/>
      <c r="G78" s="563">
        <v>44666.666666666664</v>
      </c>
      <c r="H78" s="290"/>
      <c r="I78" s="383">
        <f>SUM(C78:G78)</f>
        <v>134000</v>
      </c>
    </row>
    <row r="79" spans="1:9" ht="14.4">
      <c r="A79" s="378" t="s">
        <v>180</v>
      </c>
      <c r="B79" s="558"/>
      <c r="C79" s="560">
        <v>34833.333333333328</v>
      </c>
      <c r="D79" s="380"/>
      <c r="E79" s="561">
        <v>38500</v>
      </c>
      <c r="F79" s="380"/>
      <c r="G79" s="563">
        <v>36666.666666666664</v>
      </c>
      <c r="H79" s="290"/>
      <c r="I79" s="383">
        <f>SUM(C79:G79)</f>
        <v>110000</v>
      </c>
    </row>
    <row r="80" spans="1:9" ht="14.4">
      <c r="A80" s="378" t="s">
        <v>186</v>
      </c>
      <c r="B80" s="383"/>
      <c r="C80" s="383"/>
      <c r="D80" s="380"/>
      <c r="E80" s="380"/>
      <c r="F80" s="380"/>
      <c r="G80" s="380"/>
      <c r="H80" s="290"/>
      <c r="I80" s="290"/>
    </row>
    <row r="81" spans="1:9" ht="14.4">
      <c r="A81" s="453" t="s">
        <v>201</v>
      </c>
      <c r="B81" s="383"/>
      <c r="C81" s="383"/>
      <c r="D81" s="380"/>
      <c r="E81" s="380"/>
      <c r="F81" s="380"/>
      <c r="G81" s="380"/>
      <c r="H81" s="290"/>
      <c r="I81" s="290"/>
    </row>
    <row r="82" spans="1:9">
      <c r="A82" s="378" t="s">
        <v>182</v>
      </c>
      <c r="B82" s="559"/>
      <c r="C82" s="560">
        <v>60166.666666666664</v>
      </c>
      <c r="D82" s="380"/>
      <c r="E82" s="562">
        <v>66500</v>
      </c>
      <c r="F82" s="380"/>
      <c r="G82" s="564">
        <v>63333.333333333336</v>
      </c>
      <c r="H82" s="452"/>
      <c r="I82" s="383">
        <f>SUM(C82:G82)</f>
        <v>190000</v>
      </c>
    </row>
    <row r="83" spans="1:9">
      <c r="A83" s="378" t="s">
        <v>183</v>
      </c>
      <c r="B83" s="559"/>
      <c r="C83" s="560">
        <v>80750</v>
      </c>
      <c r="D83" s="380"/>
      <c r="E83" s="562">
        <v>89250</v>
      </c>
      <c r="F83" s="380"/>
      <c r="G83" s="564">
        <v>85000</v>
      </c>
      <c r="H83" s="452"/>
      <c r="I83" s="383">
        <f>SUM(C83:G83)</f>
        <v>255000</v>
      </c>
    </row>
    <row r="84" spans="1:9">
      <c r="A84" s="378" t="s">
        <v>184</v>
      </c>
      <c r="B84" s="559"/>
      <c r="C84" s="560">
        <v>55416.666666666664</v>
      </c>
      <c r="D84" s="380"/>
      <c r="E84" s="562">
        <v>61250.000000000007</v>
      </c>
      <c r="F84" s="380"/>
      <c r="G84" s="564">
        <v>58333.333333333336</v>
      </c>
      <c r="H84" s="452"/>
      <c r="I84" s="383">
        <f>SUM(C84:G84)</f>
        <v>175000</v>
      </c>
    </row>
    <row r="85" spans="1:9" ht="14.4">
      <c r="A85" s="455" t="s">
        <v>154</v>
      </c>
      <c r="B85" s="291">
        <f>SUM(B78:B84)</f>
        <v>0</v>
      </c>
      <c r="C85" s="291">
        <f t="shared" ref="C85:H85" si="59">SUM(C78:C84)</f>
        <v>273600</v>
      </c>
      <c r="D85" s="291">
        <f t="shared" si="59"/>
        <v>0</v>
      </c>
      <c r="E85" s="291">
        <f>SUM(E78:E84)</f>
        <v>302400</v>
      </c>
      <c r="F85" s="291">
        <f t="shared" si="59"/>
        <v>0</v>
      </c>
      <c r="G85" s="291">
        <f t="shared" si="59"/>
        <v>288000</v>
      </c>
      <c r="H85" s="292">
        <f t="shared" si="59"/>
        <v>0</v>
      </c>
      <c r="I85" s="292">
        <f>SUM(I78:I84)</f>
        <v>864000</v>
      </c>
    </row>
    <row r="86" spans="1:9">
      <c r="B86" s="204"/>
      <c r="C86" s="204"/>
      <c r="D86" s="204"/>
      <c r="E86" s="204"/>
      <c r="F86" s="204"/>
      <c r="G86" s="204"/>
      <c r="H86" s="204"/>
      <c r="I86" s="204"/>
    </row>
  </sheetData>
  <mergeCells count="27">
    <mergeCell ref="F53:G53"/>
    <mergeCell ref="H53:I53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  <mergeCell ref="P23:Q23"/>
    <mergeCell ref="B65:C65"/>
    <mergeCell ref="D65:E65"/>
    <mergeCell ref="F65:G65"/>
    <mergeCell ref="R23:S23"/>
    <mergeCell ref="H65:I65"/>
    <mergeCell ref="D38:E38"/>
    <mergeCell ref="F38:G38"/>
    <mergeCell ref="H38:I38"/>
    <mergeCell ref="B38:C38"/>
    <mergeCell ref="D42:E42"/>
    <mergeCell ref="F42:G42"/>
    <mergeCell ref="H42:I42"/>
    <mergeCell ref="B42:C42"/>
    <mergeCell ref="B53:C53"/>
    <mergeCell ref="D53:E53"/>
  </mergeCells>
  <pageMargins left="0.7" right="0.7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K17" sqref="K1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25</v>
      </c>
      <c r="D2">
        <v>4679.84</v>
      </c>
      <c r="F2">
        <v>189693.1875</v>
      </c>
      <c r="G2">
        <v>154222.07810000001</v>
      </c>
      <c r="H2">
        <v>101811.643</v>
      </c>
      <c r="I2" s="294">
        <f>52410.4375+B18</f>
        <v>53325.697500000002</v>
      </c>
      <c r="J2">
        <v>33.983699999999999</v>
      </c>
    </row>
    <row r="3" spans="1:10">
      <c r="A3" t="s">
        <v>78</v>
      </c>
      <c r="D3">
        <v>3077.1689999999999</v>
      </c>
      <c r="F3">
        <v>153400.8125</v>
      </c>
      <c r="G3">
        <v>124716.11719999999</v>
      </c>
      <c r="H3">
        <v>71464.499500000005</v>
      </c>
      <c r="I3" s="294">
        <f>53251.6211+B15</f>
        <v>53549.701099999998</v>
      </c>
      <c r="J3">
        <v>42.6982</v>
      </c>
    </row>
    <row r="4" spans="1:10">
      <c r="A4" t="s">
        <v>71</v>
      </c>
      <c r="D4">
        <v>2103.39</v>
      </c>
      <c r="F4">
        <v>213342.98439999999</v>
      </c>
      <c r="G4">
        <v>173449.5625</v>
      </c>
      <c r="H4">
        <v>117509.3441</v>
      </c>
      <c r="I4">
        <v>55940.226600000002</v>
      </c>
      <c r="J4">
        <v>32.2515</v>
      </c>
    </row>
    <row r="5" spans="1:10">
      <c r="A5" t="s">
        <v>77</v>
      </c>
      <c r="D5">
        <v>3477.9189999999999</v>
      </c>
      <c r="F5">
        <v>265447.71879999997</v>
      </c>
      <c r="G5">
        <v>215811.1563</v>
      </c>
      <c r="H5">
        <v>147519.4449</v>
      </c>
      <c r="I5" s="168">
        <f>68291.7031+B14</f>
        <v>68388.283100000001</v>
      </c>
      <c r="J5">
        <v>31.644100000000002</v>
      </c>
    </row>
    <row r="6" spans="1:10">
      <c r="A6" t="s">
        <v>24</v>
      </c>
      <c r="D6">
        <v>4905.3159999999998</v>
      </c>
      <c r="F6">
        <v>406923.09379999997</v>
      </c>
      <c r="G6">
        <v>330831.71879999997</v>
      </c>
      <c r="H6">
        <v>214609.02619999999</v>
      </c>
      <c r="I6" s="294">
        <f>116222.6875+B16</f>
        <v>116592.6075</v>
      </c>
      <c r="J6">
        <v>35.130400000000002</v>
      </c>
    </row>
    <row r="7" spans="1:10">
      <c r="A7" t="s">
        <v>215</v>
      </c>
      <c r="D7">
        <v>18243.633999999998</v>
      </c>
      <c r="F7">
        <v>1228807.75</v>
      </c>
      <c r="G7">
        <v>999030.625</v>
      </c>
      <c r="H7">
        <v>652913.95770000003</v>
      </c>
      <c r="I7" s="168">
        <f>SUM(I2:I6)</f>
        <v>347796.51579999999</v>
      </c>
      <c r="J7">
        <v>34.645200000000003</v>
      </c>
    </row>
    <row r="8" spans="1:10">
      <c r="I8" s="204"/>
    </row>
    <row r="11" spans="1:10">
      <c r="A11" s="294"/>
      <c r="B11" s="294"/>
      <c r="C11" s="294"/>
    </row>
    <row r="12" spans="1:10">
      <c r="A12" s="294"/>
      <c r="B12" s="294"/>
      <c r="C12" s="294"/>
    </row>
    <row r="13" spans="1:10">
      <c r="A13" s="294"/>
      <c r="B13" s="294"/>
      <c r="C13" s="294"/>
    </row>
    <row r="14" spans="1:10">
      <c r="A14" t="s">
        <v>266</v>
      </c>
      <c r="B14" s="294">
        <v>96.58</v>
      </c>
      <c r="C14" s="294" t="s">
        <v>122</v>
      </c>
    </row>
    <row r="15" spans="1:10">
      <c r="A15" s="752" t="s">
        <v>236</v>
      </c>
      <c r="B15">
        <v>298.08</v>
      </c>
      <c r="C15" t="s">
        <v>120</v>
      </c>
    </row>
    <row r="16" spans="1:10">
      <c r="A16" t="s">
        <v>237</v>
      </c>
      <c r="B16">
        <v>369.92</v>
      </c>
      <c r="C16" t="s">
        <v>123</v>
      </c>
    </row>
    <row r="18" spans="1:3" ht="14.4">
      <c r="A18" s="294" t="s">
        <v>278</v>
      </c>
      <c r="B18" s="460">
        <v>915.26</v>
      </c>
      <c r="C18" t="s">
        <v>124</v>
      </c>
    </row>
    <row r="19" spans="1:3">
      <c r="A19" s="294"/>
      <c r="B19" s="29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E19" sqref="E19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3.10937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68" t="s">
        <v>206</v>
      </c>
      <c r="B1" s="168" t="s">
        <v>207</v>
      </c>
      <c r="C1" s="168" t="s">
        <v>208</v>
      </c>
      <c r="D1" s="168" t="s">
        <v>209</v>
      </c>
      <c r="E1" s="168" t="s">
        <v>210</v>
      </c>
      <c r="F1" s="168" t="s">
        <v>211</v>
      </c>
      <c r="G1" s="168" t="s">
        <v>212</v>
      </c>
      <c r="H1" s="168" t="s">
        <v>213</v>
      </c>
      <c r="I1" s="168" t="s">
        <v>214</v>
      </c>
      <c r="J1" s="168" t="s">
        <v>114</v>
      </c>
    </row>
    <row r="2" spans="1:10">
      <c r="A2" s="168" t="s">
        <v>71</v>
      </c>
      <c r="B2" s="168"/>
      <c r="C2" s="168"/>
      <c r="D2" s="204">
        <v>2381.46</v>
      </c>
      <c r="E2" s="204"/>
      <c r="F2" s="204">
        <v>103169.1875</v>
      </c>
      <c r="G2" s="204">
        <v>83877.382800000007</v>
      </c>
      <c r="H2" s="204">
        <v>57369.756300000001</v>
      </c>
      <c r="I2" s="204">
        <v>26507.623</v>
      </c>
      <c r="J2" s="204">
        <v>31.602799999999998</v>
      </c>
    </row>
    <row r="3" spans="1:10">
      <c r="A3" s="168" t="s">
        <v>25</v>
      </c>
      <c r="B3" s="168"/>
      <c r="C3" s="168"/>
      <c r="D3" s="204">
        <v>4063.681</v>
      </c>
      <c r="E3" s="204"/>
      <c r="F3" s="204">
        <v>126643.38280000001</v>
      </c>
      <c r="G3" s="204">
        <v>102962.11719999999</v>
      </c>
      <c r="H3" s="204">
        <v>70169.804799999998</v>
      </c>
      <c r="I3" s="204">
        <v>32792.316400000003</v>
      </c>
      <c r="J3" s="204">
        <v>31.8489</v>
      </c>
    </row>
    <row r="4" spans="1:10">
      <c r="A4" s="168" t="s">
        <v>78</v>
      </c>
      <c r="B4" s="168"/>
      <c r="C4" s="168"/>
      <c r="D4" s="204">
        <v>3909.6860000000001</v>
      </c>
      <c r="E4" s="204"/>
      <c r="F4" s="204">
        <v>139253.23439999999</v>
      </c>
      <c r="G4" s="204">
        <v>113213.96090000001</v>
      </c>
      <c r="H4" s="204">
        <v>66761.683000000005</v>
      </c>
      <c r="I4" s="204">
        <v>46452.277300000002</v>
      </c>
      <c r="J4" s="204">
        <v>41.030500000000004</v>
      </c>
    </row>
    <row r="5" spans="1:10">
      <c r="A5" s="168" t="s">
        <v>77</v>
      </c>
      <c r="B5" s="168"/>
      <c r="C5" s="168"/>
      <c r="D5" s="204">
        <v>4588.8789999999999</v>
      </c>
      <c r="E5" s="204"/>
      <c r="F5" s="204">
        <v>188934.375</v>
      </c>
      <c r="G5" s="204">
        <v>153605.17189999999</v>
      </c>
      <c r="H5" s="204">
        <v>104391.118</v>
      </c>
      <c r="I5" s="204">
        <v>49214.050799999997</v>
      </c>
      <c r="J5" s="204">
        <v>32.039299999999997</v>
      </c>
    </row>
    <row r="6" spans="1:10">
      <c r="A6" s="168" t="s">
        <v>24</v>
      </c>
      <c r="B6" s="168"/>
      <c r="C6" s="168"/>
      <c r="D6" s="204">
        <v>5783.2120000000004</v>
      </c>
      <c r="E6" s="204"/>
      <c r="F6" s="204">
        <v>306919.625</v>
      </c>
      <c r="G6" s="204">
        <v>249591.7813</v>
      </c>
      <c r="H6" s="204">
        <v>165745.08530000001</v>
      </c>
      <c r="I6" s="204">
        <v>83846.695300000007</v>
      </c>
      <c r="J6" s="204">
        <v>33.593499999999999</v>
      </c>
    </row>
    <row r="7" spans="1:10">
      <c r="A7" s="168" t="s">
        <v>215</v>
      </c>
      <c r="B7" s="168"/>
      <c r="C7" s="168"/>
      <c r="D7" s="204">
        <v>20726.918000000001</v>
      </c>
      <c r="E7" s="204"/>
      <c r="F7" s="204">
        <v>864919.8125</v>
      </c>
      <c r="G7" s="204">
        <v>703250.4375</v>
      </c>
      <c r="H7" s="204">
        <v>464437.4474</v>
      </c>
      <c r="I7" s="363">
        <v>238812.9688</v>
      </c>
      <c r="J7" s="204">
        <v>33.958399999999997</v>
      </c>
    </row>
    <row r="8" spans="1:10">
      <c r="A8" s="168"/>
      <c r="B8" s="168"/>
      <c r="C8" s="168"/>
      <c r="D8" s="204"/>
      <c r="E8" s="204"/>
      <c r="F8" s="204"/>
      <c r="G8" s="204"/>
      <c r="H8" s="204"/>
      <c r="I8" s="204"/>
      <c r="J8" s="204"/>
    </row>
    <row r="9" spans="1:10">
      <c r="A9" s="168"/>
      <c r="B9" s="168"/>
      <c r="C9" s="168"/>
      <c r="D9" s="168"/>
      <c r="E9" s="168"/>
      <c r="F9" s="168"/>
      <c r="G9" s="168"/>
      <c r="H9" s="168"/>
      <c r="I9" s="436"/>
      <c r="J9" s="168"/>
    </row>
    <row r="12" spans="1:10" ht="14.4">
      <c r="A12" s="407"/>
    </row>
    <row r="15" spans="1:10" ht="14.4">
      <c r="A15" s="294"/>
      <c r="B15" s="450"/>
      <c r="C15" s="294"/>
    </row>
    <row r="16" spans="1:10" ht="14.4">
      <c r="A16" s="294"/>
      <c r="B16" s="294"/>
      <c r="C16" s="448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4" sqref="I4"/>
    </sheetView>
  </sheetViews>
  <sheetFormatPr defaultRowHeight="13.2"/>
  <cols>
    <col min="1" max="1" width="18.5546875" customWidth="1"/>
    <col min="2" max="2" width="13.5546875" customWidth="1"/>
    <col min="6" max="6" width="13.441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1829.28</v>
      </c>
      <c r="F2">
        <v>121275.17969999999</v>
      </c>
      <c r="G2">
        <v>98597.656300000002</v>
      </c>
      <c r="H2">
        <v>68852.072700000004</v>
      </c>
      <c r="I2">
        <v>29745.587899999999</v>
      </c>
      <c r="J2">
        <v>30.168600000000001</v>
      </c>
    </row>
    <row r="3" spans="1:10">
      <c r="A3" t="s">
        <v>77</v>
      </c>
      <c r="D3">
        <v>5359.0370000000003</v>
      </c>
      <c r="F3">
        <v>174485.73439999999</v>
      </c>
      <c r="G3">
        <v>141858.26560000001</v>
      </c>
      <c r="H3">
        <v>96955.717999999993</v>
      </c>
      <c r="I3" s="458">
        <f>44902.5508+B18+B20</f>
        <v>46091.910799999998</v>
      </c>
      <c r="J3">
        <v>31.653099999999998</v>
      </c>
    </row>
    <row r="4" spans="1:10">
      <c r="A4" t="s">
        <v>78</v>
      </c>
      <c r="D4">
        <v>4945.7</v>
      </c>
      <c r="F4">
        <v>159097.23439999999</v>
      </c>
      <c r="G4">
        <v>129347.3125</v>
      </c>
      <c r="H4">
        <v>83657.782500000001</v>
      </c>
      <c r="I4" s="294">
        <f>45689.5273+B21</f>
        <v>45967.407299999999</v>
      </c>
      <c r="J4">
        <v>35.323099999999997</v>
      </c>
    </row>
    <row r="5" spans="1:10">
      <c r="A5" t="s">
        <v>25</v>
      </c>
      <c r="D5">
        <v>4813.8789999999999</v>
      </c>
      <c r="F5">
        <v>196044.5</v>
      </c>
      <c r="G5">
        <v>159385.7188</v>
      </c>
      <c r="H5">
        <v>110215.5395</v>
      </c>
      <c r="I5" s="168">
        <v>49170.179700000001</v>
      </c>
      <c r="J5">
        <v>30.849799999999998</v>
      </c>
    </row>
    <row r="6" spans="1:10">
      <c r="A6" t="s">
        <v>24</v>
      </c>
      <c r="D6">
        <v>4944.4250000000002</v>
      </c>
      <c r="F6">
        <v>295399.15629999997</v>
      </c>
      <c r="G6">
        <v>240161.82810000001</v>
      </c>
      <c r="H6">
        <v>175850.21400000001</v>
      </c>
      <c r="I6" s="458">
        <f>64311.6172+B19+B22</f>
        <v>65079.807200000003</v>
      </c>
      <c r="J6">
        <v>26.778400000000001</v>
      </c>
    </row>
    <row r="7" spans="1:10">
      <c r="A7" t="s">
        <v>215</v>
      </c>
      <c r="D7">
        <v>21892.321</v>
      </c>
      <c r="F7">
        <v>946301.8125</v>
      </c>
      <c r="G7">
        <v>769350.8125</v>
      </c>
      <c r="H7">
        <v>535531.32669999998</v>
      </c>
      <c r="I7" s="168">
        <v>233819.4688</v>
      </c>
      <c r="J7">
        <v>30.3917</v>
      </c>
    </row>
    <row r="8" spans="1:10">
      <c r="I8" s="294"/>
    </row>
    <row r="13" spans="1:10" ht="14.4">
      <c r="A13" s="294"/>
      <c r="B13" s="294"/>
      <c r="C13" s="450"/>
    </row>
    <row r="14" spans="1:10" ht="14.4">
      <c r="E14" s="407"/>
    </row>
    <row r="17" spans="1:3">
      <c r="A17" s="294"/>
      <c r="B17" s="294"/>
      <c r="C17" s="294"/>
    </row>
    <row r="18" spans="1:3" ht="14.4">
      <c r="A18" s="553" t="s">
        <v>235</v>
      </c>
      <c r="B18" s="294">
        <v>577.14</v>
      </c>
      <c r="C18" s="294"/>
    </row>
    <row r="19" spans="1:3" ht="14.4">
      <c r="A19" s="460" t="s">
        <v>237</v>
      </c>
      <c r="B19" s="294">
        <v>364.76</v>
      </c>
      <c r="C19" s="294"/>
    </row>
    <row r="20" spans="1:3" ht="14.4">
      <c r="A20" s="553" t="s">
        <v>235</v>
      </c>
      <c r="B20" s="458">
        <v>612.22</v>
      </c>
      <c r="C20" s="294"/>
    </row>
    <row r="21" spans="1:3" ht="14.4">
      <c r="A21" s="553" t="s">
        <v>236</v>
      </c>
      <c r="B21" s="294">
        <v>277.88</v>
      </c>
      <c r="C21" s="294"/>
    </row>
    <row r="22" spans="1:3" ht="14.4">
      <c r="A22" s="553" t="s">
        <v>237</v>
      </c>
      <c r="B22" s="294">
        <v>403.43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E23" sqref="E23"/>
    </sheetView>
  </sheetViews>
  <sheetFormatPr defaultRowHeight="13.2"/>
  <cols>
    <col min="1" max="1" width="19.109375" customWidth="1"/>
    <col min="2" max="2" width="13.109375" customWidth="1"/>
    <col min="3" max="3" width="14" customWidth="1"/>
    <col min="4" max="4" width="15.5546875" customWidth="1"/>
    <col min="5" max="5" width="12.33203125" customWidth="1"/>
    <col min="6" max="9" width="15.5546875" customWidth="1"/>
  </cols>
  <sheetData>
    <row r="1" spans="1:10">
      <c r="A1" s="233" t="s">
        <v>206</v>
      </c>
      <c r="B1" s="233" t="s">
        <v>207</v>
      </c>
      <c r="C1" s="233" t="s">
        <v>208</v>
      </c>
      <c r="D1" s="233" t="s">
        <v>209</v>
      </c>
      <c r="E1" s="233" t="s">
        <v>210</v>
      </c>
      <c r="F1" s="233" t="s">
        <v>211</v>
      </c>
      <c r="G1" s="233" t="s">
        <v>212</v>
      </c>
      <c r="H1" s="233" t="s">
        <v>213</v>
      </c>
      <c r="I1" s="233" t="s">
        <v>214</v>
      </c>
      <c r="J1" s="168" t="s">
        <v>114</v>
      </c>
    </row>
    <row r="2" spans="1:10">
      <c r="A2" s="168" t="s">
        <v>71</v>
      </c>
      <c r="B2" s="168"/>
      <c r="C2" s="168"/>
      <c r="D2" s="204">
        <v>2668.8310000000001</v>
      </c>
      <c r="E2" s="204"/>
      <c r="F2" s="204">
        <v>141071.875</v>
      </c>
      <c r="G2" s="204">
        <v>114692.5469</v>
      </c>
      <c r="H2" s="204">
        <v>80953.004100000006</v>
      </c>
      <c r="I2" s="204">
        <v>33739.546900000001</v>
      </c>
      <c r="J2" s="168">
        <v>29.417300000000001</v>
      </c>
    </row>
    <row r="3" spans="1:10">
      <c r="A3" s="168" t="s">
        <v>78</v>
      </c>
      <c r="B3" s="168"/>
      <c r="C3" s="168"/>
      <c r="D3" s="204">
        <v>4598.1109999999999</v>
      </c>
      <c r="E3" s="204"/>
      <c r="F3" s="204">
        <v>160393.9063</v>
      </c>
      <c r="G3" s="204">
        <v>130401.5625</v>
      </c>
      <c r="H3" s="204">
        <v>82714.984599999996</v>
      </c>
      <c r="I3" s="204">
        <v>47686.574200000003</v>
      </c>
      <c r="J3" s="168">
        <v>36.569000000000003</v>
      </c>
    </row>
    <row r="4" spans="1:10">
      <c r="A4" s="168" t="s">
        <v>77</v>
      </c>
      <c r="B4" s="168"/>
      <c r="C4" s="168"/>
      <c r="D4" s="204">
        <v>4143.46</v>
      </c>
      <c r="E4" s="204"/>
      <c r="F4" s="204">
        <v>246246.04689999999</v>
      </c>
      <c r="G4" s="204">
        <v>200199.95310000001</v>
      </c>
      <c r="H4" s="204">
        <v>131102.91699999999</v>
      </c>
      <c r="I4" s="363">
        <f>69097.0469+B18</f>
        <v>68503.046900000001</v>
      </c>
      <c r="J4" s="168">
        <v>34.514000000000003</v>
      </c>
    </row>
    <row r="5" spans="1:10">
      <c r="A5" s="168" t="s">
        <v>25</v>
      </c>
      <c r="B5" s="168"/>
      <c r="C5" s="168"/>
      <c r="D5" s="204">
        <v>7848.2120000000004</v>
      </c>
      <c r="E5" s="204"/>
      <c r="F5" s="204">
        <v>254443.625</v>
      </c>
      <c r="G5" s="204">
        <v>207223.0625</v>
      </c>
      <c r="H5" s="204">
        <v>131376.0491</v>
      </c>
      <c r="I5" s="406">
        <v>75847.023400000005</v>
      </c>
      <c r="J5" s="168">
        <v>36.601599999999998</v>
      </c>
    </row>
    <row r="6" spans="1:10">
      <c r="A6" s="168" t="s">
        <v>24</v>
      </c>
      <c r="B6" s="168"/>
      <c r="C6" s="168"/>
      <c r="D6" s="204">
        <v>7758.4989999999998</v>
      </c>
      <c r="E6" s="204"/>
      <c r="F6" s="204">
        <v>302364.03129999997</v>
      </c>
      <c r="G6" s="204">
        <v>245824.3438</v>
      </c>
      <c r="H6" s="204">
        <v>161219.23130000001</v>
      </c>
      <c r="I6" s="406">
        <v>84605.109400000001</v>
      </c>
      <c r="J6" s="168">
        <v>34.416800000000002</v>
      </c>
    </row>
    <row r="7" spans="1:10">
      <c r="A7" s="168" t="s">
        <v>215</v>
      </c>
      <c r="B7" s="168"/>
      <c r="C7" s="168"/>
      <c r="D7" s="204">
        <v>27017.113000000001</v>
      </c>
      <c r="E7" s="204"/>
      <c r="F7" s="204">
        <v>1104519.5</v>
      </c>
      <c r="G7" s="204">
        <v>898341.5</v>
      </c>
      <c r="H7" s="204">
        <v>587366.18610000005</v>
      </c>
      <c r="I7" s="406">
        <v>310975.28129999997</v>
      </c>
      <c r="J7" s="168">
        <v>34.616599999999998</v>
      </c>
    </row>
    <row r="8" spans="1:10">
      <c r="A8" s="168"/>
      <c r="B8" s="168"/>
      <c r="C8" s="168"/>
      <c r="D8" s="168"/>
      <c r="E8" s="168"/>
      <c r="F8" s="168"/>
      <c r="G8" s="168"/>
      <c r="H8" s="168"/>
      <c r="I8" s="294"/>
      <c r="J8" s="168"/>
    </row>
    <row r="9" spans="1:10">
      <c r="I9" s="421"/>
    </row>
    <row r="10" spans="1:10">
      <c r="I10" s="421"/>
    </row>
    <row r="14" spans="1:10" ht="14.4">
      <c r="A14" s="294"/>
      <c r="B14" s="294"/>
      <c r="C14" s="450"/>
    </row>
    <row r="15" spans="1:10" ht="14.4">
      <c r="A15" s="448"/>
      <c r="B15" s="294"/>
      <c r="C15" s="294"/>
    </row>
    <row r="17" spans="1:3">
      <c r="A17" s="294"/>
      <c r="B17" s="294"/>
      <c r="C17" s="294"/>
    </row>
    <row r="18" spans="1:3" ht="14.4">
      <c r="A18" s="294" t="s">
        <v>238</v>
      </c>
      <c r="B18" s="448">
        <v>-594</v>
      </c>
      <c r="C18" s="294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7" sqref="I7"/>
    </sheetView>
  </sheetViews>
  <sheetFormatPr defaultRowHeight="13.2"/>
  <cols>
    <col min="1" max="1" width="44" customWidth="1"/>
    <col min="2" max="2" width="10.109375" customWidth="1"/>
    <col min="7" max="7" width="19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1685.4</v>
      </c>
      <c r="F2">
        <v>84511.851599999995</v>
      </c>
      <c r="G2">
        <v>68708.820300000007</v>
      </c>
      <c r="H2">
        <v>48081.0962</v>
      </c>
      <c r="I2">
        <v>20627.724600000001</v>
      </c>
      <c r="J2">
        <v>30.021899999999999</v>
      </c>
    </row>
    <row r="3" spans="1:10">
      <c r="A3" t="s">
        <v>78</v>
      </c>
      <c r="D3">
        <v>3654.59</v>
      </c>
      <c r="F3">
        <v>138898.70310000001</v>
      </c>
      <c r="G3">
        <v>112925.75780000001</v>
      </c>
      <c r="H3">
        <v>71443.527400000006</v>
      </c>
      <c r="I3" s="294">
        <f>41482.2344+B20</f>
        <v>41620.274400000002</v>
      </c>
      <c r="J3">
        <v>36.734000000000002</v>
      </c>
    </row>
    <row r="4" spans="1:10">
      <c r="A4" t="s">
        <v>77</v>
      </c>
      <c r="D4">
        <v>4955.7039999999997</v>
      </c>
      <c r="F4">
        <v>217723.2813</v>
      </c>
      <c r="G4">
        <v>177010.75</v>
      </c>
      <c r="H4">
        <v>109715.6551</v>
      </c>
      <c r="I4" s="294">
        <f>67295.0938+B19</f>
        <v>68381.763800000001</v>
      </c>
      <c r="J4">
        <v>38.017499999999998</v>
      </c>
    </row>
    <row r="5" spans="1:10">
      <c r="A5" t="s">
        <v>25</v>
      </c>
      <c r="D5">
        <v>7269.0439999999999</v>
      </c>
      <c r="F5">
        <v>237911.6875</v>
      </c>
      <c r="G5">
        <v>193424.17189999999</v>
      </c>
      <c r="H5">
        <v>126098.3037</v>
      </c>
      <c r="I5">
        <v>67325.867199999993</v>
      </c>
      <c r="J5">
        <v>34.807299999999998</v>
      </c>
    </row>
    <row r="6" spans="1:10">
      <c r="A6" t="s">
        <v>24</v>
      </c>
      <c r="D6">
        <v>5868.8159999999998</v>
      </c>
      <c r="F6">
        <v>259716.125</v>
      </c>
      <c r="G6">
        <v>211151.29689999999</v>
      </c>
      <c r="H6">
        <v>139946.12669999999</v>
      </c>
      <c r="I6" s="294">
        <f>71205.1719+B21+B15</f>
        <v>71769.631899999993</v>
      </c>
      <c r="J6">
        <v>33.722299999999997</v>
      </c>
    </row>
    <row r="7" spans="1:10">
      <c r="A7" t="s">
        <v>215</v>
      </c>
      <c r="D7">
        <v>23433.554</v>
      </c>
      <c r="F7">
        <v>938761.625</v>
      </c>
      <c r="G7">
        <v>763220.8125</v>
      </c>
      <c r="H7">
        <v>495284.70909999998</v>
      </c>
      <c r="I7" s="294">
        <f>SUM(I2:I6)</f>
        <v>269725.26189999998</v>
      </c>
      <c r="J7">
        <v>35.105899999999998</v>
      </c>
    </row>
    <row r="14" spans="1:10" ht="14.4">
      <c r="A14" s="294"/>
      <c r="B14" s="450"/>
      <c r="C14" s="450"/>
    </row>
    <row r="15" spans="1:10" ht="14.4">
      <c r="A15" s="553" t="s">
        <v>243</v>
      </c>
      <c r="B15">
        <v>381.9</v>
      </c>
    </row>
    <row r="16" spans="1:10" ht="14.4">
      <c r="A16" s="553"/>
    </row>
    <row r="17" spans="1:2" ht="14.4">
      <c r="A17" s="553" t="s">
        <v>239</v>
      </c>
    </row>
    <row r="18" spans="1:2" ht="14.4">
      <c r="A18" s="553"/>
    </row>
    <row r="19" spans="1:2" ht="14.4">
      <c r="A19" s="553" t="s">
        <v>240</v>
      </c>
      <c r="B19">
        <v>1086.67</v>
      </c>
    </row>
    <row r="20" spans="1:2" ht="14.4">
      <c r="A20" s="553" t="s">
        <v>241</v>
      </c>
      <c r="B20">
        <v>138.04</v>
      </c>
    </row>
    <row r="21" spans="1:2" ht="14.4">
      <c r="A21" s="553" t="s">
        <v>242</v>
      </c>
      <c r="B21">
        <v>182.56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9" workbookViewId="0">
      <selection activeCell="D15" sqref="D15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9" width="13.44140625" bestFit="1" customWidth="1"/>
  </cols>
  <sheetData>
    <row r="1" spans="1:11">
      <c r="A1" s="168" t="s">
        <v>206</v>
      </c>
      <c r="B1" s="168" t="s">
        <v>207</v>
      </c>
      <c r="C1" s="168" t="s">
        <v>208</v>
      </c>
      <c r="D1" s="168" t="s">
        <v>209</v>
      </c>
      <c r="E1" s="168" t="s">
        <v>210</v>
      </c>
      <c r="F1" s="168" t="s">
        <v>211</v>
      </c>
      <c r="G1" s="168" t="s">
        <v>212</v>
      </c>
      <c r="H1" s="168" t="s">
        <v>213</v>
      </c>
      <c r="I1" s="168" t="s">
        <v>214</v>
      </c>
      <c r="J1" s="168" t="s">
        <v>114</v>
      </c>
      <c r="K1" s="168"/>
    </row>
    <row r="2" spans="1:11">
      <c r="A2" s="168" t="s">
        <v>71</v>
      </c>
      <c r="B2" s="168"/>
      <c r="C2" s="168"/>
      <c r="D2" s="168">
        <v>2120.34</v>
      </c>
      <c r="E2" s="168"/>
      <c r="F2" s="204">
        <v>110109.96090000001</v>
      </c>
      <c r="G2" s="204">
        <v>89520.273400000005</v>
      </c>
      <c r="H2" s="204">
        <v>67366.558999999994</v>
      </c>
      <c r="I2" s="406">
        <v>22153.710899999998</v>
      </c>
      <c r="J2" s="168">
        <v>24.7471</v>
      </c>
      <c r="K2" s="168"/>
    </row>
    <row r="3" spans="1:11">
      <c r="A3" s="168" t="s">
        <v>78</v>
      </c>
      <c r="B3" s="168"/>
      <c r="C3" s="168"/>
      <c r="D3" s="168">
        <v>3778.5639999999999</v>
      </c>
      <c r="E3" s="168"/>
      <c r="F3" s="204">
        <v>123430.9375</v>
      </c>
      <c r="G3" s="204">
        <v>100350.3438</v>
      </c>
      <c r="H3" s="204">
        <v>58491.959300000002</v>
      </c>
      <c r="I3" s="204">
        <v>41858.378900000003</v>
      </c>
      <c r="J3" s="168">
        <v>41.712200000000003</v>
      </c>
      <c r="K3" s="168"/>
    </row>
    <row r="4" spans="1:11">
      <c r="A4" s="168" t="s">
        <v>25</v>
      </c>
      <c r="B4" s="168"/>
      <c r="C4" s="168"/>
      <c r="D4" s="168">
        <v>5016.018</v>
      </c>
      <c r="E4" s="168"/>
      <c r="F4" s="204">
        <v>192310.625</v>
      </c>
      <c r="G4" s="204">
        <v>156350.0625</v>
      </c>
      <c r="H4" s="204">
        <v>102960.4031</v>
      </c>
      <c r="I4" s="204">
        <v>53389.667999999998</v>
      </c>
      <c r="J4" s="168">
        <v>34.147500000000001</v>
      </c>
      <c r="K4" s="168"/>
    </row>
    <row r="5" spans="1:11">
      <c r="A5" s="168" t="s">
        <v>77</v>
      </c>
      <c r="B5" s="168"/>
      <c r="C5" s="168"/>
      <c r="D5" s="168">
        <v>4417.2920000000004</v>
      </c>
      <c r="E5" s="168"/>
      <c r="F5" s="204">
        <v>292912.4375</v>
      </c>
      <c r="G5" s="204">
        <v>238140.20310000001</v>
      </c>
      <c r="H5" s="204">
        <v>169663.80790000001</v>
      </c>
      <c r="I5" s="363">
        <f>68476.3906+D15</f>
        <v>67462.390599999999</v>
      </c>
      <c r="J5" s="168">
        <v>28.7546</v>
      </c>
      <c r="K5" s="168"/>
    </row>
    <row r="6" spans="1:11">
      <c r="A6" s="168" t="s">
        <v>24</v>
      </c>
      <c r="B6" s="168"/>
      <c r="C6" s="168"/>
      <c r="D6" s="168">
        <v>5521.7820000000002</v>
      </c>
      <c r="E6" s="168"/>
      <c r="F6" s="204">
        <v>284577.0625</v>
      </c>
      <c r="G6" s="204">
        <v>231363.4063</v>
      </c>
      <c r="H6" s="204">
        <v>157599.89869999999</v>
      </c>
      <c r="I6" s="406">
        <v>73763.5</v>
      </c>
      <c r="J6" s="168">
        <v>31.882000000000001</v>
      </c>
      <c r="K6" s="168"/>
    </row>
    <row r="7" spans="1:11">
      <c r="A7" s="168" t="s">
        <v>215</v>
      </c>
      <c r="B7" s="168"/>
      <c r="C7" s="168"/>
      <c r="D7" s="168">
        <v>20853.995999999999</v>
      </c>
      <c r="E7" s="168"/>
      <c r="F7" s="204">
        <v>1003341</v>
      </c>
      <c r="G7" s="204">
        <v>815724.25</v>
      </c>
      <c r="H7" s="204">
        <v>556082.62800000003</v>
      </c>
      <c r="I7" s="406">
        <v>259641.6563</v>
      </c>
      <c r="J7" s="168">
        <v>31.829499999999999</v>
      </c>
    </row>
    <row r="10" spans="1:11">
      <c r="A10" s="168"/>
    </row>
    <row r="11" spans="1:11">
      <c r="A11" s="168"/>
    </row>
    <row r="12" spans="1:11">
      <c r="A12" s="168"/>
    </row>
    <row r="13" spans="1:11">
      <c r="A13" s="168"/>
    </row>
    <row r="14" spans="1:11">
      <c r="A14" s="168"/>
    </row>
    <row r="15" spans="1:11" ht="14.4">
      <c r="A15" s="553" t="s">
        <v>244</v>
      </c>
      <c r="D15" s="294">
        <v>-1014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19" sqref="E19"/>
    </sheetView>
  </sheetViews>
  <sheetFormatPr defaultRowHeight="13.2"/>
  <cols>
    <col min="1" max="1" width="23.109375" customWidth="1"/>
    <col min="9" max="9" width="9.5546875" bestFit="1" customWidth="1"/>
  </cols>
  <sheetData>
    <row r="1" spans="1:10">
      <c r="A1" s="168" t="s">
        <v>206</v>
      </c>
      <c r="B1" s="168" t="s">
        <v>207</v>
      </c>
      <c r="C1" s="168" t="s">
        <v>208</v>
      </c>
      <c r="D1" s="168" t="s">
        <v>209</v>
      </c>
      <c r="E1" s="168" t="s">
        <v>210</v>
      </c>
      <c r="F1" s="168" t="s">
        <v>211</v>
      </c>
      <c r="G1" s="168" t="s">
        <v>212</v>
      </c>
      <c r="H1" s="168" t="s">
        <v>213</v>
      </c>
      <c r="I1" s="168" t="s">
        <v>214</v>
      </c>
      <c r="J1" s="168" t="s">
        <v>114</v>
      </c>
    </row>
    <row r="2" spans="1:10">
      <c r="A2" s="168" t="s">
        <v>71</v>
      </c>
      <c r="B2" s="168"/>
      <c r="C2" s="168"/>
      <c r="D2" s="168">
        <v>1717.43</v>
      </c>
      <c r="E2" s="168"/>
      <c r="F2" s="168">
        <v>117047.3438</v>
      </c>
      <c r="G2" s="168">
        <v>95160.406300000002</v>
      </c>
      <c r="H2" s="168">
        <v>61153.028299999998</v>
      </c>
      <c r="I2" s="382">
        <v>34007.382799999999</v>
      </c>
      <c r="J2" s="168">
        <v>35.736899999999999</v>
      </c>
    </row>
    <row r="3" spans="1:10">
      <c r="A3" s="168" t="s">
        <v>77</v>
      </c>
      <c r="B3" s="168"/>
      <c r="C3" s="168"/>
      <c r="D3" s="168">
        <v>3470.0250000000001</v>
      </c>
      <c r="E3" s="168"/>
      <c r="F3" s="168">
        <v>172492.875</v>
      </c>
      <c r="G3" s="168">
        <v>140238.07810000001</v>
      </c>
      <c r="H3" s="168">
        <v>96227.557799999995</v>
      </c>
      <c r="I3" s="294">
        <f>44010.5234+E19+E15</f>
        <v>45131.943399999996</v>
      </c>
      <c r="J3" s="168">
        <v>31.3827</v>
      </c>
    </row>
    <row r="4" spans="1:10">
      <c r="A4" s="168" t="s">
        <v>25</v>
      </c>
      <c r="B4" s="168"/>
      <c r="C4" s="168"/>
      <c r="D4" s="168">
        <v>12872.846</v>
      </c>
      <c r="E4" s="168"/>
      <c r="F4" s="168">
        <v>233193.23439999999</v>
      </c>
      <c r="G4" s="168">
        <v>189587.98439999999</v>
      </c>
      <c r="H4" s="168">
        <v>128986.0549</v>
      </c>
      <c r="I4" s="168">
        <v>60601.933599999997</v>
      </c>
      <c r="J4" s="168">
        <v>31.965</v>
      </c>
    </row>
    <row r="5" spans="1:10">
      <c r="A5" s="168" t="s">
        <v>78</v>
      </c>
      <c r="B5" s="168"/>
      <c r="C5" s="168"/>
      <c r="D5" s="168">
        <v>5105.5640000000003</v>
      </c>
      <c r="E5" s="168"/>
      <c r="F5" s="168">
        <v>220608.2188</v>
      </c>
      <c r="G5" s="168">
        <v>179356.23439999999</v>
      </c>
      <c r="H5" s="168">
        <v>118077.11840000001</v>
      </c>
      <c r="I5" s="294">
        <f>61279.1133+E20</f>
        <v>61416.543299999998</v>
      </c>
      <c r="J5" s="168">
        <v>34.1661</v>
      </c>
    </row>
    <row r="6" spans="1:10">
      <c r="A6" s="168" t="s">
        <v>24</v>
      </c>
      <c r="B6" s="168"/>
      <c r="C6" s="168"/>
      <c r="D6" s="168">
        <v>6528.433</v>
      </c>
      <c r="E6" s="168"/>
      <c r="F6" s="168">
        <v>301042.625</v>
      </c>
      <c r="G6" s="168">
        <v>244813.6875</v>
      </c>
      <c r="H6" s="168">
        <v>173087.37419999999</v>
      </c>
      <c r="I6" s="294">
        <f>71726.3125+E21</f>
        <v>72068.012499999997</v>
      </c>
      <c r="J6" s="168">
        <v>29.298300000000001</v>
      </c>
    </row>
    <row r="7" spans="1:10">
      <c r="A7" s="168" t="s">
        <v>215</v>
      </c>
      <c r="B7" s="168"/>
      <c r="C7" s="168"/>
      <c r="D7" s="168">
        <v>29694.297999999999</v>
      </c>
      <c r="E7" s="168"/>
      <c r="F7" s="168">
        <v>1044384.3125</v>
      </c>
      <c r="G7" s="168">
        <v>849156.375</v>
      </c>
      <c r="H7" s="168">
        <v>577531.13359999994</v>
      </c>
      <c r="I7" s="294">
        <v>271625.28129999997</v>
      </c>
      <c r="J7" s="168">
        <v>31.9876</v>
      </c>
    </row>
    <row r="8" spans="1:10">
      <c r="A8" s="168"/>
      <c r="B8" s="168"/>
      <c r="C8" s="168"/>
      <c r="D8" s="168"/>
      <c r="E8" s="168"/>
      <c r="F8" s="168"/>
      <c r="G8" s="168"/>
      <c r="H8" s="168"/>
      <c r="I8" s="382"/>
      <c r="J8" s="168"/>
    </row>
    <row r="9" spans="1:10">
      <c r="A9" s="168"/>
      <c r="B9" s="168"/>
      <c r="C9" s="168"/>
      <c r="D9" s="168"/>
      <c r="E9" s="168"/>
      <c r="F9" s="168"/>
      <c r="G9" s="168"/>
      <c r="H9" s="168"/>
      <c r="I9" s="168"/>
      <c r="J9" s="168"/>
    </row>
    <row r="14" spans="1:10" ht="14.4">
      <c r="A14" s="553" t="s">
        <v>245</v>
      </c>
    </row>
    <row r="15" spans="1:10" ht="14.4">
      <c r="A15" s="553" t="s">
        <v>246</v>
      </c>
      <c r="E15">
        <v>-400</v>
      </c>
    </row>
    <row r="16" spans="1:10" ht="14.4">
      <c r="A16" s="553"/>
    </row>
    <row r="17" spans="1:5" ht="14.4">
      <c r="A17" s="553" t="s">
        <v>247</v>
      </c>
      <c r="B17" s="294"/>
    </row>
    <row r="18" spans="1:5" ht="14.4">
      <c r="A18" s="553"/>
    </row>
    <row r="19" spans="1:5" ht="14.4">
      <c r="A19" s="553" t="s">
        <v>248</v>
      </c>
      <c r="E19">
        <v>1521.42</v>
      </c>
    </row>
    <row r="20" spans="1:5" ht="14.4">
      <c r="A20" s="553" t="s">
        <v>249</v>
      </c>
      <c r="E20">
        <v>137.43</v>
      </c>
    </row>
    <row r="21" spans="1:5" ht="14.4">
      <c r="A21" s="553" t="s">
        <v>250</v>
      </c>
      <c r="E21">
        <v>341.7</v>
      </c>
    </row>
  </sheetData>
  <pageMargins left="0.7" right="0.7" top="0.75" bottom="0.75" header="0.3" footer="0.3"/>
  <pageSetup paperSize="9" orientation="portrait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7" sqref="B1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s="204" t="s">
        <v>71</v>
      </c>
      <c r="B2" s="204"/>
      <c r="C2" s="204"/>
      <c r="D2" s="204">
        <v>2044.098</v>
      </c>
      <c r="E2" s="204"/>
      <c r="F2" s="204">
        <v>101420.4219</v>
      </c>
      <c r="G2" s="204">
        <v>82455.609400000001</v>
      </c>
      <c r="H2" s="204">
        <v>58866.8318</v>
      </c>
      <c r="I2" s="204">
        <v>23588.777300000002</v>
      </c>
      <c r="J2">
        <v>28.607800000000001</v>
      </c>
    </row>
    <row r="3" spans="1:10">
      <c r="A3" s="204" t="s">
        <v>25</v>
      </c>
      <c r="B3" s="204"/>
      <c r="C3" s="204"/>
      <c r="D3" s="204">
        <v>5316.585</v>
      </c>
      <c r="E3" s="204"/>
      <c r="F3" s="204">
        <v>202117.75</v>
      </c>
      <c r="G3" s="204">
        <v>164323.29689999999</v>
      </c>
      <c r="H3" s="204">
        <v>110981.66409999999</v>
      </c>
      <c r="I3" s="204">
        <v>53341.636700000003</v>
      </c>
      <c r="J3">
        <v>32.461300000000001</v>
      </c>
    </row>
    <row r="4" spans="1:10">
      <c r="A4" s="204" t="s">
        <v>78</v>
      </c>
      <c r="B4" s="204"/>
      <c r="C4" s="204"/>
      <c r="D4" s="204">
        <v>3938.9639999999999</v>
      </c>
      <c r="E4" s="204"/>
      <c r="F4" s="204">
        <v>176831.125</v>
      </c>
      <c r="G4" s="204">
        <v>143765.125</v>
      </c>
      <c r="H4" s="204">
        <v>86315.934200000003</v>
      </c>
      <c r="I4" s="363">
        <f>57449.1953+B19</f>
        <v>58039.165300000001</v>
      </c>
      <c r="J4">
        <v>39.9604</v>
      </c>
    </row>
    <row r="5" spans="1:10">
      <c r="A5" s="204" t="s">
        <v>77</v>
      </c>
      <c r="B5" s="204"/>
      <c r="C5" s="204"/>
      <c r="D5" s="204">
        <v>4192.3429999999998</v>
      </c>
      <c r="E5" s="204"/>
      <c r="F5" s="204">
        <v>264425.125</v>
      </c>
      <c r="G5" s="204">
        <v>214979.7188</v>
      </c>
      <c r="H5" s="204">
        <v>150378.0399</v>
      </c>
      <c r="I5" s="363">
        <f>64601.6797+B18</f>
        <v>67795.8897</v>
      </c>
      <c r="J5">
        <v>30.0501</v>
      </c>
    </row>
    <row r="6" spans="1:10">
      <c r="A6" s="204" t="s">
        <v>24</v>
      </c>
      <c r="B6" s="204"/>
      <c r="C6" s="204"/>
      <c r="D6" s="204">
        <v>5993.7920000000004</v>
      </c>
      <c r="E6" s="204"/>
      <c r="F6" s="204">
        <v>261667.8438</v>
      </c>
      <c r="G6" s="204">
        <v>212738.04689999999</v>
      </c>
      <c r="H6" s="204">
        <v>141810.18299999999</v>
      </c>
      <c r="I6" s="363">
        <f>70927.8672+B17</f>
        <v>71647.117199999993</v>
      </c>
      <c r="J6">
        <v>33.340400000000002</v>
      </c>
    </row>
    <row r="7" spans="1:10">
      <c r="A7" s="204" t="s">
        <v>215</v>
      </c>
      <c r="B7" s="204"/>
      <c r="C7" s="204"/>
      <c r="D7" s="204">
        <v>21485.781999999999</v>
      </c>
      <c r="E7" s="204"/>
      <c r="F7" s="204">
        <v>1006462.25</v>
      </c>
      <c r="G7" s="204">
        <v>818261.8125</v>
      </c>
      <c r="H7" s="204">
        <v>548352.65300000005</v>
      </c>
      <c r="I7" s="204">
        <v>269909.15629999997</v>
      </c>
      <c r="J7">
        <v>32.985599999999998</v>
      </c>
    </row>
    <row r="8" spans="1:10">
      <c r="A8" s="204"/>
      <c r="B8" s="204"/>
      <c r="C8" s="204"/>
      <c r="D8" s="204"/>
      <c r="E8" s="204"/>
      <c r="F8" s="204"/>
      <c r="G8" s="204"/>
      <c r="H8" s="204"/>
      <c r="I8" s="406"/>
    </row>
    <row r="9" spans="1:10">
      <c r="D9" s="204"/>
      <c r="E9" s="204"/>
      <c r="F9" s="204"/>
      <c r="G9" s="204"/>
      <c r="H9" s="204"/>
      <c r="I9" s="204"/>
    </row>
    <row r="16" spans="1:10">
      <c r="A16" t="s">
        <v>251</v>
      </c>
    </row>
    <row r="17" spans="1:3">
      <c r="A17" t="s">
        <v>237</v>
      </c>
      <c r="B17">
        <v>719.25</v>
      </c>
      <c r="C17" t="s">
        <v>123</v>
      </c>
    </row>
    <row r="18" spans="1:3">
      <c r="A18" t="s">
        <v>252</v>
      </c>
      <c r="B18">
        <v>3194.21</v>
      </c>
      <c r="C18" t="s">
        <v>122</v>
      </c>
    </row>
    <row r="19" spans="1:3">
      <c r="A19" t="s">
        <v>236</v>
      </c>
      <c r="B19">
        <v>589.97</v>
      </c>
      <c r="C19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17" sqref="A17:C20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2073.11</v>
      </c>
      <c r="F2">
        <v>121974.8906</v>
      </c>
      <c r="G2">
        <v>99166.570300000007</v>
      </c>
      <c r="H2">
        <v>68149.847999999998</v>
      </c>
      <c r="I2">
        <v>31016.722699999998</v>
      </c>
      <c r="J2">
        <v>31.2773</v>
      </c>
    </row>
    <row r="3" spans="1:10">
      <c r="A3" t="s">
        <v>78</v>
      </c>
      <c r="D3">
        <v>3447.7710000000002</v>
      </c>
      <c r="F3">
        <v>122758.7969</v>
      </c>
      <c r="G3">
        <v>99803.906300000002</v>
      </c>
      <c r="H3">
        <v>62307.239099999999</v>
      </c>
      <c r="I3">
        <v>37496.671900000001</v>
      </c>
      <c r="J3">
        <v>37.570300000000003</v>
      </c>
    </row>
    <row r="4" spans="1:10">
      <c r="A4" t="s">
        <v>77</v>
      </c>
      <c r="D4">
        <v>6077.6109999999999</v>
      </c>
      <c r="F4">
        <v>303379.09379999997</v>
      </c>
      <c r="G4">
        <v>246649.64060000001</v>
      </c>
      <c r="H4">
        <v>202900.75270000001</v>
      </c>
      <c r="I4" s="294">
        <f>43748.8867+B19</f>
        <v>55693.686700000006</v>
      </c>
      <c r="J4">
        <v>17.737200000000001</v>
      </c>
    </row>
    <row r="5" spans="1:10">
      <c r="A5" t="s">
        <v>24</v>
      </c>
      <c r="D5">
        <v>5037.0919999999996</v>
      </c>
      <c r="F5">
        <v>242914.375</v>
      </c>
      <c r="G5">
        <v>197491.26560000001</v>
      </c>
      <c r="H5">
        <v>135768.375</v>
      </c>
      <c r="I5">
        <v>61722.894500000002</v>
      </c>
      <c r="J5">
        <v>31.253399999999999</v>
      </c>
    </row>
    <row r="6" spans="1:10">
      <c r="A6" t="s">
        <v>25</v>
      </c>
      <c r="D6">
        <v>6314.9359999999997</v>
      </c>
      <c r="F6">
        <v>252007.17189999999</v>
      </c>
      <c r="G6">
        <v>204883.85939999999</v>
      </c>
      <c r="H6">
        <v>139075.3222</v>
      </c>
      <c r="I6" s="168">
        <v>65808.539099999995</v>
      </c>
      <c r="J6">
        <v>32.119900000000001</v>
      </c>
    </row>
    <row r="7" spans="1:10">
      <c r="A7" t="s">
        <v>215</v>
      </c>
      <c r="D7">
        <v>22950.52</v>
      </c>
      <c r="F7">
        <v>1043034.3125</v>
      </c>
      <c r="G7">
        <v>847995.25</v>
      </c>
      <c r="H7">
        <v>608201.53700000001</v>
      </c>
      <c r="I7">
        <v>239793.7188</v>
      </c>
      <c r="J7">
        <v>28.277699999999999</v>
      </c>
    </row>
    <row r="16" spans="1:10" ht="14.4">
      <c r="B16" s="450"/>
    </row>
    <row r="17" spans="1:3">
      <c r="A17" t="s">
        <v>251</v>
      </c>
    </row>
    <row r="18" spans="1:3">
      <c r="A18" t="s">
        <v>237</v>
      </c>
      <c r="C18" t="s">
        <v>123</v>
      </c>
    </row>
    <row r="19" spans="1:3">
      <c r="A19" t="s">
        <v>252</v>
      </c>
      <c r="B19">
        <v>11944.8</v>
      </c>
      <c r="C19" t="s">
        <v>122</v>
      </c>
    </row>
    <row r="20" spans="1:3">
      <c r="A20" t="s">
        <v>236</v>
      </c>
      <c r="C20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7" sqref="I7"/>
    </sheetView>
  </sheetViews>
  <sheetFormatPr defaultRowHeight="13.2"/>
  <cols>
    <col min="1" max="1" width="22.88671875" customWidth="1"/>
    <col min="6" max="9" width="13.6640625" customWidth="1"/>
    <col min="10" max="10" width="19.886718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2291.98</v>
      </c>
      <c r="F2" s="168">
        <v>76821.101599999995</v>
      </c>
      <c r="G2" s="168">
        <v>62456.171900000001</v>
      </c>
      <c r="H2" s="204">
        <v>45370.897400000002</v>
      </c>
      <c r="I2" s="204">
        <v>17085.273399999998</v>
      </c>
      <c r="J2" s="168">
        <v>27.355599999999999</v>
      </c>
    </row>
    <row r="3" spans="1:10">
      <c r="A3" t="s">
        <v>78</v>
      </c>
      <c r="D3">
        <v>3438.5450000000001</v>
      </c>
      <c r="F3" s="168">
        <v>130594.22659999999</v>
      </c>
      <c r="G3" s="168">
        <v>106174.14840000001</v>
      </c>
      <c r="H3" s="204">
        <v>62562.392399999997</v>
      </c>
      <c r="I3" s="204">
        <v>43611.757799999999</v>
      </c>
      <c r="J3" s="168">
        <v>41.075600000000001</v>
      </c>
    </row>
    <row r="4" spans="1:10">
      <c r="A4" t="s">
        <v>25</v>
      </c>
      <c r="D4">
        <v>4410.2299999999996</v>
      </c>
      <c r="F4" s="168">
        <v>176956.07810000001</v>
      </c>
      <c r="G4" s="168">
        <v>143866.6875</v>
      </c>
      <c r="H4" s="204">
        <v>93651.894</v>
      </c>
      <c r="I4" s="204">
        <v>50214.785199999998</v>
      </c>
      <c r="J4" s="168">
        <v>34.903599999999997</v>
      </c>
    </row>
    <row r="5" spans="1:10">
      <c r="A5" t="s">
        <v>24</v>
      </c>
      <c r="D5">
        <v>4447.1090000000004</v>
      </c>
      <c r="F5" s="168">
        <v>233417.3438</v>
      </c>
      <c r="G5" s="168">
        <v>189834.75</v>
      </c>
      <c r="H5" s="204">
        <v>129331.93339999999</v>
      </c>
      <c r="I5" s="204">
        <v>60502.816400000003</v>
      </c>
      <c r="J5" s="168">
        <v>31.871300000000002</v>
      </c>
    </row>
    <row r="6" spans="1:10">
      <c r="A6" t="s">
        <v>77</v>
      </c>
      <c r="D6">
        <v>5248.75</v>
      </c>
      <c r="F6" s="168">
        <v>273291.09379999997</v>
      </c>
      <c r="G6" s="168">
        <v>222187.92189999999</v>
      </c>
      <c r="H6" s="204">
        <v>150010.10200000001</v>
      </c>
      <c r="I6" s="363">
        <f>72177.8203+B17+B19+B20+B21+B22</f>
        <v>79028.110300000015</v>
      </c>
      <c r="J6" s="168">
        <v>32.484999999999999</v>
      </c>
    </row>
    <row r="7" spans="1:10">
      <c r="A7" t="s">
        <v>215</v>
      </c>
      <c r="D7">
        <v>19836.614000000001</v>
      </c>
      <c r="F7" s="168">
        <v>891079.8125</v>
      </c>
      <c r="G7" s="168">
        <v>724519.6875</v>
      </c>
      <c r="H7" s="204">
        <v>480927.21919999999</v>
      </c>
      <c r="I7" s="363">
        <v>243592.45310000001</v>
      </c>
      <c r="J7" s="168">
        <v>33.621200000000002</v>
      </c>
    </row>
    <row r="8" spans="1:10">
      <c r="F8" s="168"/>
      <c r="G8" s="168"/>
      <c r="H8" s="204"/>
      <c r="I8" s="406"/>
      <c r="J8" s="168"/>
    </row>
    <row r="15" spans="1:10">
      <c r="A15" t="s">
        <v>251</v>
      </c>
    </row>
    <row r="16" spans="1:10">
      <c r="A16" t="s">
        <v>237</v>
      </c>
      <c r="C16" t="s">
        <v>123</v>
      </c>
    </row>
    <row r="17" spans="1:3">
      <c r="A17" t="s">
        <v>252</v>
      </c>
      <c r="B17">
        <v>5267.93</v>
      </c>
      <c r="C17" t="s">
        <v>122</v>
      </c>
    </row>
    <row r="18" spans="1:3">
      <c r="A18" t="s">
        <v>236</v>
      </c>
      <c r="C18" t="s">
        <v>120</v>
      </c>
    </row>
    <row r="19" spans="1:3">
      <c r="A19" t="s">
        <v>266</v>
      </c>
      <c r="B19">
        <v>2120.38</v>
      </c>
      <c r="C19" t="s">
        <v>122</v>
      </c>
    </row>
    <row r="20" spans="1:3">
      <c r="A20" t="s">
        <v>238</v>
      </c>
      <c r="B20">
        <v>1749.98</v>
      </c>
      <c r="C20" t="s">
        <v>122</v>
      </c>
    </row>
    <row r="21" spans="1:3">
      <c r="A21" t="s">
        <v>238</v>
      </c>
      <c r="B21">
        <v>-288</v>
      </c>
      <c r="C21" t="s">
        <v>122</v>
      </c>
    </row>
    <row r="22" spans="1:3">
      <c r="A22" t="s">
        <v>267</v>
      </c>
      <c r="B22">
        <v>-2000</v>
      </c>
      <c r="C22" t="s">
        <v>122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I4" sqref="I4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8" width="13.44140625" bestFit="1" customWidth="1"/>
    <col min="9" max="9" width="16" customWidth="1"/>
    <col min="10" max="10" width="9.33203125" bestFit="1" customWidth="1"/>
  </cols>
  <sheetData>
    <row r="1" spans="1:10">
      <c r="A1" s="168" t="s">
        <v>206</v>
      </c>
      <c r="B1" s="168" t="s">
        <v>207</v>
      </c>
      <c r="C1" s="168" t="s">
        <v>208</v>
      </c>
      <c r="D1" s="168" t="s">
        <v>209</v>
      </c>
      <c r="E1" s="168" t="s">
        <v>210</v>
      </c>
      <c r="F1" s="168" t="s">
        <v>211</v>
      </c>
      <c r="G1" s="168" t="s">
        <v>212</v>
      </c>
      <c r="H1" s="168" t="s">
        <v>213</v>
      </c>
      <c r="I1" s="168" t="s">
        <v>214</v>
      </c>
      <c r="J1" t="s">
        <v>114</v>
      </c>
    </row>
    <row r="2" spans="1:10">
      <c r="A2" s="168" t="s">
        <v>71</v>
      </c>
      <c r="B2" s="168"/>
      <c r="C2" s="168"/>
      <c r="D2" s="204">
        <v>2167.5149999999999</v>
      </c>
      <c r="E2" s="204"/>
      <c r="F2" s="204">
        <v>135230.26560000001</v>
      </c>
      <c r="G2" s="204">
        <v>109943.28909999999</v>
      </c>
      <c r="H2" s="204">
        <v>81058.286300000007</v>
      </c>
      <c r="I2" s="406">
        <v>28885.0039</v>
      </c>
      <c r="J2" s="204">
        <v>26.272600000000001</v>
      </c>
    </row>
    <row r="3" spans="1:10">
      <c r="A3" s="168" t="s">
        <v>78</v>
      </c>
      <c r="B3" s="168"/>
      <c r="C3" s="168"/>
      <c r="D3" s="204">
        <v>4088.2710000000002</v>
      </c>
      <c r="E3" s="204"/>
      <c r="F3" s="204">
        <v>180881.73439999999</v>
      </c>
      <c r="G3" s="204">
        <v>147058.26560000001</v>
      </c>
      <c r="H3" s="204">
        <v>98814.897400000002</v>
      </c>
      <c r="I3" s="406">
        <v>48243.363299999997</v>
      </c>
      <c r="J3" s="204">
        <v>32.805599999999998</v>
      </c>
    </row>
    <row r="4" spans="1:10">
      <c r="A4" s="168" t="s">
        <v>77</v>
      </c>
      <c r="B4" s="168"/>
      <c r="C4" s="168"/>
      <c r="D4" s="204">
        <v>6352.6</v>
      </c>
      <c r="E4" s="204"/>
      <c r="F4" s="204">
        <v>208064.01560000001</v>
      </c>
      <c r="G4" s="204">
        <v>169157.6875</v>
      </c>
      <c r="H4" s="204">
        <v>109917.54949999999</v>
      </c>
      <c r="I4" s="363">
        <f>59240.1406+B15+B17</f>
        <v>58474.130599999997</v>
      </c>
      <c r="J4" s="204">
        <v>35.020600000000002</v>
      </c>
    </row>
    <row r="5" spans="1:10">
      <c r="A5" s="168" t="s">
        <v>25</v>
      </c>
      <c r="B5" s="168"/>
      <c r="C5" s="168"/>
      <c r="D5" s="204">
        <v>6520.2110000000002</v>
      </c>
      <c r="E5" s="204"/>
      <c r="F5" s="204">
        <v>221003.7813</v>
      </c>
      <c r="G5" s="204">
        <v>180654.51560000001</v>
      </c>
      <c r="H5" s="204">
        <v>119998.3535</v>
      </c>
      <c r="I5" s="406">
        <v>60656.167999999998</v>
      </c>
      <c r="J5" s="204">
        <v>33.575699999999998</v>
      </c>
    </row>
    <row r="6" spans="1:10">
      <c r="A6" s="168" t="s">
        <v>24</v>
      </c>
      <c r="B6" s="168"/>
      <c r="C6" s="168"/>
      <c r="D6" s="204">
        <v>5292.527</v>
      </c>
      <c r="E6" s="204"/>
      <c r="F6" s="204">
        <v>244900.9063</v>
      </c>
      <c r="G6" s="204">
        <v>199106.4063</v>
      </c>
      <c r="H6" s="204">
        <v>137167.75769999999</v>
      </c>
      <c r="I6" s="363">
        <f>61938.6523+B16</f>
        <v>62422.597300000001</v>
      </c>
      <c r="J6" s="204">
        <v>31.1083</v>
      </c>
    </row>
    <row r="7" spans="1:10">
      <c r="A7" t="s">
        <v>215</v>
      </c>
      <c r="D7" s="204">
        <v>24421.124</v>
      </c>
      <c r="E7" s="204"/>
      <c r="F7" s="204">
        <v>990080.6875</v>
      </c>
      <c r="G7" s="204">
        <v>805920.1875</v>
      </c>
      <c r="H7" s="204">
        <v>546956.84439999994</v>
      </c>
      <c r="I7" s="363">
        <v>258963.32810000001</v>
      </c>
      <c r="J7" s="204">
        <v>32.132599999999996</v>
      </c>
    </row>
    <row r="8" spans="1:10">
      <c r="D8" s="204"/>
      <c r="E8" s="204"/>
      <c r="F8" s="204"/>
      <c r="G8" s="204"/>
      <c r="H8" s="204"/>
      <c r="I8" s="363"/>
      <c r="J8" s="204"/>
    </row>
    <row r="15" spans="1:10" ht="14.4">
      <c r="A15" t="s">
        <v>268</v>
      </c>
      <c r="B15" s="460">
        <v>-492.51</v>
      </c>
      <c r="C15" t="s">
        <v>122</v>
      </c>
    </row>
    <row r="16" spans="1:10" ht="13.8">
      <c r="A16" t="s">
        <v>237</v>
      </c>
      <c r="B16" s="462">
        <v>483.94499999999999</v>
      </c>
      <c r="C16" t="s">
        <v>123</v>
      </c>
    </row>
    <row r="17" spans="1:3" ht="13.8">
      <c r="A17" t="s">
        <v>274</v>
      </c>
      <c r="B17" s="462">
        <v>-273.5</v>
      </c>
      <c r="C17" t="s">
        <v>122</v>
      </c>
    </row>
    <row r="22" spans="1:3" ht="14.4">
      <c r="A22" s="553" t="s">
        <v>269</v>
      </c>
    </row>
    <row r="23" spans="1:3" ht="14.4">
      <c r="A23" s="553" t="s">
        <v>270</v>
      </c>
    </row>
    <row r="24" spans="1:3" ht="14.4">
      <c r="A24" s="553" t="s">
        <v>271</v>
      </c>
    </row>
    <row r="25" spans="1:3" ht="14.4">
      <c r="A25" s="553"/>
    </row>
    <row r="26" spans="1:3" ht="14.4">
      <c r="A26" s="553" t="s">
        <v>272</v>
      </c>
    </row>
    <row r="27" spans="1:3" ht="14.4">
      <c r="A27" s="553" t="s">
        <v>273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K14" sqref="K14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1424.69</v>
      </c>
      <c r="F2">
        <v>90235.328099999999</v>
      </c>
      <c r="G2">
        <v>73362.039099999995</v>
      </c>
      <c r="H2">
        <v>51721.061399999999</v>
      </c>
      <c r="I2" s="168">
        <v>21640.978500000001</v>
      </c>
      <c r="J2">
        <v>29.498799999999999</v>
      </c>
    </row>
    <row r="3" spans="1:10">
      <c r="A3" t="s">
        <v>78</v>
      </c>
      <c r="D3">
        <v>4445.759</v>
      </c>
      <c r="F3">
        <v>165138.54689999999</v>
      </c>
      <c r="G3" s="168">
        <v>134258.95310000001</v>
      </c>
      <c r="H3">
        <v>80566.930600000007</v>
      </c>
      <c r="I3" s="294">
        <f>53692.0195+C15</f>
        <v>53871.6895</v>
      </c>
      <c r="J3">
        <v>39.991300000000003</v>
      </c>
    </row>
    <row r="4" spans="1:10">
      <c r="A4" t="s">
        <v>24</v>
      </c>
      <c r="D4">
        <v>6918.0619999999999</v>
      </c>
      <c r="F4">
        <v>258109.8438</v>
      </c>
      <c r="G4">
        <v>209845.29689999999</v>
      </c>
      <c r="H4">
        <v>143362.1367</v>
      </c>
      <c r="I4" s="168">
        <v>66483.164099999995</v>
      </c>
      <c r="J4">
        <v>31.681899999999999</v>
      </c>
    </row>
    <row r="5" spans="1:10">
      <c r="A5" t="s">
        <v>77</v>
      </c>
      <c r="D5">
        <v>4232.0749999999998</v>
      </c>
      <c r="F5">
        <v>205915.98439999999</v>
      </c>
      <c r="G5">
        <v>167411.375</v>
      </c>
      <c r="H5">
        <v>96844.972500000003</v>
      </c>
      <c r="I5" s="168">
        <v>70566.398400000005</v>
      </c>
      <c r="J5">
        <v>42.151400000000002</v>
      </c>
    </row>
    <row r="6" spans="1:10">
      <c r="A6" t="s">
        <v>25</v>
      </c>
      <c r="D6">
        <v>12750.314</v>
      </c>
      <c r="F6">
        <v>253296.60939999999</v>
      </c>
      <c r="G6">
        <v>205932.14060000001</v>
      </c>
      <c r="H6">
        <v>133801.0961</v>
      </c>
      <c r="I6" s="168">
        <v>72131.046900000001</v>
      </c>
      <c r="J6">
        <v>35.026600000000002</v>
      </c>
    </row>
    <row r="7" spans="1:10">
      <c r="A7" t="s">
        <v>215</v>
      </c>
      <c r="D7">
        <v>29770.9</v>
      </c>
      <c r="F7">
        <v>972696.3125</v>
      </c>
      <c r="G7">
        <v>790809.8125</v>
      </c>
      <c r="H7">
        <v>506296.1973</v>
      </c>
      <c r="I7" s="168">
        <v>284513.59379999997</v>
      </c>
      <c r="J7">
        <v>35.977499999999999</v>
      </c>
    </row>
    <row r="8" spans="1:10">
      <c r="I8" s="168"/>
    </row>
    <row r="14" spans="1:10" ht="14.4">
      <c r="A14" s="553" t="s">
        <v>272</v>
      </c>
      <c r="H14" s="432"/>
    </row>
    <row r="15" spans="1:10" ht="14.4">
      <c r="A15" s="553" t="s">
        <v>275</v>
      </c>
      <c r="B15" s="294"/>
      <c r="C15">
        <v>179.67</v>
      </c>
      <c r="D15" t="s">
        <v>120</v>
      </c>
    </row>
    <row r="16" spans="1:10">
      <c r="A16" s="468"/>
      <c r="B16" s="468"/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46" zoomScale="85" zoomScaleNormal="85" workbookViewId="0">
      <selection activeCell="E79" sqref="E79"/>
    </sheetView>
  </sheetViews>
  <sheetFormatPr defaultColWidth="9.109375" defaultRowHeight="13.2"/>
  <cols>
    <col min="1" max="1" width="45" style="16" customWidth="1"/>
    <col min="2" max="4" width="11.88671875" style="12" customWidth="1"/>
    <col min="5" max="5" width="11.44140625" style="142" customWidth="1"/>
    <col min="6" max="8" width="12.109375" style="12" customWidth="1"/>
    <col min="9" max="9" width="11.44140625" style="142" customWidth="1"/>
    <col min="10" max="12" width="12.88671875" style="12" customWidth="1"/>
    <col min="13" max="13" width="11.44140625" style="142" customWidth="1"/>
    <col min="14" max="16" width="12" style="12" customWidth="1"/>
    <col min="17" max="18" width="11.44140625" style="142" customWidth="1"/>
    <col min="19" max="16384" width="9.109375" style="13"/>
  </cols>
  <sheetData>
    <row r="1" spans="1:19" s="20" customFormat="1" ht="15" customHeight="1">
      <c r="A1" s="31" t="s">
        <v>174</v>
      </c>
      <c r="B1" s="773" t="s">
        <v>177</v>
      </c>
      <c r="C1" s="758"/>
      <c r="D1" s="758"/>
      <c r="E1" s="758"/>
      <c r="F1" s="773" t="s">
        <v>178</v>
      </c>
      <c r="G1" s="758"/>
      <c r="H1" s="758"/>
      <c r="I1" s="758"/>
      <c r="J1" s="773" t="s">
        <v>185</v>
      </c>
      <c r="K1" s="758"/>
      <c r="L1" s="758"/>
      <c r="M1" s="758"/>
      <c r="N1" s="773" t="s">
        <v>176</v>
      </c>
      <c r="O1" s="758"/>
      <c r="P1" s="758"/>
      <c r="Q1" s="758"/>
      <c r="R1" s="177"/>
    </row>
    <row r="2" spans="1:19" s="20" customFormat="1" ht="15" customHeight="1">
      <c r="A2" s="5" t="s">
        <v>0</v>
      </c>
      <c r="B2" s="50" t="s">
        <v>10</v>
      </c>
      <c r="C2" s="50" t="s">
        <v>11</v>
      </c>
      <c r="D2" s="50" t="s">
        <v>12</v>
      </c>
      <c r="E2" s="188" t="s">
        <v>128</v>
      </c>
      <c r="F2" s="50" t="s">
        <v>7</v>
      </c>
      <c r="G2" s="50" t="s">
        <v>8</v>
      </c>
      <c r="H2" s="50" t="s">
        <v>9</v>
      </c>
      <c r="I2" s="188" t="s">
        <v>127</v>
      </c>
      <c r="J2" s="50" t="s">
        <v>4</v>
      </c>
      <c r="K2" s="50" t="s">
        <v>5</v>
      </c>
      <c r="L2" s="50" t="s">
        <v>6</v>
      </c>
      <c r="M2" s="188" t="s">
        <v>126</v>
      </c>
      <c r="N2" s="50" t="s">
        <v>1</v>
      </c>
      <c r="O2" s="50" t="s">
        <v>2</v>
      </c>
      <c r="P2" s="50" t="s">
        <v>3</v>
      </c>
      <c r="Q2" s="188" t="s">
        <v>115</v>
      </c>
      <c r="R2" s="107" t="s">
        <v>129</v>
      </c>
    </row>
    <row r="3" spans="1:19" s="20" customFormat="1" ht="1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9" s="20" customFormat="1" ht="15" customHeight="1">
      <c r="A4" s="6" t="s">
        <v>36</v>
      </c>
      <c r="B4" s="92">
        <f>'Target 2021'!L5</f>
        <v>0</v>
      </c>
      <c r="C4" s="92">
        <f>'Target 2021'!M5</f>
        <v>0</v>
      </c>
      <c r="D4" s="92">
        <f>'Target 2021'!N5</f>
        <v>0</v>
      </c>
      <c r="E4" s="190">
        <f>SUM(B4:D4)</f>
        <v>0</v>
      </c>
      <c r="F4" s="92">
        <f>'Target 2021'!I5</f>
        <v>0</v>
      </c>
      <c r="G4" s="92">
        <f>'Target 2021'!J5</f>
        <v>0</v>
      </c>
      <c r="H4" s="92">
        <f>'Target 2021'!K5</f>
        <v>0</v>
      </c>
      <c r="I4" s="190">
        <f>SUM(F4:H4)</f>
        <v>0</v>
      </c>
      <c r="J4" s="92">
        <f>'Target 2021'!F5</f>
        <v>0</v>
      </c>
      <c r="K4" s="92">
        <f>'Target 2021'!G5</f>
        <v>0</v>
      </c>
      <c r="L4" s="92">
        <f>'Target 2021'!H5</f>
        <v>0</v>
      </c>
      <c r="M4" s="190">
        <f>SUM(J4:L4)</f>
        <v>0</v>
      </c>
      <c r="N4" s="92">
        <f>'Target 2021'!C5</f>
        <v>0</v>
      </c>
      <c r="O4" s="92">
        <f>'Target 2021'!D5</f>
        <v>0</v>
      </c>
      <c r="P4" s="92">
        <f>'Target 2021'!E5</f>
        <v>0</v>
      </c>
      <c r="Q4" s="190">
        <f>SUM(N4:P4)</f>
        <v>0</v>
      </c>
      <c r="R4" s="109">
        <f>Q4+M4+I4+E4</f>
        <v>0</v>
      </c>
    </row>
    <row r="5" spans="1:19" s="20" customFormat="1" ht="15" customHeight="1">
      <c r="A5" s="7" t="s">
        <v>35</v>
      </c>
      <c r="B5" s="88">
        <f>B4</f>
        <v>0</v>
      </c>
      <c r="C5" s="88">
        <f>C4+B5</f>
        <v>0</v>
      </c>
      <c r="D5" s="88">
        <f>D4+C5</f>
        <v>0</v>
      </c>
      <c r="E5" s="191"/>
      <c r="F5" s="88">
        <f>F4</f>
        <v>0</v>
      </c>
      <c r="G5" s="88">
        <f>G4+F5</f>
        <v>0</v>
      </c>
      <c r="H5" s="88">
        <f>H4+G5</f>
        <v>0</v>
      </c>
      <c r="I5" s="191"/>
      <c r="J5" s="88">
        <f>J4</f>
        <v>0</v>
      </c>
      <c r="K5" s="88">
        <f>K4+J5</f>
        <v>0</v>
      </c>
      <c r="L5" s="88">
        <f>L4+K5</f>
        <v>0</v>
      </c>
      <c r="M5" s="191"/>
      <c r="N5" s="88">
        <f>N4</f>
        <v>0</v>
      </c>
      <c r="O5" s="88">
        <f>O4+N5</f>
        <v>0</v>
      </c>
      <c r="P5" s="88">
        <f>P4+O5</f>
        <v>0</v>
      </c>
      <c r="Q5" s="191"/>
      <c r="R5" s="434" t="e">
        <f>R6/R4</f>
        <v>#DIV/0!</v>
      </c>
    </row>
    <row r="6" spans="1:19" s="20" customFormat="1" ht="15" customHeight="1">
      <c r="A6" s="30" t="s">
        <v>37</v>
      </c>
      <c r="B6" s="28">
        <f>SUMIF(X!A:A,$A$1,X!I:I)</f>
        <v>0</v>
      </c>
      <c r="C6" s="28">
        <f>SUMIF(XI!A:A,$A$1,XI!I:I)</f>
        <v>0</v>
      </c>
      <c r="D6" s="28">
        <f>SUMIF(XII!A:A,$A$1,XII!I:I)</f>
        <v>0</v>
      </c>
      <c r="E6" s="190">
        <f>SUM(B6:D6)</f>
        <v>0</v>
      </c>
      <c r="F6" s="28">
        <f>SUMIF(VII!A:A,$A$1,VII!I:I)</f>
        <v>0</v>
      </c>
      <c r="G6" s="28">
        <f>SUMIF(VIII!A:A,$A$1,VIII!I:I)</f>
        <v>0</v>
      </c>
      <c r="H6" s="28">
        <f>SUMIF(IX!A:A,$A$1,IX!I:I)</f>
        <v>0</v>
      </c>
      <c r="I6" s="190">
        <f>SUM(F6:H6)</f>
        <v>0</v>
      </c>
      <c r="J6" s="28">
        <f>SUMIF(IV!A:A,$A$1,IV!I:I)</f>
        <v>0</v>
      </c>
      <c r="K6" s="28">
        <f>SUMIF(V!A:A,$A$1,V!I:I)</f>
        <v>0</v>
      </c>
      <c r="L6" s="28">
        <f>SUMIF(VI!A:A,$A$1,VI!I:I)</f>
        <v>0</v>
      </c>
      <c r="M6" s="190">
        <f>SUM(J6:L6)</f>
        <v>0</v>
      </c>
      <c r="N6" s="86">
        <f>SUMIF(I!A:A,$A$1,I!I:I)</f>
        <v>0</v>
      </c>
      <c r="O6" s="28">
        <f>SUMIF(II!A:A,$A$1,II!I:I)</f>
        <v>0</v>
      </c>
      <c r="P6" s="28">
        <f>SUMIF(III!A:A,$A$1,III!I:I)</f>
        <v>0</v>
      </c>
      <c r="Q6" s="190">
        <f>SUM(N6:P6)</f>
        <v>0</v>
      </c>
      <c r="R6" s="109">
        <f>Q6+M6+I6+E6</f>
        <v>0</v>
      </c>
    </row>
    <row r="7" spans="1:19" s="20" customFormat="1" ht="15" customHeight="1">
      <c r="A7" s="7" t="s">
        <v>38</v>
      </c>
      <c r="B7" s="88">
        <f>B6</f>
        <v>0</v>
      </c>
      <c r="C7" s="88">
        <f>C6+B7</f>
        <v>0</v>
      </c>
      <c r="D7" s="88">
        <f>D6+C7</f>
        <v>0</v>
      </c>
      <c r="E7" s="191"/>
      <c r="F7" s="88">
        <f>F6</f>
        <v>0</v>
      </c>
      <c r="G7" s="88">
        <f>G6+F7</f>
        <v>0</v>
      </c>
      <c r="H7" s="88">
        <f>H6+G7</f>
        <v>0</v>
      </c>
      <c r="I7" s="191"/>
      <c r="J7" s="88">
        <f>J6</f>
        <v>0</v>
      </c>
      <c r="K7" s="88">
        <f>K6+J7</f>
        <v>0</v>
      </c>
      <c r="L7" s="88">
        <f>L6+K7</f>
        <v>0</v>
      </c>
      <c r="M7" s="191"/>
      <c r="N7" s="88">
        <f>N6</f>
        <v>0</v>
      </c>
      <c r="O7" s="88">
        <f>O6+N7</f>
        <v>0</v>
      </c>
      <c r="P7" s="88">
        <f>P6+O7</f>
        <v>0</v>
      </c>
      <c r="Q7" s="191"/>
      <c r="R7" s="111"/>
    </row>
    <row r="8" spans="1:19" s="20" customFormat="1" ht="15" customHeight="1">
      <c r="A8" s="25" t="s">
        <v>39</v>
      </c>
      <c r="B8" s="93" t="e">
        <f t="shared" ref="B8:D9" si="0">B6/B4</f>
        <v>#DIV/0!</v>
      </c>
      <c r="C8" s="93" t="e">
        <f t="shared" si="0"/>
        <v>#DIV/0!</v>
      </c>
      <c r="D8" s="93" t="e">
        <f t="shared" si="0"/>
        <v>#DIV/0!</v>
      </c>
      <c r="E8" s="192"/>
      <c r="F8" s="93" t="e">
        <f t="shared" ref="F8:H9" si="1">F6/F4</f>
        <v>#DIV/0!</v>
      </c>
      <c r="G8" s="93" t="e">
        <f t="shared" si="1"/>
        <v>#DIV/0!</v>
      </c>
      <c r="H8" s="93" t="e">
        <f t="shared" si="1"/>
        <v>#DIV/0!</v>
      </c>
      <c r="I8" s="192"/>
      <c r="J8" s="93" t="e">
        <f>J6/J4</f>
        <v>#DIV/0!</v>
      </c>
      <c r="K8" s="93" t="e">
        <f t="shared" ref="J8:L9" si="2">K6/K4</f>
        <v>#DIV/0!</v>
      </c>
      <c r="L8" s="93" t="e">
        <f t="shared" si="2"/>
        <v>#DIV/0!</v>
      </c>
      <c r="M8" s="192"/>
      <c r="N8" s="93" t="e">
        <f t="shared" ref="N8:P9" si="3">N6/N4</f>
        <v>#DIV/0!</v>
      </c>
      <c r="O8" s="93" t="e">
        <f t="shared" si="3"/>
        <v>#DIV/0!</v>
      </c>
      <c r="P8" s="93" t="e">
        <f t="shared" si="3"/>
        <v>#DIV/0!</v>
      </c>
      <c r="Q8" s="192"/>
      <c r="R8" s="115"/>
    </row>
    <row r="9" spans="1:19" s="21" customFormat="1" ht="15" customHeight="1">
      <c r="A9" s="25" t="s">
        <v>40</v>
      </c>
      <c r="B9" s="93" t="e">
        <f t="shared" si="0"/>
        <v>#DIV/0!</v>
      </c>
      <c r="C9" s="93" t="e">
        <f t="shared" si="0"/>
        <v>#DIV/0!</v>
      </c>
      <c r="D9" s="93" t="e">
        <f t="shared" si="0"/>
        <v>#DIV/0!</v>
      </c>
      <c r="E9" s="192"/>
      <c r="F9" s="93" t="e">
        <f>F7/F5</f>
        <v>#DIV/0!</v>
      </c>
      <c r="G9" s="93" t="e">
        <f t="shared" si="1"/>
        <v>#DIV/0!</v>
      </c>
      <c r="H9" s="93" t="e">
        <f t="shared" si="1"/>
        <v>#DIV/0!</v>
      </c>
      <c r="I9" s="192"/>
      <c r="J9" s="93" t="e">
        <f t="shared" si="2"/>
        <v>#DIV/0!</v>
      </c>
      <c r="K9" s="93" t="e">
        <f>K7/K5</f>
        <v>#DIV/0!</v>
      </c>
      <c r="L9" s="93" t="e">
        <f t="shared" si="2"/>
        <v>#DIV/0!</v>
      </c>
      <c r="M9" s="192"/>
      <c r="N9" s="93" t="e">
        <f t="shared" si="3"/>
        <v>#DIV/0!</v>
      </c>
      <c r="O9" s="93" t="e">
        <f>O7/O5</f>
        <v>#DIV/0!</v>
      </c>
      <c r="P9" s="93" t="e">
        <f t="shared" si="3"/>
        <v>#DIV/0!</v>
      </c>
      <c r="Q9" s="192"/>
      <c r="R9" s="116"/>
    </row>
    <row r="10" spans="1:19" s="43" customFormat="1" ht="15" customHeight="1">
      <c r="A10" s="7" t="s">
        <v>48</v>
      </c>
      <c r="B10" s="94">
        <f>B7-B5</f>
        <v>0</v>
      </c>
      <c r="C10" s="94">
        <f>C7-C5</f>
        <v>0</v>
      </c>
      <c r="D10" s="94">
        <f>D7-D5</f>
        <v>0</v>
      </c>
      <c r="E10" s="191"/>
      <c r="F10" s="94">
        <f>F7-F5</f>
        <v>0</v>
      </c>
      <c r="G10" s="94">
        <f>G7-G5</f>
        <v>0</v>
      </c>
      <c r="H10" s="94">
        <f>H7-H5</f>
        <v>0</v>
      </c>
      <c r="I10" s="191"/>
      <c r="J10" s="94">
        <f>J7-J5</f>
        <v>0</v>
      </c>
      <c r="K10" s="94">
        <f>K7-K5</f>
        <v>0</v>
      </c>
      <c r="L10" s="94">
        <f>L7-L5</f>
        <v>0</v>
      </c>
      <c r="M10" s="191"/>
      <c r="N10" s="94">
        <f>N7-N5</f>
        <v>0</v>
      </c>
      <c r="O10" s="94">
        <f>O7-O5</f>
        <v>0</v>
      </c>
      <c r="P10" s="94">
        <f>P7-P5</f>
        <v>0</v>
      </c>
      <c r="Q10" s="191"/>
      <c r="R10" s="111"/>
    </row>
    <row r="11" spans="1:19" s="20" customFormat="1" ht="15" customHeight="1">
      <c r="A11" s="6" t="s">
        <v>41</v>
      </c>
      <c r="B11" s="92">
        <f>'Target 2021'!L15</f>
        <v>0</v>
      </c>
      <c r="C11" s="92">
        <f>'Target 2021'!M15</f>
        <v>0</v>
      </c>
      <c r="D11" s="92">
        <f>'Target 2021'!N15</f>
        <v>0</v>
      </c>
      <c r="E11" s="190">
        <f>SUM(B11:D11)</f>
        <v>0</v>
      </c>
      <c r="F11" s="92">
        <f>'Target 2021'!I15</f>
        <v>0</v>
      </c>
      <c r="G11" s="92">
        <f>'Target 2021'!J15</f>
        <v>0</v>
      </c>
      <c r="H11" s="92">
        <f>'Target 2021'!K15</f>
        <v>0</v>
      </c>
      <c r="I11" s="190">
        <f>SUM(F11:H11)</f>
        <v>0</v>
      </c>
      <c r="J11" s="92">
        <f>'Target 2021'!F15</f>
        <v>0</v>
      </c>
      <c r="K11" s="92">
        <f>'Target 2021'!G15</f>
        <v>0</v>
      </c>
      <c r="L11" s="92">
        <f>'Target 2021'!H15</f>
        <v>0</v>
      </c>
      <c r="M11" s="190">
        <f>SUM(J11:L11)</f>
        <v>0</v>
      </c>
      <c r="N11" s="92">
        <f>'Target 2021'!C15</f>
        <v>0</v>
      </c>
      <c r="O11" s="92">
        <f>'Target 2021'!D15</f>
        <v>0</v>
      </c>
      <c r="P11" s="92">
        <f>'Target 2021'!E15</f>
        <v>0</v>
      </c>
      <c r="Q11" s="190">
        <f>SUM(N11:P11)</f>
        <v>0</v>
      </c>
      <c r="R11" s="109">
        <f>Q11+M11+I11+E11</f>
        <v>0</v>
      </c>
      <c r="S11" s="12"/>
    </row>
    <row r="12" spans="1:19" s="20" customFormat="1" ht="15" customHeight="1">
      <c r="A12" s="7" t="s">
        <v>42</v>
      </c>
      <c r="B12" s="88">
        <f>B11</f>
        <v>0</v>
      </c>
      <c r="C12" s="88">
        <f>C11+B12</f>
        <v>0</v>
      </c>
      <c r="D12" s="88">
        <f>D11+C12</f>
        <v>0</v>
      </c>
      <c r="E12" s="191"/>
      <c r="F12" s="88">
        <f>F11</f>
        <v>0</v>
      </c>
      <c r="G12" s="88">
        <f>G11+F12</f>
        <v>0</v>
      </c>
      <c r="H12" s="88">
        <f>H11+G12</f>
        <v>0</v>
      </c>
      <c r="I12" s="191"/>
      <c r="J12" s="88">
        <f>J11</f>
        <v>0</v>
      </c>
      <c r="K12" s="88">
        <f>K11+J12</f>
        <v>0</v>
      </c>
      <c r="L12" s="88">
        <f>L11+K12</f>
        <v>0</v>
      </c>
      <c r="M12" s="191"/>
      <c r="N12" s="88">
        <f>N11</f>
        <v>0</v>
      </c>
      <c r="O12" s="88">
        <f>O11+N12</f>
        <v>0</v>
      </c>
      <c r="P12" s="88">
        <f>P11+O12</f>
        <v>0</v>
      </c>
      <c r="Q12" s="191"/>
      <c r="R12" s="434" t="e">
        <f>R13/R11</f>
        <v>#DIV/0!</v>
      </c>
    </row>
    <row r="13" spans="1:19" s="20" customFormat="1" ht="15" customHeight="1">
      <c r="A13" s="30" t="s">
        <v>43</v>
      </c>
      <c r="B13" s="28">
        <f>SUMIF(X!A:A,$A$1,X!G:G)</f>
        <v>0</v>
      </c>
      <c r="C13" s="28">
        <f>SUMIF(XI!A:A,$A$1,XI!G:G)</f>
        <v>0</v>
      </c>
      <c r="D13" s="28">
        <f>SUMIF(XII!A:A,$A$1,XII!G:G)</f>
        <v>0</v>
      </c>
      <c r="E13" s="190">
        <f>SUM(B13:D13)</f>
        <v>0</v>
      </c>
      <c r="F13" s="28">
        <f>SUMIF(VII!A:A,$A$1,VII!G:G)</f>
        <v>0</v>
      </c>
      <c r="G13" s="28">
        <f>SUMIF(VIII!A:A,$A$1,VIII!G:G)</f>
        <v>0</v>
      </c>
      <c r="H13" s="28">
        <f>SUMIF(IX!A:A,$A$1,IX!G:G)</f>
        <v>0</v>
      </c>
      <c r="I13" s="190">
        <f>SUM(F13:H13)</f>
        <v>0</v>
      </c>
      <c r="J13" s="28">
        <f>SUMIF(IV!A:A,$A$1,IV!G:G)</f>
        <v>0</v>
      </c>
      <c r="K13" s="28">
        <f>SUMIF(V!A:A,$A$1,V!G:G)</f>
        <v>0</v>
      </c>
      <c r="L13" s="28">
        <f>SUMIF(VI!A:A,$A$1,VI!G:G)</f>
        <v>0</v>
      </c>
      <c r="M13" s="190">
        <f>SUM(J13:L13)</f>
        <v>0</v>
      </c>
      <c r="N13" s="86">
        <f>SUMIF(I!A:A,$A$1,I!G:G)</f>
        <v>0</v>
      </c>
      <c r="O13" s="28">
        <f>SUMIF(II!A:A,$A$1,II!G:G)</f>
        <v>0</v>
      </c>
      <c r="P13" s="28">
        <f>SUMIF(III!A:A,$A$1,III!G:G)</f>
        <v>0</v>
      </c>
      <c r="Q13" s="190">
        <f>SUM(N13:P13)</f>
        <v>0</v>
      </c>
      <c r="R13" s="109">
        <f>Q13+M13+I13+E13</f>
        <v>0</v>
      </c>
    </row>
    <row r="14" spans="1:19" customFormat="1">
      <c r="A14" s="7" t="s">
        <v>44</v>
      </c>
      <c r="B14" s="88">
        <f>B13</f>
        <v>0</v>
      </c>
      <c r="C14" s="88">
        <f>C13+B14</f>
        <v>0</v>
      </c>
      <c r="D14" s="88">
        <f>D13+C14</f>
        <v>0</v>
      </c>
      <c r="E14" s="191"/>
      <c r="F14" s="88">
        <f>F13</f>
        <v>0</v>
      </c>
      <c r="G14" s="88">
        <f>G13+F14</f>
        <v>0</v>
      </c>
      <c r="H14" s="88">
        <f>H13+G14</f>
        <v>0</v>
      </c>
      <c r="I14" s="191"/>
      <c r="J14" s="88">
        <f>J13</f>
        <v>0</v>
      </c>
      <c r="K14" s="88">
        <f>K13+J14</f>
        <v>0</v>
      </c>
      <c r="L14" s="88">
        <f>L13+K14</f>
        <v>0</v>
      </c>
      <c r="M14" s="191"/>
      <c r="N14" s="88">
        <f>N13</f>
        <v>0</v>
      </c>
      <c r="O14" s="88">
        <f>O13+N14</f>
        <v>0</v>
      </c>
      <c r="P14" s="88">
        <f>P13+O14</f>
        <v>0</v>
      </c>
      <c r="Q14" s="191"/>
      <c r="R14" s="111"/>
    </row>
    <row r="15" spans="1:19" s="20" customFormat="1" ht="15" customHeight="1">
      <c r="A15" s="25" t="s">
        <v>45</v>
      </c>
      <c r="B15" s="26" t="e">
        <f t="shared" ref="B15:D16" si="4">B13/B11</f>
        <v>#DIV/0!</v>
      </c>
      <c r="C15" s="26" t="e">
        <f t="shared" si="4"/>
        <v>#DIV/0!</v>
      </c>
      <c r="D15" s="26" t="e">
        <f t="shared" si="4"/>
        <v>#DIV/0!</v>
      </c>
      <c r="E15" s="192"/>
      <c r="F15" s="26" t="e">
        <f t="shared" ref="F15:H16" si="5">F13/F11</f>
        <v>#DIV/0!</v>
      </c>
      <c r="G15" s="26" t="e">
        <f t="shared" si="5"/>
        <v>#DIV/0!</v>
      </c>
      <c r="H15" s="26" t="e">
        <f t="shared" si="5"/>
        <v>#DIV/0!</v>
      </c>
      <c r="I15" s="192"/>
      <c r="J15" s="26" t="e">
        <f t="shared" ref="J15:L16" si="6">J13/J11</f>
        <v>#DIV/0!</v>
      </c>
      <c r="K15" s="26" t="e">
        <f t="shared" si="6"/>
        <v>#DIV/0!</v>
      </c>
      <c r="L15" s="26" t="e">
        <f t="shared" si="6"/>
        <v>#DIV/0!</v>
      </c>
      <c r="M15" s="192"/>
      <c r="N15" s="26" t="e">
        <f t="shared" ref="N15:P16" si="7">N13/N11</f>
        <v>#DIV/0!</v>
      </c>
      <c r="O15" s="26" t="e">
        <f t="shared" si="7"/>
        <v>#DIV/0!</v>
      </c>
      <c r="P15" s="26" t="e">
        <f t="shared" si="7"/>
        <v>#DIV/0!</v>
      </c>
      <c r="Q15" s="192"/>
      <c r="R15" s="115"/>
    </row>
    <row r="16" spans="1:19" s="20" customFormat="1" ht="15" customHeight="1">
      <c r="A16" s="25" t="s">
        <v>46</v>
      </c>
      <c r="B16" s="26" t="e">
        <f t="shared" si="4"/>
        <v>#DIV/0!</v>
      </c>
      <c r="C16" s="26" t="e">
        <f t="shared" si="4"/>
        <v>#DIV/0!</v>
      </c>
      <c r="D16" s="26" t="e">
        <f t="shared" si="4"/>
        <v>#DIV/0!</v>
      </c>
      <c r="E16" s="192"/>
      <c r="F16" s="26" t="e">
        <f t="shared" si="5"/>
        <v>#DIV/0!</v>
      </c>
      <c r="G16" s="26" t="e">
        <f t="shared" si="5"/>
        <v>#DIV/0!</v>
      </c>
      <c r="H16" s="26" t="e">
        <f t="shared" si="5"/>
        <v>#DIV/0!</v>
      </c>
      <c r="I16" s="192"/>
      <c r="J16" s="26" t="e">
        <f t="shared" si="6"/>
        <v>#DIV/0!</v>
      </c>
      <c r="K16" s="26" t="e">
        <f>K14/K12</f>
        <v>#DIV/0!</v>
      </c>
      <c r="L16" s="26" t="e">
        <f t="shared" si="6"/>
        <v>#DIV/0!</v>
      </c>
      <c r="M16" s="192"/>
      <c r="N16" s="26" t="e">
        <f t="shared" si="7"/>
        <v>#DIV/0!</v>
      </c>
      <c r="O16" s="26" t="e">
        <f t="shared" si="7"/>
        <v>#DIV/0!</v>
      </c>
      <c r="P16" s="26" t="e">
        <f t="shared" si="7"/>
        <v>#DIV/0!</v>
      </c>
      <c r="Q16" s="192"/>
      <c r="R16" s="116"/>
    </row>
    <row r="17" spans="1:19" s="20" customFormat="1" ht="11.25" customHeight="1">
      <c r="A17" s="7" t="s">
        <v>47</v>
      </c>
      <c r="B17" s="24">
        <f>B14-B12</f>
        <v>0</v>
      </c>
      <c r="C17" s="24">
        <f>C14-C12</f>
        <v>0</v>
      </c>
      <c r="D17" s="24">
        <f>D14-D12</f>
        <v>0</v>
      </c>
      <c r="E17" s="191"/>
      <c r="F17" s="24">
        <f>F14-F12</f>
        <v>0</v>
      </c>
      <c r="G17" s="24">
        <f>G14-G12</f>
        <v>0</v>
      </c>
      <c r="H17" s="24">
        <f>H14-H12</f>
        <v>0</v>
      </c>
      <c r="I17" s="191"/>
      <c r="J17" s="24">
        <f>J14-J12</f>
        <v>0</v>
      </c>
      <c r="K17" s="24">
        <f>K14-K12</f>
        <v>0</v>
      </c>
      <c r="L17" s="24">
        <f>L14-L12</f>
        <v>0</v>
      </c>
      <c r="M17" s="191"/>
      <c r="N17" s="24">
        <f>N14-N12</f>
        <v>0</v>
      </c>
      <c r="O17" s="24">
        <f>O14-O12</f>
        <v>0</v>
      </c>
      <c r="P17" s="24">
        <f>P14-P12</f>
        <v>0</v>
      </c>
      <c r="Q17" s="191"/>
      <c r="R17" s="117"/>
    </row>
    <row r="18" spans="1:19" s="20" customFormat="1" ht="15" hidden="1" customHeight="1">
      <c r="A18" s="10" t="s">
        <v>32</v>
      </c>
      <c r="B18" s="11" t="e">
        <f t="shared" ref="B18:D19" si="8">B6/B13</f>
        <v>#DIV/0!</v>
      </c>
      <c r="C18" s="11" t="e">
        <f t="shared" si="8"/>
        <v>#DIV/0!</v>
      </c>
      <c r="D18" s="11" t="e">
        <f t="shared" si="8"/>
        <v>#DIV/0!</v>
      </c>
      <c r="E18" s="193"/>
      <c r="F18" s="11" t="e">
        <f t="shared" ref="F18:H19" si="9">F6/F13</f>
        <v>#DIV/0!</v>
      </c>
      <c r="G18" s="11" t="e">
        <f t="shared" si="9"/>
        <v>#DIV/0!</v>
      </c>
      <c r="H18" s="11" t="e">
        <f t="shared" si="9"/>
        <v>#DIV/0!</v>
      </c>
      <c r="I18" s="193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193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193"/>
      <c r="R18" s="119"/>
    </row>
    <row r="19" spans="1:19" s="20" customFormat="1" ht="15" customHeight="1">
      <c r="A19" s="10" t="s">
        <v>33</v>
      </c>
      <c r="B19" s="11" t="e">
        <f t="shared" si="8"/>
        <v>#DIV/0!</v>
      </c>
      <c r="C19" s="11" t="e">
        <f t="shared" si="8"/>
        <v>#DIV/0!</v>
      </c>
      <c r="D19" s="11" t="e">
        <f t="shared" si="8"/>
        <v>#DIV/0!</v>
      </c>
      <c r="E19" s="193"/>
      <c r="F19" s="11" t="e">
        <f t="shared" si="9"/>
        <v>#DIV/0!</v>
      </c>
      <c r="G19" s="11" t="e">
        <f>G7/G14</f>
        <v>#DIV/0!</v>
      </c>
      <c r="H19" s="11" t="e">
        <f t="shared" si="9"/>
        <v>#DIV/0!</v>
      </c>
      <c r="I19" s="193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193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193"/>
      <c r="R19" s="119"/>
    </row>
    <row r="20" spans="1:19" s="67" customFormat="1" ht="15" customHeight="1">
      <c r="B20" s="97"/>
      <c r="C20" s="97"/>
      <c r="D20" s="97"/>
      <c r="E20" s="194"/>
      <c r="F20" s="97"/>
      <c r="G20" s="97"/>
      <c r="H20" s="97"/>
      <c r="I20" s="194"/>
      <c r="J20" s="97"/>
      <c r="K20" s="97"/>
      <c r="L20" s="97"/>
      <c r="M20" s="194"/>
      <c r="O20" s="97"/>
      <c r="P20" s="97"/>
      <c r="Q20" s="194"/>
      <c r="R20" s="120"/>
      <c r="S20" s="66"/>
    </row>
    <row r="21" spans="1:19" s="20" customFormat="1" ht="15" customHeight="1">
      <c r="A21" s="52"/>
      <c r="B21" s="179"/>
      <c r="C21" s="179"/>
      <c r="D21" s="179"/>
      <c r="E21" s="195"/>
      <c r="F21" s="179"/>
      <c r="G21" s="179"/>
      <c r="H21" s="179"/>
      <c r="I21" s="195"/>
      <c r="J21" s="179"/>
      <c r="K21" s="179"/>
      <c r="L21" s="96"/>
      <c r="M21" s="195"/>
      <c r="N21" s="178" t="s">
        <v>26</v>
      </c>
      <c r="O21" s="179"/>
      <c r="P21" s="179"/>
      <c r="Q21" s="179"/>
      <c r="R21" s="124"/>
    </row>
    <row r="22" spans="1:19" s="20" customFormat="1" ht="15" customHeight="1">
      <c r="A22" s="69" t="s">
        <v>76</v>
      </c>
      <c r="B22" s="73">
        <v>3450</v>
      </c>
      <c r="C22" s="73">
        <v>3450</v>
      </c>
      <c r="D22" s="73">
        <v>3450</v>
      </c>
      <c r="E22" s="196"/>
      <c r="F22" s="73">
        <v>3450</v>
      </c>
      <c r="G22" s="73">
        <v>3450</v>
      </c>
      <c r="H22" s="73">
        <v>3450</v>
      </c>
      <c r="I22" s="196"/>
      <c r="J22" s="73">
        <v>3450</v>
      </c>
      <c r="K22" s="73">
        <v>3450</v>
      </c>
      <c r="L22" s="73">
        <v>3450</v>
      </c>
      <c r="M22" s="196"/>
      <c r="N22" s="73">
        <v>3450</v>
      </c>
      <c r="O22" s="73">
        <v>3450</v>
      </c>
      <c r="P22" s="73">
        <v>3450</v>
      </c>
      <c r="Q22" s="196"/>
      <c r="R22" s="124"/>
    </row>
    <row r="23" spans="1:19" s="20" customFormat="1" ht="15" customHeight="1">
      <c r="A23" s="19" t="s">
        <v>50</v>
      </c>
      <c r="B23" s="74">
        <f>B5</f>
        <v>0</v>
      </c>
      <c r="C23" s="74">
        <f>C5</f>
        <v>0</v>
      </c>
      <c r="D23" s="74">
        <f>D5</f>
        <v>0</v>
      </c>
      <c r="E23" s="197"/>
      <c r="F23" s="74">
        <f>F5</f>
        <v>0</v>
      </c>
      <c r="G23" s="74">
        <f>G5</f>
        <v>0</v>
      </c>
      <c r="H23" s="74">
        <f>H5</f>
        <v>0</v>
      </c>
      <c r="I23" s="197"/>
      <c r="J23" s="74">
        <f>J5</f>
        <v>0</v>
      </c>
      <c r="K23" s="74">
        <f>K5</f>
        <v>0</v>
      </c>
      <c r="L23" s="74">
        <f>L5</f>
        <v>0</v>
      </c>
      <c r="M23" s="197"/>
      <c r="N23" s="74">
        <f>N5</f>
        <v>0</v>
      </c>
      <c r="O23" s="74">
        <f>O5</f>
        <v>0</v>
      </c>
      <c r="P23" s="74">
        <f>P5</f>
        <v>0</v>
      </c>
      <c r="Q23" s="197"/>
      <c r="R23" s="126"/>
    </row>
    <row r="24" spans="1:19" s="20" customFormat="1" ht="15" customHeight="1">
      <c r="A24" s="39" t="s">
        <v>51</v>
      </c>
      <c r="B24" s="77">
        <f>B7</f>
        <v>0</v>
      </c>
      <c r="C24" s="77">
        <f>C7</f>
        <v>0</v>
      </c>
      <c r="D24" s="77">
        <f>D7</f>
        <v>0</v>
      </c>
      <c r="E24" s="198"/>
      <c r="F24" s="77">
        <f>F7</f>
        <v>0</v>
      </c>
      <c r="G24" s="77">
        <f>G7</f>
        <v>0</v>
      </c>
      <c r="H24" s="77">
        <f>H7</f>
        <v>0</v>
      </c>
      <c r="I24" s="198"/>
      <c r="J24" s="77">
        <f>J7</f>
        <v>0</v>
      </c>
      <c r="K24" s="77">
        <f>K7</f>
        <v>0</v>
      </c>
      <c r="L24" s="77">
        <f>L7</f>
        <v>0</v>
      </c>
      <c r="M24" s="198"/>
      <c r="N24" s="77">
        <f>N7</f>
        <v>0</v>
      </c>
      <c r="O24" s="77">
        <f>O7</f>
        <v>0</v>
      </c>
      <c r="P24" s="77">
        <f>P7</f>
        <v>0</v>
      </c>
      <c r="Q24" s="198"/>
      <c r="R24" s="126"/>
    </row>
    <row r="25" spans="1:19" s="22" customFormat="1" ht="15" customHeight="1">
      <c r="A25" s="39" t="s">
        <v>52</v>
      </c>
      <c r="B25" s="128" t="e">
        <f>B24/B23</f>
        <v>#DIV/0!</v>
      </c>
      <c r="C25" s="128" t="e">
        <f>C24/C23</f>
        <v>#DIV/0!</v>
      </c>
      <c r="D25" s="128" t="e">
        <f>D24/D23</f>
        <v>#DIV/0!</v>
      </c>
      <c r="E25" s="199"/>
      <c r="F25" s="128" t="e">
        <f>F24/F23</f>
        <v>#DIV/0!</v>
      </c>
      <c r="G25" s="128" t="e">
        <f>G24/G23</f>
        <v>#DIV/0!</v>
      </c>
      <c r="H25" s="128" t="e">
        <f>H24/H23</f>
        <v>#DIV/0!</v>
      </c>
      <c r="I25" s="199"/>
      <c r="J25" s="128" t="e">
        <f>J24/J23</f>
        <v>#DIV/0!</v>
      </c>
      <c r="K25" s="128" t="e">
        <f>K24/K23</f>
        <v>#DIV/0!</v>
      </c>
      <c r="L25" s="128" t="e">
        <f>L24/L23</f>
        <v>#DIV/0!</v>
      </c>
      <c r="M25" s="199"/>
      <c r="N25" s="128" t="e">
        <f>N24/N23</f>
        <v>#DIV/0!</v>
      </c>
      <c r="O25" s="128" t="e">
        <f>O24/O23</f>
        <v>#DIV/0!</v>
      </c>
      <c r="P25" s="128" t="e">
        <f>P24/P23</f>
        <v>#DIV/0!</v>
      </c>
      <c r="Q25" s="199"/>
      <c r="R25" s="126"/>
    </row>
    <row r="26" spans="1:19" s="20" customFormat="1" ht="15" customHeight="1">
      <c r="A26" s="38" t="s">
        <v>60</v>
      </c>
      <c r="B26" s="81">
        <f>B22*0.3</f>
        <v>1035</v>
      </c>
      <c r="C26" s="81">
        <f>C22*0.3</f>
        <v>1035</v>
      </c>
      <c r="D26" s="81">
        <f>D22*0.3</f>
        <v>1035</v>
      </c>
      <c r="E26" s="200"/>
      <c r="F26" s="81">
        <f>F22*0.3</f>
        <v>1035</v>
      </c>
      <c r="G26" s="81">
        <f>G22*0.3</f>
        <v>1035</v>
      </c>
      <c r="H26" s="81">
        <f>H22*0.3</f>
        <v>1035</v>
      </c>
      <c r="I26" s="200"/>
      <c r="J26" s="81">
        <f>J22*0.3</f>
        <v>1035</v>
      </c>
      <c r="K26" s="81">
        <f>K22*0.3</f>
        <v>1035</v>
      </c>
      <c r="L26" s="81">
        <f>L22*0.3</f>
        <v>1035</v>
      </c>
      <c r="M26" s="200"/>
      <c r="N26" s="81">
        <f>N22*0.3</f>
        <v>1035</v>
      </c>
      <c r="O26" s="81">
        <f>O22*0.3</f>
        <v>1035</v>
      </c>
      <c r="P26" s="81">
        <f>P22*0.3</f>
        <v>1035</v>
      </c>
      <c r="Q26" s="200"/>
      <c r="R26" s="129"/>
      <c r="S26" s="12"/>
    </row>
    <row r="27" spans="1:19" s="20" customFormat="1" ht="15" customHeight="1">
      <c r="A27" s="39" t="s">
        <v>53</v>
      </c>
      <c r="B27" s="77" t="e">
        <f>IF(B25&lt;80%,0,IF(B25&lt;90%,0.5,IF(B25&lt;95%,0.75,1)))</f>
        <v>#DIV/0!</v>
      </c>
      <c r="C27" s="77" t="e">
        <f>IF(C25&lt;80%,0,IF(C25&lt;90%,0.5,IF(C25&lt;95%,0.75,1)))</f>
        <v>#DIV/0!</v>
      </c>
      <c r="D27" s="77" t="e">
        <f>IF(D25&lt;80%,0,IF(D25&lt;90%,0.5,IF(D25&lt;95%,0.75,1)))</f>
        <v>#DIV/0!</v>
      </c>
      <c r="E27" s="198"/>
      <c r="F27" s="77" t="e">
        <f>IF(F25&lt;80%,0,IF(F25&lt;90%,0.5,IF(F25&lt;95%,0.75,1)))</f>
        <v>#DIV/0!</v>
      </c>
      <c r="G27" s="77" t="e">
        <f>IF(G25&lt;80%,0,IF(G25&lt;90%,0.5,IF(G25&lt;95%,0.75,1)))</f>
        <v>#DIV/0!</v>
      </c>
      <c r="H27" s="77" t="e">
        <f>IF(H25&lt;80%,0,IF(H25&lt;90%,0.5,IF(H25&lt;95%,0.75,1)))</f>
        <v>#DIV/0!</v>
      </c>
      <c r="I27" s="198"/>
      <c r="J27" s="77" t="e">
        <f>IF(J25&lt;80%,0,IF(J25&lt;90%,0.5,IF(J25&lt;95%,0.75,1)))</f>
        <v>#DIV/0!</v>
      </c>
      <c r="K27" s="77" t="e">
        <f>IF(K25&lt;80%,0,IF(K25&lt;90%,0.5,IF(K25&lt;95%,0.75,1)))</f>
        <v>#DIV/0!</v>
      </c>
      <c r="L27" s="77" t="e">
        <f>IF(L25&lt;80%,0,IF(L25&lt;90%,0.5,IF(L25&lt;95%,0.75,1)))</f>
        <v>#DIV/0!</v>
      </c>
      <c r="M27" s="198"/>
      <c r="N27" s="77" t="e">
        <f>IF(N25&lt;80%,0,IF(N25&lt;90%,0.5,IF(N25&lt;95%,0.75,1)))</f>
        <v>#DIV/0!</v>
      </c>
      <c r="O27" s="77" t="e">
        <f>IF(O25&lt;80%,0,IF(O25&lt;90%,0.5,IF(O25&lt;95%,0.75,1)))</f>
        <v>#DIV/0!</v>
      </c>
      <c r="P27" s="77" t="e">
        <f>IF(P25&lt;80%,0,IF(P25&lt;90%,0.5,IF(P25&lt;95%,0.75,1)))</f>
        <v>#DIV/0!</v>
      </c>
      <c r="Q27" s="198"/>
      <c r="R27" s="126"/>
      <c r="S27" s="12"/>
    </row>
    <row r="28" spans="1:19" s="21" customFormat="1" ht="15" customHeight="1">
      <c r="A28" s="55" t="s">
        <v>54</v>
      </c>
      <c r="B28" s="76" t="e">
        <f>B27*B26</f>
        <v>#DIV/0!</v>
      </c>
      <c r="C28" s="76" t="e">
        <f>C27*C26</f>
        <v>#DIV/0!</v>
      </c>
      <c r="D28" s="76" t="e">
        <f>D27*D26</f>
        <v>#DIV/0!</v>
      </c>
      <c r="E28" s="201"/>
      <c r="F28" s="76" t="e">
        <f>F27*F26</f>
        <v>#DIV/0!</v>
      </c>
      <c r="G28" s="76" t="e">
        <f>G27*G26</f>
        <v>#DIV/0!</v>
      </c>
      <c r="H28" s="76" t="e">
        <f>H27*H26</f>
        <v>#DIV/0!</v>
      </c>
      <c r="I28" s="201"/>
      <c r="J28" s="76" t="e">
        <f>J27*J26</f>
        <v>#DIV/0!</v>
      </c>
      <c r="K28" s="76" t="e">
        <f>K27*K26</f>
        <v>#DIV/0!</v>
      </c>
      <c r="L28" s="76" t="e">
        <f>L27*L26</f>
        <v>#DIV/0!</v>
      </c>
      <c r="M28" s="201"/>
      <c r="N28" s="76" t="e">
        <f>N27*N26</f>
        <v>#DIV/0!</v>
      </c>
      <c r="O28" s="76" t="e">
        <f>O27*O26</f>
        <v>#DIV/0!</v>
      </c>
      <c r="P28" s="76" t="e">
        <f>P27*P26</f>
        <v>#DIV/0!</v>
      </c>
      <c r="Q28" s="201"/>
      <c r="R28" s="130"/>
    </row>
    <row r="29" spans="1:19" s="20" customFormat="1" ht="15" customHeight="1">
      <c r="A29" s="19" t="s">
        <v>49</v>
      </c>
      <c r="B29" s="74">
        <f>B12</f>
        <v>0</v>
      </c>
      <c r="C29" s="74">
        <f>C12</f>
        <v>0</v>
      </c>
      <c r="D29" s="74">
        <f>D12</f>
        <v>0</v>
      </c>
      <c r="E29" s="197"/>
      <c r="F29" s="74">
        <f>F12</f>
        <v>0</v>
      </c>
      <c r="G29" s="74">
        <f>G12</f>
        <v>0</v>
      </c>
      <c r="H29" s="74">
        <f>H12</f>
        <v>0</v>
      </c>
      <c r="I29" s="197"/>
      <c r="J29" s="74">
        <f>J12</f>
        <v>0</v>
      </c>
      <c r="K29" s="74">
        <f>K12</f>
        <v>0</v>
      </c>
      <c r="L29" s="74">
        <f>L12</f>
        <v>0</v>
      </c>
      <c r="M29" s="197"/>
      <c r="N29" s="74">
        <f>N12</f>
        <v>0</v>
      </c>
      <c r="O29" s="74">
        <f>O12</f>
        <v>0</v>
      </c>
      <c r="P29" s="74">
        <f>P12</f>
        <v>0</v>
      </c>
      <c r="Q29" s="197"/>
      <c r="R29" s="126"/>
    </row>
    <row r="30" spans="1:19" s="20" customFormat="1" ht="15" customHeight="1">
      <c r="A30" s="39" t="s">
        <v>55</v>
      </c>
      <c r="B30" s="77">
        <f>B14</f>
        <v>0</v>
      </c>
      <c r="C30" s="77">
        <f>C14</f>
        <v>0</v>
      </c>
      <c r="D30" s="77">
        <f>D14</f>
        <v>0</v>
      </c>
      <c r="E30" s="198"/>
      <c r="F30" s="77">
        <f>F14</f>
        <v>0</v>
      </c>
      <c r="G30" s="77">
        <f>G14</f>
        <v>0</v>
      </c>
      <c r="H30" s="77">
        <f>H14</f>
        <v>0</v>
      </c>
      <c r="I30" s="198"/>
      <c r="J30" s="77">
        <f>J14</f>
        <v>0</v>
      </c>
      <c r="K30" s="77">
        <f>K14</f>
        <v>0</v>
      </c>
      <c r="L30" s="77">
        <f>L14</f>
        <v>0</v>
      </c>
      <c r="M30" s="198"/>
      <c r="N30" s="77">
        <f>N14</f>
        <v>0</v>
      </c>
      <c r="O30" s="77">
        <f>O14</f>
        <v>0</v>
      </c>
      <c r="P30" s="77">
        <f>P14</f>
        <v>0</v>
      </c>
      <c r="Q30" s="198"/>
      <c r="R30" s="126"/>
    </row>
    <row r="31" spans="1:19" s="22" customFormat="1" ht="15" customHeight="1">
      <c r="A31" s="39" t="s">
        <v>56</v>
      </c>
      <c r="B31" s="128" t="e">
        <f>B30/B29</f>
        <v>#DIV/0!</v>
      </c>
      <c r="C31" s="128" t="e">
        <f>C30/C29</f>
        <v>#DIV/0!</v>
      </c>
      <c r="D31" s="128" t="e">
        <f>D30/D29</f>
        <v>#DIV/0!</v>
      </c>
      <c r="E31" s="199"/>
      <c r="F31" s="128" t="e">
        <f>F30/F29</f>
        <v>#DIV/0!</v>
      </c>
      <c r="G31" s="128" t="e">
        <f>G30/G29</f>
        <v>#DIV/0!</v>
      </c>
      <c r="H31" s="128" t="e">
        <f>H30/H29</f>
        <v>#DIV/0!</v>
      </c>
      <c r="I31" s="199"/>
      <c r="J31" s="128" t="e">
        <f>J30/J29</f>
        <v>#DIV/0!</v>
      </c>
      <c r="K31" s="128" t="e">
        <f>K30/K29</f>
        <v>#DIV/0!</v>
      </c>
      <c r="L31" s="128" t="e">
        <f>L30/L29</f>
        <v>#DIV/0!</v>
      </c>
      <c r="M31" s="199"/>
      <c r="N31" s="128" t="e">
        <f>N30/N29</f>
        <v>#DIV/0!</v>
      </c>
      <c r="O31" s="128" t="e">
        <f>O30/O29</f>
        <v>#DIV/0!</v>
      </c>
      <c r="P31" s="128" t="e">
        <f>P30/P29</f>
        <v>#DIV/0!</v>
      </c>
      <c r="Q31" s="199"/>
      <c r="R31" s="126"/>
    </row>
    <row r="32" spans="1:19" s="22" customFormat="1" ht="15" customHeight="1">
      <c r="A32" s="83" t="s">
        <v>61</v>
      </c>
      <c r="B32" s="77">
        <f>B22*0.15</f>
        <v>517.5</v>
      </c>
      <c r="C32" s="77">
        <f>C22*0.15</f>
        <v>517.5</v>
      </c>
      <c r="D32" s="77">
        <f>D22*0.15</f>
        <v>517.5</v>
      </c>
      <c r="E32" s="198"/>
      <c r="F32" s="77">
        <f>F22*0.15</f>
        <v>517.5</v>
      </c>
      <c r="G32" s="77">
        <f>G22*0.15</f>
        <v>517.5</v>
      </c>
      <c r="H32" s="77">
        <f>H22*0.15</f>
        <v>517.5</v>
      </c>
      <c r="I32" s="198"/>
      <c r="J32" s="77">
        <f>J22*0.15</f>
        <v>517.5</v>
      </c>
      <c r="K32" s="77">
        <f>K22*0.15</f>
        <v>517.5</v>
      </c>
      <c r="L32" s="77">
        <f>L22*0.15</f>
        <v>517.5</v>
      </c>
      <c r="M32" s="198"/>
      <c r="N32" s="77">
        <f>N22*0.15</f>
        <v>517.5</v>
      </c>
      <c r="O32" s="77">
        <f>O22*0.15</f>
        <v>517.5</v>
      </c>
      <c r="P32" s="77">
        <f>P22*0.15</f>
        <v>517.5</v>
      </c>
      <c r="Q32" s="198"/>
      <c r="R32" s="126"/>
    </row>
    <row r="33" spans="1:19" s="36" customFormat="1" ht="15" customHeight="1">
      <c r="A33" s="39" t="s">
        <v>57</v>
      </c>
      <c r="B33" s="81" t="e">
        <f>IF(B31&lt;80%,0,IF(B31&lt;90%,0.5,IF(B31&lt;95%,0.75,1)))</f>
        <v>#DIV/0!</v>
      </c>
      <c r="C33" s="81" t="e">
        <f>IF(C31&lt;80%,0,IF(C31&lt;90%,0.5,IF(C31&lt;95%,0.75,1)))</f>
        <v>#DIV/0!</v>
      </c>
      <c r="D33" s="81" t="e">
        <f>IF(D31&lt;80%,0,IF(D31&lt;90%,0.5,IF(D31&lt;95%,0.75,1)))</f>
        <v>#DIV/0!</v>
      </c>
      <c r="E33" s="200"/>
      <c r="F33" s="81" t="e">
        <f>IF(F31&lt;80%,0,IF(F31&lt;90%,0.5,IF(F31&lt;95%,0.75,1)))</f>
        <v>#DIV/0!</v>
      </c>
      <c r="G33" s="81" t="e">
        <f>IF(G31&lt;80%,0,IF(G31&lt;90%,0.5,IF(G31&lt;95%,0.75,1)))</f>
        <v>#DIV/0!</v>
      </c>
      <c r="H33" s="81" t="e">
        <f>IF(H31&lt;80%,0,IF(H31&lt;90%,0.5,IF(H31&lt;95%,0.75,1)))</f>
        <v>#DIV/0!</v>
      </c>
      <c r="I33" s="200"/>
      <c r="J33" s="81" t="e">
        <f>IF(J31&lt;80%,0,IF(J31&lt;90%,0.5,IF(J31&lt;95%,0.75,1)))</f>
        <v>#DIV/0!</v>
      </c>
      <c r="K33" s="81" t="e">
        <f>IF(K31&lt;80%,0,IF(K31&lt;90%,0.5,IF(K31&lt;95%,0.75,1)))</f>
        <v>#DIV/0!</v>
      </c>
      <c r="L33" s="81" t="e">
        <f>IF(L31&lt;80%,0,IF(L31&lt;90%,0.5,IF(L31&lt;95%,0.75,1)))</f>
        <v>#DIV/0!</v>
      </c>
      <c r="M33" s="200"/>
      <c r="N33" s="81" t="e">
        <f>IF(N31&lt;80%,0,IF(N31&lt;90%,0.5,IF(N31&lt;95%,0.75,1)))</f>
        <v>#DIV/0!</v>
      </c>
      <c r="O33" s="81" t="e">
        <f>IF(O31&lt;80%,0,IF(O31&lt;90%,0.5,IF(O31&lt;95%,0.75,1)))</f>
        <v>#DIV/0!</v>
      </c>
      <c r="P33" s="81" t="e">
        <f>IF(P31&lt;80%,0,IF(P31&lt;90%,0.5,IF(P31&lt;95%,0.75,1)))</f>
        <v>#DIV/0!</v>
      </c>
      <c r="Q33" s="200"/>
      <c r="R33" s="126"/>
    </row>
    <row r="34" spans="1:19" s="20" customFormat="1" ht="15" customHeight="1">
      <c r="A34" s="55" t="s">
        <v>58</v>
      </c>
      <c r="B34" s="76" t="e">
        <f>B33*B32</f>
        <v>#DIV/0!</v>
      </c>
      <c r="C34" s="76" t="e">
        <f>C33*C32</f>
        <v>#DIV/0!</v>
      </c>
      <c r="D34" s="76" t="e">
        <f>D33*D32</f>
        <v>#DIV/0!</v>
      </c>
      <c r="E34" s="201"/>
      <c r="F34" s="76" t="e">
        <f>F33*F32</f>
        <v>#DIV/0!</v>
      </c>
      <c r="G34" s="76" t="e">
        <f>G33*G32</f>
        <v>#DIV/0!</v>
      </c>
      <c r="H34" s="76" t="e">
        <f>H33*H32</f>
        <v>#DIV/0!</v>
      </c>
      <c r="I34" s="201"/>
      <c r="J34" s="76" t="e">
        <f>J33*J32</f>
        <v>#DIV/0!</v>
      </c>
      <c r="K34" s="76" t="e">
        <f>K33*K32</f>
        <v>#DIV/0!</v>
      </c>
      <c r="L34" s="76" t="e">
        <f>L33*L32</f>
        <v>#DIV/0!</v>
      </c>
      <c r="M34" s="201"/>
      <c r="N34" s="76" t="e">
        <f>N33*N32</f>
        <v>#DIV/0!</v>
      </c>
      <c r="O34" s="76" t="e">
        <f>O33*O32</f>
        <v>#DIV/0!</v>
      </c>
      <c r="P34" s="76" t="e">
        <f>P33*P32</f>
        <v>#DIV/0!</v>
      </c>
      <c r="Q34" s="201"/>
      <c r="R34" s="130"/>
    </row>
    <row r="35" spans="1:19" s="22" customFormat="1" ht="15" customHeight="1">
      <c r="A35" s="19" t="s">
        <v>34</v>
      </c>
      <c r="B35" s="74">
        <v>1</v>
      </c>
      <c r="C35" s="74">
        <v>1</v>
      </c>
      <c r="D35" s="74">
        <v>1</v>
      </c>
      <c r="E35" s="197"/>
      <c r="F35" s="74">
        <v>1</v>
      </c>
      <c r="G35" s="74">
        <v>1</v>
      </c>
      <c r="H35" s="74">
        <v>1</v>
      </c>
      <c r="I35" s="197"/>
      <c r="J35" s="74">
        <v>1</v>
      </c>
      <c r="K35" s="74">
        <v>1</v>
      </c>
      <c r="L35" s="74">
        <v>1</v>
      </c>
      <c r="M35" s="197"/>
      <c r="N35" s="74">
        <v>1</v>
      </c>
      <c r="O35" s="74">
        <v>1</v>
      </c>
      <c r="P35" s="74">
        <v>1</v>
      </c>
      <c r="Q35" s="197"/>
      <c r="R35" s="131"/>
    </row>
    <row r="36" spans="1:19" s="22" customFormat="1" ht="15" customHeight="1">
      <c r="A36" s="49" t="s">
        <v>59</v>
      </c>
      <c r="B36" s="132">
        <f>B22*0.05</f>
        <v>172.5</v>
      </c>
      <c r="C36" s="132">
        <f>C22*0.05</f>
        <v>172.5</v>
      </c>
      <c r="D36" s="132">
        <f>D22*0.05</f>
        <v>172.5</v>
      </c>
      <c r="E36" s="202"/>
      <c r="F36" s="132">
        <f>F22*0.05</f>
        <v>172.5</v>
      </c>
      <c r="G36" s="132">
        <f>G22*0.05</f>
        <v>172.5</v>
      </c>
      <c r="H36" s="132">
        <f>H22*0.05</f>
        <v>172.5</v>
      </c>
      <c r="I36" s="202"/>
      <c r="J36" s="132">
        <f>J22*0.05</f>
        <v>172.5</v>
      </c>
      <c r="K36" s="132">
        <f>K22*0.05</f>
        <v>172.5</v>
      </c>
      <c r="L36" s="132">
        <f>L22*0.05</f>
        <v>172.5</v>
      </c>
      <c r="M36" s="202"/>
      <c r="N36" s="132">
        <f>N22*0.05</f>
        <v>172.5</v>
      </c>
      <c r="O36" s="132">
        <f>O22*0.05</f>
        <v>172.5</v>
      </c>
      <c r="P36" s="132">
        <f>P22*0.05</f>
        <v>172.5</v>
      </c>
      <c r="Q36" s="202"/>
      <c r="R36" s="129"/>
    </row>
    <row r="37" spans="1:19" s="36" customFormat="1" ht="15" customHeight="1">
      <c r="A37" s="39" t="s">
        <v>62</v>
      </c>
      <c r="B37" s="77"/>
      <c r="C37" s="77"/>
      <c r="D37" s="77"/>
      <c r="E37" s="198"/>
      <c r="F37" s="77">
        <v>1</v>
      </c>
      <c r="G37" s="77">
        <v>1</v>
      </c>
      <c r="H37" s="77"/>
      <c r="I37" s="198"/>
      <c r="J37" s="77">
        <v>1</v>
      </c>
      <c r="K37" s="77">
        <v>1</v>
      </c>
      <c r="L37" s="77">
        <v>1</v>
      </c>
      <c r="M37" s="198"/>
      <c r="N37" s="77">
        <v>1</v>
      </c>
      <c r="O37" s="77">
        <v>1</v>
      </c>
      <c r="P37" s="77">
        <v>1</v>
      </c>
      <c r="Q37" s="198"/>
      <c r="R37" s="126"/>
    </row>
    <row r="38" spans="1:19" s="21" customFormat="1" ht="15" customHeight="1">
      <c r="A38" s="62" t="s">
        <v>63</v>
      </c>
      <c r="B38" s="76">
        <f>B37*B36</f>
        <v>0</v>
      </c>
      <c r="C38" s="76">
        <f>C37*C36</f>
        <v>0</v>
      </c>
      <c r="D38" s="76">
        <f>D37*D36</f>
        <v>0</v>
      </c>
      <c r="E38" s="201"/>
      <c r="F38" s="76">
        <f>F37*F36</f>
        <v>172.5</v>
      </c>
      <c r="G38" s="76">
        <f>G37*G36</f>
        <v>172.5</v>
      </c>
      <c r="H38" s="76">
        <f>H37*H36</f>
        <v>0</v>
      </c>
      <c r="I38" s="201"/>
      <c r="J38" s="76">
        <f>J37*J36</f>
        <v>172.5</v>
      </c>
      <c r="K38" s="76">
        <f>K37*K36</f>
        <v>172.5</v>
      </c>
      <c r="L38" s="76">
        <f>L37*L36</f>
        <v>172.5</v>
      </c>
      <c r="M38" s="201"/>
      <c r="N38" s="76">
        <f>N37*N36</f>
        <v>172.5</v>
      </c>
      <c r="O38" s="76">
        <f>O37*O36</f>
        <v>172.5</v>
      </c>
      <c r="P38" s="76">
        <f>P37*P36</f>
        <v>172.5</v>
      </c>
      <c r="Q38" s="201"/>
      <c r="R38" s="133"/>
      <c r="S38" s="14"/>
    </row>
    <row r="39" spans="1:19" s="42" customFormat="1" ht="15" customHeight="1">
      <c r="A39" s="52" t="s">
        <v>67</v>
      </c>
      <c r="B39" s="79" t="e">
        <f>B34+B28+B38</f>
        <v>#DIV/0!</v>
      </c>
      <c r="C39" s="79" t="e">
        <f>C34+C28+C38</f>
        <v>#DIV/0!</v>
      </c>
      <c r="D39" s="79" t="e">
        <f>D34+D28+D38</f>
        <v>#DIV/0!</v>
      </c>
      <c r="E39" s="203"/>
      <c r="F39" s="79" t="e">
        <f>F34+F28+F38</f>
        <v>#DIV/0!</v>
      </c>
      <c r="G39" s="79" t="e">
        <f>G34+G28+G38</f>
        <v>#DIV/0!</v>
      </c>
      <c r="H39" s="79" t="e">
        <f>H34+H28+H38</f>
        <v>#DIV/0!</v>
      </c>
      <c r="I39" s="203"/>
      <c r="J39" s="79" t="e">
        <f>J34+J28+J38</f>
        <v>#DIV/0!</v>
      </c>
      <c r="K39" s="79" t="e">
        <f>K34+K28+K38+129.37</f>
        <v>#DIV/0!</v>
      </c>
      <c r="L39" s="79" t="e">
        <f>L34+L28+L38</f>
        <v>#DIV/0!</v>
      </c>
      <c r="M39" s="203"/>
      <c r="N39" s="79" t="e">
        <f>N34+N28+N38</f>
        <v>#DIV/0!</v>
      </c>
      <c r="O39" s="79" t="e">
        <f>O34+O28+O38</f>
        <v>#DIV/0!</v>
      </c>
      <c r="P39" s="79" t="e">
        <f>P34+P28+P38</f>
        <v>#DIV/0!</v>
      </c>
      <c r="Q39" s="203"/>
      <c r="R39" s="134"/>
      <c r="S39" s="16"/>
    </row>
    <row r="40" spans="1:19" s="20" customFormat="1" ht="15" customHeight="1">
      <c r="A40" s="125" t="s">
        <v>125</v>
      </c>
      <c r="B40" s="760">
        <f>D5</f>
        <v>0</v>
      </c>
      <c r="C40" s="761"/>
      <c r="D40" s="761"/>
      <c r="E40" s="762"/>
      <c r="F40" s="760">
        <f>H5</f>
        <v>0</v>
      </c>
      <c r="G40" s="761"/>
      <c r="H40" s="761"/>
      <c r="I40" s="762"/>
      <c r="J40" s="760">
        <f>L5</f>
        <v>0</v>
      </c>
      <c r="K40" s="761"/>
      <c r="L40" s="761"/>
      <c r="M40" s="762"/>
      <c r="N40" s="760">
        <f>P5</f>
        <v>0</v>
      </c>
      <c r="O40" s="761"/>
      <c r="P40" s="761"/>
      <c r="Q40" s="762"/>
      <c r="R40" s="129"/>
    </row>
    <row r="41" spans="1:19" s="36" customFormat="1" ht="15" customHeight="1">
      <c r="A41" s="127" t="s">
        <v>69</v>
      </c>
      <c r="B41" s="763">
        <f>D7</f>
        <v>0</v>
      </c>
      <c r="C41" s="764"/>
      <c r="D41" s="764"/>
      <c r="E41" s="762"/>
      <c r="F41" s="763">
        <f>H7</f>
        <v>0</v>
      </c>
      <c r="G41" s="764"/>
      <c r="H41" s="764"/>
      <c r="I41" s="762"/>
      <c r="J41" s="763">
        <f>L7</f>
        <v>0</v>
      </c>
      <c r="K41" s="764"/>
      <c r="L41" s="764"/>
      <c r="M41" s="762"/>
      <c r="N41" s="763">
        <f>P7</f>
        <v>0</v>
      </c>
      <c r="O41" s="764"/>
      <c r="P41" s="764"/>
      <c r="Q41" s="762"/>
      <c r="R41" s="129"/>
    </row>
    <row r="42" spans="1:19" s="20" customFormat="1" ht="15" customHeight="1">
      <c r="A42" s="127" t="s">
        <v>68</v>
      </c>
      <c r="B42" s="765" t="e">
        <f>B41/B40</f>
        <v>#DIV/0!</v>
      </c>
      <c r="C42" s="766"/>
      <c r="D42" s="766"/>
      <c r="E42" s="762"/>
      <c r="F42" s="765" t="e">
        <f>F41/F40</f>
        <v>#DIV/0!</v>
      </c>
      <c r="G42" s="766"/>
      <c r="H42" s="766"/>
      <c r="I42" s="762"/>
      <c r="J42" s="765" t="e">
        <f>J41/J40</f>
        <v>#DIV/0!</v>
      </c>
      <c r="K42" s="766"/>
      <c r="L42" s="766"/>
      <c r="M42" s="762"/>
      <c r="N42" s="765" t="e">
        <f>N41/N40</f>
        <v>#DIV/0!</v>
      </c>
      <c r="O42" s="766"/>
      <c r="P42" s="766"/>
      <c r="Q42" s="762"/>
      <c r="R42" s="135"/>
    </row>
    <row r="43" spans="1:19" s="21" customFormat="1" ht="15" customHeight="1">
      <c r="A43" s="127" t="s">
        <v>65</v>
      </c>
      <c r="B43" s="767">
        <f>D22</f>
        <v>3450</v>
      </c>
      <c r="C43" s="768"/>
      <c r="D43" s="768"/>
      <c r="E43" s="762"/>
      <c r="F43" s="767">
        <f>H22</f>
        <v>3450</v>
      </c>
      <c r="G43" s="768"/>
      <c r="H43" s="768"/>
      <c r="I43" s="762"/>
      <c r="J43" s="767">
        <f>L22</f>
        <v>3450</v>
      </c>
      <c r="K43" s="768"/>
      <c r="L43" s="768"/>
      <c r="M43" s="762"/>
      <c r="N43" s="767">
        <f>P22</f>
        <v>3450</v>
      </c>
      <c r="O43" s="768"/>
      <c r="P43" s="768"/>
      <c r="Q43" s="762"/>
      <c r="R43" s="129"/>
    </row>
    <row r="44" spans="1:19" s="36" customFormat="1" ht="15" customHeight="1">
      <c r="A44" s="83" t="s">
        <v>66</v>
      </c>
      <c r="B44" s="769" t="e">
        <f>IF(B42&lt;100%,0,IF(B42&lt;110%,0.5,1))</f>
        <v>#DIV/0!</v>
      </c>
      <c r="C44" s="770"/>
      <c r="D44" s="770"/>
      <c r="E44" s="759"/>
      <c r="F44" s="769" t="e">
        <f>IF(F42&lt;100%,0,IF(F42&lt;110%,0.5,1))</f>
        <v>#DIV/0!</v>
      </c>
      <c r="G44" s="770"/>
      <c r="H44" s="770"/>
      <c r="I44" s="759"/>
      <c r="J44" s="769" t="e">
        <f>IF(J42&lt;100%,0,IF(J42&lt;110%,0.5,1))</f>
        <v>#DIV/0!</v>
      </c>
      <c r="K44" s="770"/>
      <c r="L44" s="770"/>
      <c r="M44" s="759"/>
      <c r="N44" s="769" t="e">
        <f>IF(N42&lt;100%,0,IF(N42&lt;110%,0.5,1))</f>
        <v>#DIV/0!</v>
      </c>
      <c r="O44" s="770"/>
      <c r="P44" s="770"/>
      <c r="Q44" s="759"/>
      <c r="R44" s="136"/>
    </row>
    <row r="45" spans="1:19" s="20" customFormat="1" ht="15" customHeight="1">
      <c r="A45" s="52" t="s">
        <v>64</v>
      </c>
      <c r="B45" s="771" t="e">
        <f>B44*B43</f>
        <v>#DIV/0!</v>
      </c>
      <c r="C45" s="772"/>
      <c r="D45" s="772"/>
      <c r="E45" s="759"/>
      <c r="F45" s="771" t="e">
        <f>F44*F43</f>
        <v>#DIV/0!</v>
      </c>
      <c r="G45" s="772"/>
      <c r="H45" s="772"/>
      <c r="I45" s="759"/>
      <c r="J45" s="771" t="e">
        <f>J44*J43</f>
        <v>#DIV/0!</v>
      </c>
      <c r="K45" s="772"/>
      <c r="L45" s="772"/>
      <c r="M45" s="759"/>
      <c r="N45" s="771" t="e">
        <f>N44*N43</f>
        <v>#DIV/0!</v>
      </c>
      <c r="O45" s="772"/>
      <c r="P45" s="772"/>
      <c r="Q45" s="759"/>
      <c r="R45" s="137"/>
    </row>
    <row r="46" spans="1:19" s="20" customFormat="1" ht="15" customHeight="1" thickBot="1">
      <c r="A46" s="59"/>
      <c r="B46" s="60"/>
      <c r="C46" s="60"/>
      <c r="D46" s="60"/>
      <c r="E46" s="139"/>
      <c r="F46" s="60"/>
      <c r="G46" s="60"/>
      <c r="H46" s="60"/>
      <c r="I46" s="139"/>
      <c r="J46" s="60"/>
      <c r="K46" s="60"/>
      <c r="L46" s="60"/>
      <c r="M46" s="139"/>
      <c r="N46" s="60"/>
      <c r="O46" s="60"/>
      <c r="P46" s="60"/>
      <c r="Q46" s="139"/>
      <c r="R46" s="140"/>
    </row>
    <row r="47" spans="1:19" ht="13.8" thickBot="1">
      <c r="A47" s="391" t="s">
        <v>96</v>
      </c>
      <c r="B47" s="446" t="s">
        <v>97</v>
      </c>
      <c r="C47" s="446" t="s">
        <v>11</v>
      </c>
      <c r="D47" s="446" t="s">
        <v>12</v>
      </c>
      <c r="E47" s="400" t="s">
        <v>98</v>
      </c>
      <c r="F47" s="531" t="s">
        <v>7</v>
      </c>
      <c r="G47" s="531" t="s">
        <v>8</v>
      </c>
      <c r="H47" s="446" t="s">
        <v>9</v>
      </c>
      <c r="I47" s="400" t="s">
        <v>98</v>
      </c>
      <c r="J47" s="402" t="s">
        <v>4</v>
      </c>
      <c r="K47" s="402" t="s">
        <v>5</v>
      </c>
      <c r="L47" s="402" t="s">
        <v>6</v>
      </c>
      <c r="M47" s="400" t="s">
        <v>98</v>
      </c>
      <c r="N47" s="402" t="s">
        <v>1</v>
      </c>
      <c r="O47" s="402" t="s">
        <v>2</v>
      </c>
      <c r="P47" s="402" t="s">
        <v>3</v>
      </c>
      <c r="Q47" s="400" t="s">
        <v>98</v>
      </c>
      <c r="R47" s="400" t="s">
        <v>98</v>
      </c>
    </row>
    <row r="48" spans="1:19" ht="13.8" thickTop="1">
      <c r="A48" s="392" t="s">
        <v>99</v>
      </c>
      <c r="B48" s="159"/>
      <c r="C48" s="159"/>
      <c r="D48" s="159"/>
      <c r="E48" s="401">
        <f>SUM(B48:D48)</f>
        <v>0</v>
      </c>
      <c r="F48" s="524"/>
      <c r="G48" s="524"/>
      <c r="H48" s="159"/>
      <c r="I48" s="401">
        <f>SUM(F48:H48)</f>
        <v>0</v>
      </c>
      <c r="J48" s="159"/>
      <c r="K48" s="159"/>
      <c r="L48" s="159"/>
      <c r="M48" s="401">
        <f>SUM(J48:L48)</f>
        <v>0</v>
      </c>
      <c r="N48" s="159"/>
      <c r="O48" s="159"/>
      <c r="P48" s="159"/>
      <c r="Q48" s="401">
        <f>SUM(N48:P48)</f>
        <v>0</v>
      </c>
      <c r="R48" s="401">
        <f>M48+I48+E48+Q48</f>
        <v>0</v>
      </c>
      <c r="S48" s="65"/>
    </row>
    <row r="49" spans="1:19">
      <c r="A49" s="393" t="s">
        <v>100</v>
      </c>
      <c r="B49" s="160"/>
      <c r="C49" s="160"/>
      <c r="D49" s="160"/>
      <c r="E49" s="207"/>
      <c r="F49" s="523"/>
      <c r="G49" s="523"/>
      <c r="H49" s="160"/>
      <c r="I49" s="207"/>
      <c r="J49" s="160"/>
      <c r="K49" s="160"/>
      <c r="L49" s="160"/>
      <c r="M49" s="207"/>
      <c r="N49" s="160"/>
      <c r="O49" s="160"/>
      <c r="P49" s="160"/>
      <c r="Q49" s="207"/>
      <c r="R49" s="207"/>
      <c r="S49" s="65"/>
    </row>
    <row r="50" spans="1:19">
      <c r="A50" s="393" t="s">
        <v>101</v>
      </c>
      <c r="B50" s="160"/>
      <c r="C50" s="160"/>
      <c r="D50" s="160"/>
      <c r="E50" s="207"/>
      <c r="F50" s="523"/>
      <c r="G50" s="523"/>
      <c r="H50" s="160"/>
      <c r="I50" s="207"/>
      <c r="J50" s="160"/>
      <c r="K50" s="160"/>
      <c r="L50" s="160"/>
      <c r="M50" s="207"/>
      <c r="N50" s="160"/>
      <c r="O50" s="160"/>
      <c r="P50" s="160"/>
      <c r="Q50" s="207"/>
      <c r="R50" s="207"/>
      <c r="S50" s="65"/>
    </row>
    <row r="51" spans="1:19">
      <c r="A51" s="393" t="s">
        <v>135</v>
      </c>
      <c r="B51" s="160"/>
      <c r="C51" s="160"/>
      <c r="D51" s="160"/>
      <c r="E51" s="207"/>
      <c r="F51" s="523"/>
      <c r="G51" s="523"/>
      <c r="H51" s="160"/>
      <c r="I51" s="207"/>
      <c r="J51" s="160"/>
      <c r="K51" s="160"/>
      <c r="L51" s="160"/>
      <c r="M51" s="207"/>
      <c r="N51" s="160"/>
      <c r="O51" s="160"/>
      <c r="P51" s="160"/>
      <c r="Q51" s="207"/>
      <c r="R51" s="207"/>
      <c r="S51" s="65"/>
    </row>
    <row r="52" spans="1:19">
      <c r="A52" s="393" t="s">
        <v>102</v>
      </c>
      <c r="B52" s="447"/>
      <c r="C52" s="447"/>
      <c r="D52" s="447"/>
      <c r="E52" s="208"/>
      <c r="F52" s="532"/>
      <c r="G52" s="532"/>
      <c r="H52" s="447"/>
      <c r="I52" s="208"/>
      <c r="J52" s="482"/>
      <c r="K52" s="482"/>
      <c r="L52" s="482"/>
      <c r="M52" s="208"/>
      <c r="N52" s="482"/>
      <c r="O52" s="482"/>
      <c r="P52" s="482"/>
      <c r="Q52" s="208"/>
      <c r="R52" s="208"/>
      <c r="S52" s="65"/>
    </row>
    <row r="53" spans="1:19" ht="13.8" thickBot="1">
      <c r="A53" s="394" t="s">
        <v>103</v>
      </c>
      <c r="B53" s="161"/>
      <c r="C53" s="161"/>
      <c r="D53" s="161"/>
      <c r="E53" s="401">
        <f t="shared" ref="E53:E54" si="12">SUM(B53:D53)</f>
        <v>0</v>
      </c>
      <c r="F53" s="525"/>
      <c r="G53" s="525"/>
      <c r="H53" s="161"/>
      <c r="I53" s="401">
        <f t="shared" ref="I53:I54" si="13">SUM(F53:H53)</f>
        <v>0</v>
      </c>
      <c r="J53" s="161"/>
      <c r="K53" s="161"/>
      <c r="L53" s="161"/>
      <c r="M53" s="401">
        <f t="shared" ref="M53:M54" si="14">SUM(J53:L53)</f>
        <v>0</v>
      </c>
      <c r="N53" s="161"/>
      <c r="O53" s="161"/>
      <c r="P53" s="161"/>
      <c r="Q53" s="401">
        <f t="shared" ref="Q53:Q54" si="15">SUM(N53:P53)</f>
        <v>0</v>
      </c>
      <c r="R53" s="401">
        <f>M53+I53+E53+Q53</f>
        <v>0</v>
      </c>
      <c r="S53" s="65"/>
    </row>
    <row r="54" spans="1:19" ht="13.8" thickTop="1">
      <c r="A54" s="395" t="s">
        <v>136</v>
      </c>
      <c r="B54" s="162"/>
      <c r="C54" s="162"/>
      <c r="D54" s="162"/>
      <c r="E54" s="401">
        <f t="shared" si="12"/>
        <v>0</v>
      </c>
      <c r="F54" s="526"/>
      <c r="G54" s="526"/>
      <c r="H54" s="162"/>
      <c r="I54" s="401">
        <f t="shared" si="13"/>
        <v>0</v>
      </c>
      <c r="J54" s="162"/>
      <c r="K54" s="162"/>
      <c r="L54" s="162"/>
      <c r="M54" s="401">
        <f t="shared" si="14"/>
        <v>0</v>
      </c>
      <c r="N54" s="162"/>
      <c r="O54" s="162"/>
      <c r="P54" s="162"/>
      <c r="Q54" s="401">
        <f t="shared" si="15"/>
        <v>0</v>
      </c>
      <c r="R54" s="401">
        <f>M54+I54+E54+Q54</f>
        <v>0</v>
      </c>
      <c r="S54" s="65"/>
    </row>
    <row r="55" spans="1:19">
      <c r="A55" s="393" t="s">
        <v>104</v>
      </c>
      <c r="B55" s="160"/>
      <c r="C55" s="160"/>
      <c r="D55" s="160"/>
      <c r="E55" s="209"/>
      <c r="F55" s="523"/>
      <c r="G55" s="523"/>
      <c r="H55" s="160"/>
      <c r="I55" s="209"/>
      <c r="J55" s="160"/>
      <c r="K55" s="160"/>
      <c r="L55" s="160"/>
      <c r="M55" s="209"/>
      <c r="N55" s="160"/>
      <c r="O55" s="160"/>
      <c r="P55" s="160"/>
      <c r="Q55" s="209"/>
      <c r="R55" s="209"/>
      <c r="S55" s="65"/>
    </row>
    <row r="56" spans="1:19">
      <c r="A56" s="393" t="s">
        <v>105</v>
      </c>
      <c r="B56" s="160"/>
      <c r="C56" s="160"/>
      <c r="D56" s="160"/>
      <c r="E56" s="401">
        <f t="shared" ref="E56:E60" si="16">SUM(B56:D56)</f>
        <v>0</v>
      </c>
      <c r="F56" s="523"/>
      <c r="G56" s="523"/>
      <c r="H56" s="160"/>
      <c r="I56" s="401">
        <f t="shared" ref="I56:I60" si="17">SUM(F56:H56)</f>
        <v>0</v>
      </c>
      <c r="J56" s="160"/>
      <c r="K56" s="160"/>
      <c r="L56" s="160"/>
      <c r="M56" s="401">
        <f t="shared" ref="M56:M60" si="18">SUM(J56:L56)</f>
        <v>0</v>
      </c>
      <c r="N56" s="160"/>
      <c r="O56" s="160"/>
      <c r="P56" s="160"/>
      <c r="Q56" s="401">
        <f t="shared" ref="Q56:Q60" si="19">SUM(N56:P56)</f>
        <v>0</v>
      </c>
      <c r="R56" s="401">
        <f>M56+I56+E56+Q56</f>
        <v>0</v>
      </c>
      <c r="S56" s="65"/>
    </row>
    <row r="57" spans="1:19" ht="13.8" thickBot="1">
      <c r="A57" s="396" t="s">
        <v>106</v>
      </c>
      <c r="B57" s="163"/>
      <c r="C57" s="163"/>
      <c r="D57" s="163"/>
      <c r="E57" s="401">
        <f t="shared" si="16"/>
        <v>0</v>
      </c>
      <c r="F57" s="527"/>
      <c r="G57" s="527"/>
      <c r="H57" s="163"/>
      <c r="I57" s="401">
        <f t="shared" si="17"/>
        <v>0</v>
      </c>
      <c r="J57" s="163"/>
      <c r="K57" s="163"/>
      <c r="L57" s="163"/>
      <c r="M57" s="401">
        <f t="shared" si="18"/>
        <v>0</v>
      </c>
      <c r="N57" s="163"/>
      <c r="O57" s="163"/>
      <c r="P57" s="163"/>
      <c r="Q57" s="401">
        <f t="shared" si="19"/>
        <v>0</v>
      </c>
      <c r="R57" s="401">
        <f>M57+I57+E57+Q57</f>
        <v>0</v>
      </c>
      <c r="S57" s="65"/>
    </row>
    <row r="58" spans="1:19" ht="13.8" thickTop="1">
      <c r="A58" s="392" t="s">
        <v>193</v>
      </c>
      <c r="B58" s="159"/>
      <c r="C58" s="159"/>
      <c r="D58" s="159"/>
      <c r="E58" s="401">
        <f t="shared" si="16"/>
        <v>0</v>
      </c>
      <c r="F58" s="524"/>
      <c r="G58" s="524"/>
      <c r="H58" s="159"/>
      <c r="I58" s="401">
        <f t="shared" si="17"/>
        <v>0</v>
      </c>
      <c r="J58" s="159"/>
      <c r="K58" s="159"/>
      <c r="L58" s="159"/>
      <c r="M58" s="401">
        <f t="shared" si="18"/>
        <v>0</v>
      </c>
      <c r="N58" s="159"/>
      <c r="O58" s="159"/>
      <c r="P58" s="159"/>
      <c r="Q58" s="401">
        <f t="shared" si="19"/>
        <v>0</v>
      </c>
      <c r="R58" s="401">
        <f>M58+I58+E58+Q58</f>
        <v>0</v>
      </c>
      <c r="S58" s="65"/>
    </row>
    <row r="59" spans="1:19" ht="13.8" thickBot="1">
      <c r="A59" s="394" t="s">
        <v>107</v>
      </c>
      <c r="B59" s="161"/>
      <c r="C59" s="161"/>
      <c r="D59" s="161"/>
      <c r="E59" s="401">
        <f t="shared" si="16"/>
        <v>0</v>
      </c>
      <c r="F59" s="525"/>
      <c r="G59" s="525"/>
      <c r="H59" s="161"/>
      <c r="I59" s="401">
        <f t="shared" si="17"/>
        <v>0</v>
      </c>
      <c r="J59" s="161"/>
      <c r="K59" s="161"/>
      <c r="L59" s="161"/>
      <c r="M59" s="401">
        <f t="shared" si="18"/>
        <v>0</v>
      </c>
      <c r="N59" s="161"/>
      <c r="O59" s="161"/>
      <c r="P59" s="161"/>
      <c r="Q59" s="401">
        <f t="shared" si="19"/>
        <v>0</v>
      </c>
      <c r="R59" s="401">
        <f>M59+I59+E59+Q59</f>
        <v>0</v>
      </c>
      <c r="S59" s="65"/>
    </row>
    <row r="60" spans="1:19" ht="14.4" thickTop="1" thickBot="1">
      <c r="A60" s="394" t="s">
        <v>108</v>
      </c>
      <c r="B60" s="161"/>
      <c r="C60" s="161"/>
      <c r="D60" s="161"/>
      <c r="E60" s="401">
        <f t="shared" si="16"/>
        <v>0</v>
      </c>
      <c r="F60" s="525"/>
      <c r="G60" s="525"/>
      <c r="H60" s="161"/>
      <c r="I60" s="401">
        <f t="shared" si="17"/>
        <v>0</v>
      </c>
      <c r="J60" s="161"/>
      <c r="K60" s="161"/>
      <c r="L60" s="161"/>
      <c r="M60" s="401">
        <f t="shared" si="18"/>
        <v>0</v>
      </c>
      <c r="N60" s="161"/>
      <c r="O60" s="161"/>
      <c r="P60" s="161"/>
      <c r="Q60" s="401">
        <f t="shared" si="19"/>
        <v>0</v>
      </c>
      <c r="R60" s="401">
        <f>M60+I60+E60+Q60</f>
        <v>0</v>
      </c>
      <c r="S60" s="65"/>
    </row>
    <row r="61" spans="1:19" ht="13.8" thickTop="1">
      <c r="A61" s="397" t="s">
        <v>109</v>
      </c>
      <c r="B61" s="166"/>
      <c r="C61" s="166"/>
      <c r="D61" s="166"/>
      <c r="E61" s="158"/>
      <c r="F61" s="528"/>
      <c r="G61" s="528"/>
      <c r="H61" s="205"/>
      <c r="I61" s="158"/>
      <c r="J61" s="166"/>
      <c r="K61" s="166"/>
      <c r="L61" s="166"/>
      <c r="M61" s="158"/>
      <c r="N61" s="166"/>
      <c r="O61" s="166"/>
      <c r="P61" s="166"/>
      <c r="Q61" s="158"/>
      <c r="R61" s="158"/>
      <c r="S61" s="65"/>
    </row>
    <row r="62" spans="1:19">
      <c r="A62" s="398" t="s">
        <v>110</v>
      </c>
      <c r="B62" s="167"/>
      <c r="C62" s="167"/>
      <c r="D62" s="167"/>
      <c r="E62" s="401">
        <f t="shared" ref="E62:E64" si="20">SUM(B62:D62)</f>
        <v>0</v>
      </c>
      <c r="F62" s="529"/>
      <c r="G62" s="529"/>
      <c r="H62" s="206"/>
      <c r="I62" s="401">
        <f t="shared" ref="I62:I64" si="21">SUM(F62:H62)</f>
        <v>0</v>
      </c>
      <c r="J62" s="167"/>
      <c r="K62" s="167"/>
      <c r="L62" s="167"/>
      <c r="M62" s="401">
        <f t="shared" ref="M62:M64" si="22">SUM(J62:L62)</f>
        <v>0</v>
      </c>
      <c r="N62" s="167"/>
      <c r="O62" s="167"/>
      <c r="P62" s="167"/>
      <c r="Q62" s="401">
        <f t="shared" ref="Q62:Q64" si="23">SUM(N62:P62)</f>
        <v>0</v>
      </c>
      <c r="R62" s="401">
        <f>M62+I62+E62+Q62</f>
        <v>0</v>
      </c>
      <c r="S62" s="65"/>
    </row>
    <row r="63" spans="1:19">
      <c r="A63" s="398" t="s">
        <v>111</v>
      </c>
      <c r="B63" s="167"/>
      <c r="C63" s="463"/>
      <c r="D63" s="465"/>
      <c r="E63" s="401">
        <f t="shared" si="20"/>
        <v>0</v>
      </c>
      <c r="F63" s="529"/>
      <c r="G63" s="529"/>
      <c r="H63" s="206"/>
      <c r="I63" s="401">
        <f t="shared" si="21"/>
        <v>0</v>
      </c>
      <c r="J63" s="167"/>
      <c r="K63" s="167"/>
      <c r="L63" s="167"/>
      <c r="M63" s="401">
        <f t="shared" si="22"/>
        <v>0</v>
      </c>
      <c r="N63" s="167"/>
      <c r="O63" s="167"/>
      <c r="P63" s="167"/>
      <c r="Q63" s="401">
        <f t="shared" si="23"/>
        <v>0</v>
      </c>
      <c r="R63" s="401">
        <f>M63+I63+E63+Q63</f>
        <v>0</v>
      </c>
      <c r="S63" s="65"/>
    </row>
    <row r="64" spans="1:19">
      <c r="A64" s="398" t="s">
        <v>112</v>
      </c>
      <c r="B64" s="167"/>
      <c r="C64" s="463"/>
      <c r="D64" s="465"/>
      <c r="E64" s="401">
        <f t="shared" si="20"/>
        <v>0</v>
      </c>
      <c r="F64" s="529"/>
      <c r="G64" s="529"/>
      <c r="H64" s="206"/>
      <c r="I64" s="401">
        <f t="shared" si="21"/>
        <v>0</v>
      </c>
      <c r="J64" s="167"/>
      <c r="K64" s="167"/>
      <c r="L64" s="167"/>
      <c r="M64" s="401">
        <f t="shared" si="22"/>
        <v>0</v>
      </c>
      <c r="N64" s="167"/>
      <c r="O64" s="167"/>
      <c r="P64" s="167"/>
      <c r="Q64" s="401">
        <f t="shared" si="23"/>
        <v>0</v>
      </c>
      <c r="R64" s="401">
        <f>M64+I64+E64+Q64</f>
        <v>0</v>
      </c>
      <c r="S64" s="65"/>
    </row>
    <row r="65" spans="1:19" ht="13.8" thickBot="1">
      <c r="A65" s="399" t="s">
        <v>113</v>
      </c>
      <c r="B65" s="414"/>
      <c r="C65" s="464"/>
      <c r="D65" s="466"/>
      <c r="E65" s="210"/>
      <c r="F65" s="530"/>
      <c r="G65" s="530"/>
      <c r="H65" s="420"/>
      <c r="I65" s="210"/>
      <c r="J65" s="414"/>
      <c r="K65" s="414"/>
      <c r="L65" s="414"/>
      <c r="M65" s="210"/>
      <c r="N65" s="414"/>
      <c r="O65" s="414"/>
      <c r="P65" s="414"/>
      <c r="Q65" s="210"/>
      <c r="R65" s="210"/>
      <c r="S65" s="65"/>
    </row>
    <row r="66" spans="1:19" ht="13.8" thickTop="1">
      <c r="A66"/>
      <c r="B66" s="65"/>
      <c r="C66" s="65"/>
      <c r="D66" s="164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</row>
  </sheetData>
  <mergeCells count="28"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</mergeCells>
  <phoneticPr fontId="209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6" customWidth="1"/>
    <col min="2" max="4" width="11.88671875" style="12" customWidth="1"/>
    <col min="5" max="5" width="11.44140625" style="142" customWidth="1"/>
    <col min="6" max="8" width="12.109375" style="12" customWidth="1"/>
    <col min="9" max="9" width="11.44140625" style="142" customWidth="1"/>
    <col min="10" max="12" width="12.88671875" style="12" customWidth="1"/>
    <col min="13" max="13" width="11.44140625" style="142" customWidth="1"/>
    <col min="14" max="16" width="12" style="12" customWidth="1"/>
    <col min="17" max="18" width="11.44140625" style="142" customWidth="1"/>
  </cols>
  <sheetData>
    <row r="1" spans="1:18">
      <c r="A1" s="31" t="s">
        <v>188</v>
      </c>
      <c r="B1" s="773" t="s">
        <v>190</v>
      </c>
      <c r="C1" s="758"/>
      <c r="D1" s="758"/>
      <c r="E1" s="758"/>
      <c r="F1" s="773" t="s">
        <v>191</v>
      </c>
      <c r="G1" s="758"/>
      <c r="H1" s="758"/>
      <c r="I1" s="758"/>
      <c r="J1" s="773" t="s">
        <v>192</v>
      </c>
      <c r="K1" s="806"/>
      <c r="L1" s="806"/>
      <c r="M1" s="807"/>
      <c r="N1" s="773" t="s">
        <v>189</v>
      </c>
      <c r="O1" s="806"/>
      <c r="P1" s="806"/>
      <c r="Q1" s="807"/>
      <c r="R1" s="177"/>
    </row>
    <row r="2" spans="1:18">
      <c r="A2" s="5" t="s">
        <v>0</v>
      </c>
      <c r="B2" s="50" t="s">
        <v>10</v>
      </c>
      <c r="C2" s="50" t="s">
        <v>11</v>
      </c>
      <c r="D2" s="50" t="s">
        <v>12</v>
      </c>
      <c r="E2" s="188" t="s">
        <v>128</v>
      </c>
      <c r="F2" s="50" t="s">
        <v>7</v>
      </c>
      <c r="G2" s="50" t="s">
        <v>8</v>
      </c>
      <c r="H2" s="50" t="s">
        <v>9</v>
      </c>
      <c r="I2" s="188" t="s">
        <v>127</v>
      </c>
      <c r="J2" s="50" t="s">
        <v>4</v>
      </c>
      <c r="K2" s="50" t="s">
        <v>5</v>
      </c>
      <c r="L2" s="50" t="s">
        <v>6</v>
      </c>
      <c r="M2" s="188" t="s">
        <v>126</v>
      </c>
      <c r="N2" s="50" t="s">
        <v>1</v>
      </c>
      <c r="O2" s="50" t="s">
        <v>2</v>
      </c>
      <c r="P2" s="50" t="s">
        <v>3</v>
      </c>
      <c r="Q2" s="188" t="s">
        <v>115</v>
      </c>
      <c r="R2" s="107" t="s">
        <v>129</v>
      </c>
    </row>
    <row r="3" spans="1:18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>
      <c r="A4" s="6" t="s">
        <v>36</v>
      </c>
      <c r="B4" s="92">
        <f>'Target 2021'!L6</f>
        <v>0</v>
      </c>
      <c r="C4" s="92">
        <f>'Target 2021'!M6</f>
        <v>0</v>
      </c>
      <c r="D4" s="92">
        <f>'Target 2021'!N6</f>
        <v>0</v>
      </c>
      <c r="E4" s="190">
        <f>SUM(B4:D4)</f>
        <v>0</v>
      </c>
      <c r="F4" s="92">
        <f>'Target 2021'!I6</f>
        <v>0</v>
      </c>
      <c r="G4" s="92">
        <f>'Target 2021'!J6</f>
        <v>0</v>
      </c>
      <c r="H4" s="92">
        <f>'Target 2021'!K6</f>
        <v>0</v>
      </c>
      <c r="I4" s="190">
        <f>SUM(F4:H4)</f>
        <v>0</v>
      </c>
      <c r="J4" s="92">
        <f>'Target 2021'!F6</f>
        <v>0</v>
      </c>
      <c r="K4" s="92">
        <f>'Target 2021'!G6</f>
        <v>0</v>
      </c>
      <c r="L4" s="92">
        <f>'Target 2021'!H6</f>
        <v>0</v>
      </c>
      <c r="M4" s="190"/>
      <c r="N4" s="92">
        <f>'Target 2021'!C6</f>
        <v>0</v>
      </c>
      <c r="O4" s="92">
        <f>'Target 2021'!D6</f>
        <v>0</v>
      </c>
      <c r="P4" s="92">
        <f>'Target 2021'!E6</f>
        <v>0</v>
      </c>
      <c r="Q4" s="190">
        <f>SUM(N4:P4)</f>
        <v>0</v>
      </c>
      <c r="R4" s="109">
        <f>Q4+M4+I4+E4</f>
        <v>0</v>
      </c>
    </row>
    <row r="5" spans="1:18">
      <c r="A5" s="7" t="s">
        <v>35</v>
      </c>
      <c r="B5" s="88">
        <f>B4</f>
        <v>0</v>
      </c>
      <c r="C5" s="88">
        <f>C4+B5</f>
        <v>0</v>
      </c>
      <c r="D5" s="88">
        <f>D4+C5</f>
        <v>0</v>
      </c>
      <c r="E5" s="191"/>
      <c r="F5" s="88">
        <f>F4</f>
        <v>0</v>
      </c>
      <c r="G5" s="88">
        <f>G4+F5</f>
        <v>0</v>
      </c>
      <c r="H5" s="88">
        <f>H4+G5</f>
        <v>0</v>
      </c>
      <c r="I5" s="191"/>
      <c r="J5" s="88">
        <f>J4</f>
        <v>0</v>
      </c>
      <c r="K5" s="88">
        <f>K4+J5</f>
        <v>0</v>
      </c>
      <c r="L5" s="88">
        <f>L4+K5</f>
        <v>0</v>
      </c>
      <c r="M5" s="191"/>
      <c r="N5" s="88">
        <f>N4</f>
        <v>0</v>
      </c>
      <c r="O5" s="88">
        <f>O4+N5</f>
        <v>0</v>
      </c>
      <c r="P5" s="88">
        <f>P4+O5</f>
        <v>0</v>
      </c>
      <c r="Q5" s="191"/>
      <c r="R5" s="111"/>
    </row>
    <row r="6" spans="1:18">
      <c r="A6" s="30" t="s">
        <v>37</v>
      </c>
      <c r="B6" s="28">
        <f>SUMIF(X!A:A,$A$1,X!I:I)</f>
        <v>0</v>
      </c>
      <c r="C6" s="28">
        <f>SUMIF(XI!A:A,$A$1,XI!I:I)</f>
        <v>0</v>
      </c>
      <c r="D6" s="28">
        <f>SUMIF(XII!A:A,$A$1,XII!I:I)</f>
        <v>0</v>
      </c>
      <c r="E6" s="190">
        <f>SUM(B6:D6)</f>
        <v>0</v>
      </c>
      <c r="F6" s="28">
        <f>SUMIF(VII!A:A,$A$1,VII!I:I)</f>
        <v>0</v>
      </c>
      <c r="G6" s="28">
        <f>SUMIF(VIII!A:A,$A$1,VIII!I:I)</f>
        <v>0</v>
      </c>
      <c r="H6" s="28">
        <f>SUMIF(IX!A:A,$A$1,IX!I:I)</f>
        <v>0</v>
      </c>
      <c r="I6" s="190">
        <f>SUM(F6:H6)</f>
        <v>0</v>
      </c>
      <c r="J6" s="28">
        <f>SUMIF(IV!A:A,$A$1,IV!I:I)</f>
        <v>0</v>
      </c>
      <c r="K6" s="28">
        <f>SUMIF(V!A:A,$A$1,V!I:I)</f>
        <v>0</v>
      </c>
      <c r="L6" s="28">
        <f>SUMIF(VI!A:A,$A$1,VI!I:I)</f>
        <v>0</v>
      </c>
      <c r="M6" s="190">
        <f>SUM(J6:L6)</f>
        <v>0</v>
      </c>
      <c r="N6" s="86">
        <f>SUMIF(I!A:A,$A$1,I!I:I)</f>
        <v>0</v>
      </c>
      <c r="O6" s="28">
        <f>SUMIF(II!A:A,$A$1,II!I:I)</f>
        <v>0</v>
      </c>
      <c r="P6" s="28">
        <f>SUMIF(III!A:A,$A$1,III!I:I)</f>
        <v>0</v>
      </c>
      <c r="Q6" s="190">
        <f>SUM(N6:P6)</f>
        <v>0</v>
      </c>
      <c r="R6" s="109">
        <f>Q6+M6+I6+E6</f>
        <v>0</v>
      </c>
    </row>
    <row r="7" spans="1:18">
      <c r="A7" s="7" t="s">
        <v>38</v>
      </c>
      <c r="B7" s="88">
        <f>B6</f>
        <v>0</v>
      </c>
      <c r="C7" s="88">
        <f>C6+B7</f>
        <v>0</v>
      </c>
      <c r="D7" s="88">
        <f>D6+C7</f>
        <v>0</v>
      </c>
      <c r="E7" s="191"/>
      <c r="F7" s="88">
        <f>F6</f>
        <v>0</v>
      </c>
      <c r="G7" s="88">
        <f>G6+F7</f>
        <v>0</v>
      </c>
      <c r="H7" s="88">
        <f>H6+G7</f>
        <v>0</v>
      </c>
      <c r="I7" s="191"/>
      <c r="J7" s="88">
        <f>J6</f>
        <v>0</v>
      </c>
      <c r="K7" s="88">
        <f>K6+J7</f>
        <v>0</v>
      </c>
      <c r="L7" s="88">
        <f>L6+K7</f>
        <v>0</v>
      </c>
      <c r="M7" s="191"/>
      <c r="N7" s="88">
        <f>N6</f>
        <v>0</v>
      </c>
      <c r="O7" s="88">
        <f>O6+N7</f>
        <v>0</v>
      </c>
      <c r="P7" s="88">
        <f>P6+O7</f>
        <v>0</v>
      </c>
      <c r="Q7" s="191"/>
      <c r="R7" s="111"/>
    </row>
    <row r="8" spans="1:18">
      <c r="A8" s="25" t="s">
        <v>39</v>
      </c>
      <c r="B8" s="93" t="e">
        <f t="shared" ref="B8:D9" si="0">B6/B4</f>
        <v>#DIV/0!</v>
      </c>
      <c r="C8" s="93" t="e">
        <f t="shared" si="0"/>
        <v>#DIV/0!</v>
      </c>
      <c r="D8" s="93" t="e">
        <f t="shared" si="0"/>
        <v>#DIV/0!</v>
      </c>
      <c r="E8" s="192"/>
      <c r="F8" s="93" t="e">
        <f t="shared" ref="F8:H9" si="1">F6/F4</f>
        <v>#DIV/0!</v>
      </c>
      <c r="G8" s="93" t="e">
        <f t="shared" si="1"/>
        <v>#DIV/0!</v>
      </c>
      <c r="H8" s="93" t="e">
        <f t="shared" si="1"/>
        <v>#DIV/0!</v>
      </c>
      <c r="I8" s="192"/>
      <c r="J8" s="93" t="e">
        <f t="shared" ref="J8:L9" si="2">J6/J4</f>
        <v>#DIV/0!</v>
      </c>
      <c r="K8" s="93" t="e">
        <f t="shared" si="2"/>
        <v>#DIV/0!</v>
      </c>
      <c r="L8" s="93" t="e">
        <f t="shared" si="2"/>
        <v>#DIV/0!</v>
      </c>
      <c r="M8" s="192"/>
      <c r="N8" s="93" t="e">
        <f t="shared" ref="N8:P9" si="3">N6/N4</f>
        <v>#DIV/0!</v>
      </c>
      <c r="O8" s="93" t="e">
        <f t="shared" si="3"/>
        <v>#DIV/0!</v>
      </c>
      <c r="P8" s="93" t="e">
        <f t="shared" si="3"/>
        <v>#DIV/0!</v>
      </c>
      <c r="Q8" s="192"/>
      <c r="R8" s="115"/>
    </row>
    <row r="9" spans="1:18">
      <c r="A9" s="25" t="s">
        <v>40</v>
      </c>
      <c r="B9" s="93" t="e">
        <f t="shared" si="0"/>
        <v>#DIV/0!</v>
      </c>
      <c r="C9" s="93" t="e">
        <f t="shared" si="0"/>
        <v>#DIV/0!</v>
      </c>
      <c r="D9" s="93" t="e">
        <f t="shared" si="0"/>
        <v>#DIV/0!</v>
      </c>
      <c r="E9" s="192"/>
      <c r="F9" s="93" t="e">
        <f>F7/F5</f>
        <v>#DIV/0!</v>
      </c>
      <c r="G9" s="93" t="e">
        <f t="shared" si="1"/>
        <v>#DIV/0!</v>
      </c>
      <c r="H9" s="93" t="e">
        <f t="shared" si="1"/>
        <v>#DIV/0!</v>
      </c>
      <c r="I9" s="192"/>
      <c r="J9" s="93" t="e">
        <f t="shared" si="2"/>
        <v>#DIV/0!</v>
      </c>
      <c r="K9" s="93" t="e">
        <f>K7/K5</f>
        <v>#DIV/0!</v>
      </c>
      <c r="L9" s="93" t="e">
        <f t="shared" si="2"/>
        <v>#DIV/0!</v>
      </c>
      <c r="M9" s="192"/>
      <c r="N9" s="93" t="e">
        <f t="shared" si="3"/>
        <v>#DIV/0!</v>
      </c>
      <c r="O9" s="93" t="e">
        <f t="shared" si="3"/>
        <v>#DIV/0!</v>
      </c>
      <c r="P9" s="93" t="e">
        <f t="shared" si="3"/>
        <v>#DIV/0!</v>
      </c>
      <c r="Q9" s="192"/>
      <c r="R9" s="116"/>
    </row>
    <row r="10" spans="1:18">
      <c r="A10" s="7" t="s">
        <v>48</v>
      </c>
      <c r="B10" s="94">
        <f>B7-B5</f>
        <v>0</v>
      </c>
      <c r="C10" s="94">
        <f>C7-C5</f>
        <v>0</v>
      </c>
      <c r="D10" s="94">
        <f>D7-D5</f>
        <v>0</v>
      </c>
      <c r="E10" s="191"/>
      <c r="F10" s="94">
        <f>F7-F5</f>
        <v>0</v>
      </c>
      <c r="G10" s="94">
        <f>G7-G5</f>
        <v>0</v>
      </c>
      <c r="H10" s="94">
        <f>H7-H5</f>
        <v>0</v>
      </c>
      <c r="I10" s="191"/>
      <c r="J10" s="94">
        <f>J7-J5</f>
        <v>0</v>
      </c>
      <c r="K10" s="94">
        <f>K7-K5</f>
        <v>0</v>
      </c>
      <c r="L10" s="94">
        <f>L7-L5</f>
        <v>0</v>
      </c>
      <c r="M10" s="191"/>
      <c r="N10" s="94">
        <f>N7-N5</f>
        <v>0</v>
      </c>
      <c r="O10" s="94">
        <f>O7-O5</f>
        <v>0</v>
      </c>
      <c r="P10" s="94">
        <f>P7-P5</f>
        <v>0</v>
      </c>
      <c r="Q10" s="191"/>
      <c r="R10" s="111"/>
    </row>
    <row r="11" spans="1:18">
      <c r="A11" s="6" t="s">
        <v>41</v>
      </c>
      <c r="B11" s="92">
        <f>'Target 2021'!L16</f>
        <v>0</v>
      </c>
      <c r="C11" s="92">
        <f>'Target 2021'!M16</f>
        <v>0</v>
      </c>
      <c r="D11" s="92">
        <f>'Target 2021'!N16</f>
        <v>0</v>
      </c>
      <c r="E11" s="190">
        <f>SUM(B11:D11)</f>
        <v>0</v>
      </c>
      <c r="F11" s="92">
        <f>'Target 2021'!I16</f>
        <v>0</v>
      </c>
      <c r="G11" s="92">
        <f>'Target 2021'!J16</f>
        <v>0</v>
      </c>
      <c r="H11" s="92">
        <f>'Target 2021'!K16</f>
        <v>0</v>
      </c>
      <c r="I11" s="190">
        <f>SUM(F11:H11)</f>
        <v>0</v>
      </c>
      <c r="J11" s="92"/>
      <c r="K11" s="92">
        <f>'Target 2021'!K15</f>
        <v>0</v>
      </c>
      <c r="L11" s="92">
        <f>'Target 2021'!L15</f>
        <v>0</v>
      </c>
      <c r="M11" s="190">
        <f>SUM(J11:L11)</f>
        <v>0</v>
      </c>
      <c r="N11" s="92">
        <f>'Target 2021'!C16</f>
        <v>0</v>
      </c>
      <c r="O11" s="92">
        <f>'Target 2021'!D16</f>
        <v>0</v>
      </c>
      <c r="P11" s="92">
        <f>'Target 2021'!E16</f>
        <v>0</v>
      </c>
      <c r="Q11" s="190">
        <f>SUM(N11:P11)</f>
        <v>0</v>
      </c>
      <c r="R11" s="109">
        <f>Q11+M11+I11+E11</f>
        <v>0</v>
      </c>
    </row>
    <row r="12" spans="1:18">
      <c r="A12" s="7" t="s">
        <v>42</v>
      </c>
      <c r="B12" s="88">
        <f>B11</f>
        <v>0</v>
      </c>
      <c r="C12" s="88">
        <f>C11+B12</f>
        <v>0</v>
      </c>
      <c r="D12" s="88">
        <f>D11+C12</f>
        <v>0</v>
      </c>
      <c r="E12" s="191"/>
      <c r="F12" s="88">
        <f>F11</f>
        <v>0</v>
      </c>
      <c r="G12" s="88">
        <f>G11+F12</f>
        <v>0</v>
      </c>
      <c r="H12" s="88">
        <f>H11+G12</f>
        <v>0</v>
      </c>
      <c r="I12" s="191"/>
      <c r="J12" s="88">
        <f>J11</f>
        <v>0</v>
      </c>
      <c r="K12" s="88">
        <f>K11+J12</f>
        <v>0</v>
      </c>
      <c r="L12" s="88">
        <f>L11+K12</f>
        <v>0</v>
      </c>
      <c r="M12" s="191"/>
      <c r="N12" s="88">
        <f>N11</f>
        <v>0</v>
      </c>
      <c r="O12" s="88">
        <f>O11+N12</f>
        <v>0</v>
      </c>
      <c r="P12" s="88">
        <f>P11+O12</f>
        <v>0</v>
      </c>
      <c r="Q12" s="191"/>
      <c r="R12" s="111"/>
    </row>
    <row r="13" spans="1:18">
      <c r="A13" s="30" t="s">
        <v>43</v>
      </c>
      <c r="B13" s="28">
        <f>SUMIF(X!A:A,$A$1,X!G:G)</f>
        <v>0</v>
      </c>
      <c r="C13" s="28">
        <f>SUMIF(XI!A:A,$A$1,XI!G:G)</f>
        <v>0</v>
      </c>
      <c r="D13" s="28">
        <f>SUMIF(XII!A:A,$A$1,XII!G:G)</f>
        <v>0</v>
      </c>
      <c r="E13" s="190">
        <f>SUM(B13:D13)</f>
        <v>0</v>
      </c>
      <c r="F13" s="28">
        <f>SUMIF(VII!A:A,$A$1,VII!G:G)</f>
        <v>0</v>
      </c>
      <c r="G13" s="28">
        <f>SUMIF(VIII!A:A,$A$1,VIII!G:G)</f>
        <v>0</v>
      </c>
      <c r="H13" s="28">
        <f>SUMIF(IX!A:A,$A$1,IX!G:G)</f>
        <v>0</v>
      </c>
      <c r="I13" s="190">
        <f>SUM(F13:H13)</f>
        <v>0</v>
      </c>
      <c r="J13" s="28">
        <f>SUMIF(IV!A:A,$A$1,IV!G:G)</f>
        <v>0</v>
      </c>
      <c r="K13" s="28">
        <f>SUMIF(V!A:A,$A$1,V!G:G)</f>
        <v>0</v>
      </c>
      <c r="L13" s="28">
        <f>SUMIF(VI!A:A,$A$1,VI!G:G)</f>
        <v>0</v>
      </c>
      <c r="M13" s="190">
        <f>SUM(J13:L13)</f>
        <v>0</v>
      </c>
      <c r="N13" s="86">
        <f>SUMIF(I!A:A,$A$1,I!G:G)</f>
        <v>0</v>
      </c>
      <c r="O13" s="28">
        <f>SUMIF(II!A:A,$A$1,II!G:G)</f>
        <v>0</v>
      </c>
      <c r="P13" s="28">
        <f>SUMIF(III!A:A,$A$1,III!G:G)</f>
        <v>0</v>
      </c>
      <c r="Q13" s="190">
        <f>SUM(N13:P13)</f>
        <v>0</v>
      </c>
      <c r="R13" s="109">
        <f>Q13+M13+I13+E13</f>
        <v>0</v>
      </c>
    </row>
    <row r="14" spans="1:18">
      <c r="A14" s="7" t="s">
        <v>44</v>
      </c>
      <c r="B14" s="88">
        <f>B13</f>
        <v>0</v>
      </c>
      <c r="C14" s="88">
        <f>C13+B14</f>
        <v>0</v>
      </c>
      <c r="D14" s="88">
        <f>D13+C14</f>
        <v>0</v>
      </c>
      <c r="E14" s="191"/>
      <c r="F14" s="88">
        <f>F13</f>
        <v>0</v>
      </c>
      <c r="G14" s="88">
        <f>G13+F14</f>
        <v>0</v>
      </c>
      <c r="H14" s="88">
        <f>H13+G14</f>
        <v>0</v>
      </c>
      <c r="I14" s="191"/>
      <c r="J14" s="88">
        <f>J13</f>
        <v>0</v>
      </c>
      <c r="K14" s="88">
        <f>K13+J14</f>
        <v>0</v>
      </c>
      <c r="L14" s="88">
        <f>L13+K14</f>
        <v>0</v>
      </c>
      <c r="M14" s="191"/>
      <c r="N14" s="88">
        <f>N13</f>
        <v>0</v>
      </c>
      <c r="O14" s="88">
        <f>O13+N14</f>
        <v>0</v>
      </c>
      <c r="P14" s="88">
        <f>P13+O14</f>
        <v>0</v>
      </c>
      <c r="Q14" s="191"/>
      <c r="R14" s="111"/>
    </row>
    <row r="15" spans="1:18">
      <c r="A15" s="25" t="s">
        <v>45</v>
      </c>
      <c r="B15" s="26" t="e">
        <f t="shared" ref="B15:D16" si="4">B13/B11</f>
        <v>#DIV/0!</v>
      </c>
      <c r="C15" s="26" t="e">
        <f t="shared" si="4"/>
        <v>#DIV/0!</v>
      </c>
      <c r="D15" s="26" t="e">
        <f t="shared" si="4"/>
        <v>#DIV/0!</v>
      </c>
      <c r="E15" s="192"/>
      <c r="F15" s="26" t="e">
        <f t="shared" ref="F15:H16" si="5">F13/F11</f>
        <v>#DIV/0!</v>
      </c>
      <c r="G15" s="26" t="e">
        <f t="shared" si="5"/>
        <v>#DIV/0!</v>
      </c>
      <c r="H15" s="26" t="e">
        <f t="shared" si="5"/>
        <v>#DIV/0!</v>
      </c>
      <c r="I15" s="192"/>
      <c r="J15" s="26" t="e">
        <f t="shared" ref="J15:L16" si="6">J13/J11</f>
        <v>#DIV/0!</v>
      </c>
      <c r="K15" s="26" t="e">
        <f t="shared" si="6"/>
        <v>#DIV/0!</v>
      </c>
      <c r="L15" s="26" t="e">
        <f t="shared" si="6"/>
        <v>#DIV/0!</v>
      </c>
      <c r="M15" s="192"/>
      <c r="N15" s="26" t="e">
        <f t="shared" ref="N15:P16" si="7">N13/N11</f>
        <v>#DIV/0!</v>
      </c>
      <c r="O15" s="26" t="e">
        <f t="shared" si="7"/>
        <v>#DIV/0!</v>
      </c>
      <c r="P15" s="26" t="e">
        <f t="shared" si="7"/>
        <v>#DIV/0!</v>
      </c>
      <c r="Q15" s="192"/>
      <c r="R15" s="115"/>
    </row>
    <row r="16" spans="1:18">
      <c r="A16" s="25" t="s">
        <v>46</v>
      </c>
      <c r="B16" s="26" t="e">
        <f t="shared" si="4"/>
        <v>#DIV/0!</v>
      </c>
      <c r="C16" s="26" t="e">
        <f t="shared" si="4"/>
        <v>#DIV/0!</v>
      </c>
      <c r="D16" s="26" t="e">
        <f t="shared" si="4"/>
        <v>#DIV/0!</v>
      </c>
      <c r="E16" s="192"/>
      <c r="F16" s="26" t="e">
        <f t="shared" si="5"/>
        <v>#DIV/0!</v>
      </c>
      <c r="G16" s="26" t="e">
        <f t="shared" si="5"/>
        <v>#DIV/0!</v>
      </c>
      <c r="H16" s="26" t="e">
        <f t="shared" si="5"/>
        <v>#DIV/0!</v>
      </c>
      <c r="I16" s="192"/>
      <c r="J16" s="26" t="e">
        <f t="shared" si="6"/>
        <v>#DIV/0!</v>
      </c>
      <c r="K16" s="26" t="e">
        <f>K14/K12</f>
        <v>#DIV/0!</v>
      </c>
      <c r="L16" s="26" t="e">
        <f t="shared" si="6"/>
        <v>#DIV/0!</v>
      </c>
      <c r="M16" s="192"/>
      <c r="N16" s="26" t="e">
        <f t="shared" si="7"/>
        <v>#DIV/0!</v>
      </c>
      <c r="O16" s="26" t="e">
        <f t="shared" si="7"/>
        <v>#DIV/0!</v>
      </c>
      <c r="P16" s="26" t="e">
        <f t="shared" si="7"/>
        <v>#DIV/0!</v>
      </c>
      <c r="Q16" s="192"/>
      <c r="R16" s="116"/>
    </row>
    <row r="17" spans="1:18">
      <c r="A17" s="7" t="s">
        <v>47</v>
      </c>
      <c r="B17" s="24">
        <f>B14-B12</f>
        <v>0</v>
      </c>
      <c r="C17" s="24">
        <f>C14-C12</f>
        <v>0</v>
      </c>
      <c r="D17" s="24">
        <f>D14-D12</f>
        <v>0</v>
      </c>
      <c r="E17" s="191"/>
      <c r="F17" s="24">
        <f>F14-F12</f>
        <v>0</v>
      </c>
      <c r="G17" s="24">
        <f>G14-G12</f>
        <v>0</v>
      </c>
      <c r="H17" s="24">
        <f>H14-H12</f>
        <v>0</v>
      </c>
      <c r="I17" s="191"/>
      <c r="J17" s="24">
        <f>J14-J12</f>
        <v>0</v>
      </c>
      <c r="K17" s="24">
        <f>K14-K12</f>
        <v>0</v>
      </c>
      <c r="L17" s="24">
        <f>L14-L12</f>
        <v>0</v>
      </c>
      <c r="M17" s="191"/>
      <c r="N17" s="24">
        <f>N14-N12</f>
        <v>0</v>
      </c>
      <c r="O17" s="24">
        <f>O14-O12</f>
        <v>0</v>
      </c>
      <c r="P17" s="24">
        <f>P14-P12</f>
        <v>0</v>
      </c>
      <c r="Q17" s="191"/>
      <c r="R17" s="117"/>
    </row>
    <row r="18" spans="1:18">
      <c r="A18" s="10" t="s">
        <v>32</v>
      </c>
      <c r="B18" s="11" t="e">
        <f t="shared" ref="B18:D19" si="8">B6/B13</f>
        <v>#DIV/0!</v>
      </c>
      <c r="C18" s="11" t="e">
        <f>C6/C13</f>
        <v>#DIV/0!</v>
      </c>
      <c r="D18" s="11" t="e">
        <f t="shared" si="8"/>
        <v>#DIV/0!</v>
      </c>
      <c r="E18" s="193"/>
      <c r="F18" s="11" t="e">
        <f t="shared" ref="F18:H19" si="9">F6/F13</f>
        <v>#DIV/0!</v>
      </c>
      <c r="G18" s="11" t="e">
        <f t="shared" si="9"/>
        <v>#DIV/0!</v>
      </c>
      <c r="H18" s="11" t="e">
        <f t="shared" si="9"/>
        <v>#DIV/0!</v>
      </c>
      <c r="I18" s="193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193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193"/>
      <c r="R18" s="119"/>
    </row>
    <row r="19" spans="1:18">
      <c r="A19" s="10" t="s">
        <v>33</v>
      </c>
      <c r="B19" s="11" t="e">
        <f t="shared" si="8"/>
        <v>#DIV/0!</v>
      </c>
      <c r="C19" s="11" t="e">
        <f t="shared" si="8"/>
        <v>#DIV/0!</v>
      </c>
      <c r="D19" s="11" t="e">
        <f t="shared" si="8"/>
        <v>#DIV/0!</v>
      </c>
      <c r="E19" s="193"/>
      <c r="F19" s="11" t="e">
        <f t="shared" si="9"/>
        <v>#DIV/0!</v>
      </c>
      <c r="G19" s="11" t="e">
        <f t="shared" si="9"/>
        <v>#DIV/0!</v>
      </c>
      <c r="H19" s="11" t="e">
        <f t="shared" si="9"/>
        <v>#DIV/0!</v>
      </c>
      <c r="I19" s="193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193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193"/>
      <c r="R19" s="119"/>
    </row>
    <row r="20" spans="1:18">
      <c r="A20" s="67"/>
      <c r="B20" s="97"/>
      <c r="C20" s="97"/>
      <c r="D20" s="97"/>
      <c r="E20" s="194"/>
      <c r="F20" s="97"/>
      <c r="G20" s="97"/>
      <c r="H20" s="97"/>
      <c r="I20" s="194"/>
      <c r="J20" s="97"/>
      <c r="K20" s="97"/>
      <c r="L20" s="97"/>
      <c r="M20" s="194"/>
      <c r="N20" s="67"/>
      <c r="O20" s="97"/>
      <c r="P20" s="97"/>
      <c r="Q20" s="194"/>
      <c r="R20" s="120"/>
    </row>
    <row r="21" spans="1:18" ht="15.6">
      <c r="A21" s="52"/>
      <c r="B21" s="366"/>
      <c r="C21" s="366"/>
      <c r="D21" s="366"/>
      <c r="E21" s="195"/>
      <c r="F21" s="366"/>
      <c r="G21" s="366"/>
      <c r="H21" s="366"/>
      <c r="I21" s="195"/>
      <c r="J21" s="366"/>
      <c r="K21" s="366"/>
      <c r="L21" s="96"/>
      <c r="M21" s="195"/>
      <c r="N21" s="365" t="s">
        <v>26</v>
      </c>
      <c r="O21" s="366"/>
      <c r="P21" s="366"/>
      <c r="Q21" s="366"/>
      <c r="R21" s="124"/>
    </row>
    <row r="22" spans="1:18" ht="15.6">
      <c r="A22" s="69" t="s">
        <v>76</v>
      </c>
      <c r="B22" s="73">
        <v>0</v>
      </c>
      <c r="C22" s="73">
        <v>0</v>
      </c>
      <c r="D22" s="73">
        <v>0</v>
      </c>
      <c r="E22" s="196"/>
      <c r="F22" s="73">
        <v>0</v>
      </c>
      <c r="G22" s="73">
        <v>0</v>
      </c>
      <c r="H22" s="73">
        <v>0</v>
      </c>
      <c r="I22" s="196"/>
      <c r="J22" s="73">
        <v>0</v>
      </c>
      <c r="K22" s="73">
        <v>0</v>
      </c>
      <c r="L22" s="73">
        <v>0</v>
      </c>
      <c r="M22" s="196"/>
      <c r="N22" s="73">
        <v>0</v>
      </c>
      <c r="O22" s="73">
        <v>0</v>
      </c>
      <c r="P22" s="73">
        <v>0</v>
      </c>
      <c r="Q22" s="196"/>
      <c r="R22" s="124"/>
    </row>
    <row r="23" spans="1:18">
      <c r="A23" s="19" t="s">
        <v>50</v>
      </c>
      <c r="B23" s="74">
        <f>B5</f>
        <v>0</v>
      </c>
      <c r="C23" s="74">
        <f>C5</f>
        <v>0</v>
      </c>
      <c r="D23" s="74">
        <f>D5</f>
        <v>0</v>
      </c>
      <c r="E23" s="197"/>
      <c r="F23" s="74">
        <f>F5</f>
        <v>0</v>
      </c>
      <c r="G23" s="74">
        <f>G5</f>
        <v>0</v>
      </c>
      <c r="H23" s="74">
        <f>H5</f>
        <v>0</v>
      </c>
      <c r="I23" s="197"/>
      <c r="J23" s="74">
        <f>J5</f>
        <v>0</v>
      </c>
      <c r="K23" s="74">
        <f>K5</f>
        <v>0</v>
      </c>
      <c r="L23" s="74">
        <f>L5</f>
        <v>0</v>
      </c>
      <c r="M23" s="197"/>
      <c r="N23" s="74">
        <f>N5</f>
        <v>0</v>
      </c>
      <c r="O23" s="74">
        <f>O5</f>
        <v>0</v>
      </c>
      <c r="P23" s="74">
        <f>P5</f>
        <v>0</v>
      </c>
      <c r="Q23" s="197"/>
      <c r="R23" s="126"/>
    </row>
    <row r="24" spans="1:18">
      <c r="A24" s="39" t="s">
        <v>51</v>
      </c>
      <c r="B24" s="51">
        <f>B7</f>
        <v>0</v>
      </c>
      <c r="C24" s="51">
        <f>C7</f>
        <v>0</v>
      </c>
      <c r="D24" s="51">
        <f>D7</f>
        <v>0</v>
      </c>
      <c r="E24" s="198"/>
      <c r="F24" s="51">
        <f>F7</f>
        <v>0</v>
      </c>
      <c r="G24" s="51">
        <f>G7</f>
        <v>0</v>
      </c>
      <c r="H24" s="51">
        <f>H7</f>
        <v>0</v>
      </c>
      <c r="I24" s="198"/>
      <c r="J24" s="51">
        <f>J7</f>
        <v>0</v>
      </c>
      <c r="K24" s="51">
        <f>K7</f>
        <v>0</v>
      </c>
      <c r="L24" s="51">
        <f>L7</f>
        <v>0</v>
      </c>
      <c r="M24" s="198"/>
      <c r="N24" s="51">
        <f>N7</f>
        <v>0</v>
      </c>
      <c r="O24" s="51">
        <f>O7</f>
        <v>0</v>
      </c>
      <c r="P24" s="51">
        <f>P7</f>
        <v>0</v>
      </c>
      <c r="Q24" s="198"/>
      <c r="R24" s="126"/>
    </row>
    <row r="25" spans="1:18">
      <c r="A25" s="39" t="s">
        <v>52</v>
      </c>
      <c r="B25" s="90" t="e">
        <f>B24/B23</f>
        <v>#DIV/0!</v>
      </c>
      <c r="C25" s="90" t="e">
        <f>C24/C23</f>
        <v>#DIV/0!</v>
      </c>
      <c r="D25" s="90" t="e">
        <f>D24/D23</f>
        <v>#DIV/0!</v>
      </c>
      <c r="E25" s="199"/>
      <c r="F25" s="90" t="e">
        <f>F24/F23</f>
        <v>#DIV/0!</v>
      </c>
      <c r="G25" s="90" t="e">
        <f>G24/G23</f>
        <v>#DIV/0!</v>
      </c>
      <c r="H25" s="90" t="e">
        <f>H24/H23</f>
        <v>#DIV/0!</v>
      </c>
      <c r="I25" s="199"/>
      <c r="J25" s="90" t="e">
        <f>J24/J23</f>
        <v>#DIV/0!</v>
      </c>
      <c r="K25" s="90" t="e">
        <f>K24/K23</f>
        <v>#DIV/0!</v>
      </c>
      <c r="L25" s="90" t="e">
        <f>L24/L23</f>
        <v>#DIV/0!</v>
      </c>
      <c r="M25" s="199"/>
      <c r="N25" s="90" t="e">
        <f>N24/N23</f>
        <v>#DIV/0!</v>
      </c>
      <c r="O25" s="90" t="e">
        <f>O24/O23</f>
        <v>#DIV/0!</v>
      </c>
      <c r="P25" s="90" t="e">
        <f>P24/P23</f>
        <v>#DIV/0!</v>
      </c>
      <c r="Q25" s="199"/>
      <c r="R25" s="126"/>
    </row>
    <row r="26" spans="1:18">
      <c r="A26" s="38" t="s">
        <v>60</v>
      </c>
      <c r="B26" s="54">
        <f>B22*0.2</f>
        <v>0</v>
      </c>
      <c r="C26" s="54">
        <f>C22*0.2</f>
        <v>0</v>
      </c>
      <c r="D26" s="54">
        <f>D22*0.2</f>
        <v>0</v>
      </c>
      <c r="E26" s="200"/>
      <c r="F26" s="54">
        <f>F22*0.2</f>
        <v>0</v>
      </c>
      <c r="G26" s="54">
        <f>G22*0.2</f>
        <v>0</v>
      </c>
      <c r="H26" s="54">
        <f>H22*0.2</f>
        <v>0</v>
      </c>
      <c r="I26" s="200"/>
      <c r="J26" s="54">
        <f>J22*0.2</f>
        <v>0</v>
      </c>
      <c r="K26" s="54">
        <f>K22*0.2</f>
        <v>0</v>
      </c>
      <c r="L26" s="54">
        <f>L22*0.2</f>
        <v>0</v>
      </c>
      <c r="M26" s="200"/>
      <c r="N26" s="54">
        <f>N22*0.2</f>
        <v>0</v>
      </c>
      <c r="O26" s="54">
        <f>O22*0.2</f>
        <v>0</v>
      </c>
      <c r="P26" s="54">
        <f>P22*0.2</f>
        <v>0</v>
      </c>
      <c r="Q26" s="200"/>
      <c r="R26" s="129"/>
    </row>
    <row r="27" spans="1:18">
      <c r="A27" s="39" t="s">
        <v>53</v>
      </c>
      <c r="B27" s="77" t="e">
        <f>IF(B25&lt;80%,0,IF(B25&lt;90%,0.5,IF(B25&lt;95%,0.75,1)))</f>
        <v>#DIV/0!</v>
      </c>
      <c r="C27" s="77" t="e">
        <f>IF(C25&lt;80%,0,IF(C25&lt;90%,0.5,IF(C25&lt;95%,0.75,1)))</f>
        <v>#DIV/0!</v>
      </c>
      <c r="D27" s="77" t="e">
        <f>IF(D25&lt;80%,0,IF(D25&lt;90%,0.5,IF(D25&lt;95%,0.75,1)))</f>
        <v>#DIV/0!</v>
      </c>
      <c r="E27" s="198"/>
      <c r="F27" s="77" t="e">
        <f>IF(F25&lt;80%,0,IF(F25&lt;90%,0.5,IF(F25&lt;95%,0.75,1)))</f>
        <v>#DIV/0!</v>
      </c>
      <c r="G27" s="77" t="e">
        <f>IF(G25&lt;80%,0,IF(G25&lt;90%,0.5,IF(G25&lt;95%,0.75,1)))</f>
        <v>#DIV/0!</v>
      </c>
      <c r="H27" s="77" t="e">
        <f>IF(H25&lt;80%,0,IF(H25&lt;90%,0.5,IF(H25&lt;95%,0.75,1)))</f>
        <v>#DIV/0!</v>
      </c>
      <c r="I27" s="198"/>
      <c r="J27" s="77" t="e">
        <f>IF(J25&lt;80%,0,IF(J25&lt;90%,0.5,IF(J25&lt;95%,0.75,1)))</f>
        <v>#DIV/0!</v>
      </c>
      <c r="K27" s="77" t="e">
        <f>IF(K25&lt;80%,0,IF(K25&lt;90%,0.5,IF(K25&lt;95%,0.75,1)))</f>
        <v>#DIV/0!</v>
      </c>
      <c r="L27" s="77" t="e">
        <f>IF(L25&lt;80%,0,IF(L25&lt;90%,0.5,IF(L25&lt;95%,0.75,1)))</f>
        <v>#DIV/0!</v>
      </c>
      <c r="M27" s="198"/>
      <c r="N27" s="77" t="e">
        <f>IF(N25&lt;80%,0,IF(N25&lt;90%,0.5,IF(N25&lt;95%,0.75,1)))</f>
        <v>#DIV/0!</v>
      </c>
      <c r="O27" s="77" t="e">
        <f>IF(O25&lt;80%,0,IF(O25&lt;90%,0.5,IF(O25&lt;95%,0.75,1)))</f>
        <v>#DIV/0!</v>
      </c>
      <c r="P27" s="77" t="e">
        <f>IF(P25&lt;80%,0,IF(P25&lt;90%,0.5,IF(P25&lt;95%,0.75,1)))</f>
        <v>#DIV/0!</v>
      </c>
      <c r="Q27" s="198"/>
      <c r="R27" s="126"/>
    </row>
    <row r="28" spans="1:18">
      <c r="A28" s="55" t="s">
        <v>54</v>
      </c>
      <c r="B28" s="72" t="e">
        <f>B27*B26</f>
        <v>#DIV/0!</v>
      </c>
      <c r="C28" s="72" t="e">
        <f>C27*C26</f>
        <v>#DIV/0!</v>
      </c>
      <c r="D28" s="72" t="e">
        <f>D27*D26</f>
        <v>#DIV/0!</v>
      </c>
      <c r="E28" s="201"/>
      <c r="F28" s="72" t="e">
        <f>F27*F26</f>
        <v>#DIV/0!</v>
      </c>
      <c r="G28" s="72" t="e">
        <f>G27*G26</f>
        <v>#DIV/0!</v>
      </c>
      <c r="H28" s="72" t="e">
        <f>H27*H26</f>
        <v>#DIV/0!</v>
      </c>
      <c r="I28" s="201"/>
      <c r="J28" s="72" t="e">
        <f>J27*J26</f>
        <v>#DIV/0!</v>
      </c>
      <c r="K28" s="72" t="e">
        <f>K27*K26</f>
        <v>#DIV/0!</v>
      </c>
      <c r="L28" s="72" t="e">
        <f>L27*L26</f>
        <v>#DIV/0!</v>
      </c>
      <c r="M28" s="201"/>
      <c r="N28" s="72" t="e">
        <f>N27*N26</f>
        <v>#DIV/0!</v>
      </c>
      <c r="O28" s="72" t="e">
        <f>O27*O26</f>
        <v>#DIV/0!</v>
      </c>
      <c r="P28" s="72" t="e">
        <f>P27*P26</f>
        <v>#DIV/0!</v>
      </c>
      <c r="Q28" s="201"/>
      <c r="R28" s="130"/>
    </row>
    <row r="29" spans="1:18">
      <c r="A29" s="19" t="s">
        <v>49</v>
      </c>
      <c r="B29" s="41">
        <f>B12</f>
        <v>0</v>
      </c>
      <c r="C29" s="41">
        <f>C12</f>
        <v>0</v>
      </c>
      <c r="D29" s="41">
        <f>D12</f>
        <v>0</v>
      </c>
      <c r="E29" s="197"/>
      <c r="F29" s="41">
        <f>F12</f>
        <v>0</v>
      </c>
      <c r="G29" s="41">
        <f>G12</f>
        <v>0</v>
      </c>
      <c r="H29" s="41">
        <f>H12</f>
        <v>0</v>
      </c>
      <c r="I29" s="197"/>
      <c r="J29" s="41">
        <f>J12</f>
        <v>0</v>
      </c>
      <c r="K29" s="41">
        <f>K12</f>
        <v>0</v>
      </c>
      <c r="L29" s="41">
        <f>L12</f>
        <v>0</v>
      </c>
      <c r="M29" s="197"/>
      <c r="N29" s="41">
        <f>N12</f>
        <v>0</v>
      </c>
      <c r="O29" s="41">
        <f>O12</f>
        <v>0</v>
      </c>
      <c r="P29" s="41">
        <f>P12</f>
        <v>0</v>
      </c>
      <c r="Q29" s="197"/>
      <c r="R29" s="126"/>
    </row>
    <row r="30" spans="1:18">
      <c r="A30" s="39" t="s">
        <v>55</v>
      </c>
      <c r="B30" s="40">
        <f>B14</f>
        <v>0</v>
      </c>
      <c r="C30" s="40">
        <f>C14</f>
        <v>0</v>
      </c>
      <c r="D30" s="40">
        <f>D14</f>
        <v>0</v>
      </c>
      <c r="E30" s="198"/>
      <c r="F30" s="40">
        <f>F14</f>
        <v>0</v>
      </c>
      <c r="G30" s="40">
        <f>G14</f>
        <v>0</v>
      </c>
      <c r="H30" s="40">
        <f>H14</f>
        <v>0</v>
      </c>
      <c r="I30" s="198"/>
      <c r="J30" s="40">
        <f>J14</f>
        <v>0</v>
      </c>
      <c r="K30" s="40">
        <f>K14</f>
        <v>0</v>
      </c>
      <c r="L30" s="40">
        <f>L14</f>
        <v>0</v>
      </c>
      <c r="M30" s="198"/>
      <c r="N30" s="40">
        <f>N14</f>
        <v>0</v>
      </c>
      <c r="O30" s="40">
        <f>O14</f>
        <v>0</v>
      </c>
      <c r="P30" s="40">
        <f>P14</f>
        <v>0</v>
      </c>
      <c r="Q30" s="198"/>
      <c r="R30" s="126"/>
    </row>
    <row r="31" spans="1:18">
      <c r="A31" s="39" t="s">
        <v>56</v>
      </c>
      <c r="B31" s="90" t="e">
        <f>B30/B29</f>
        <v>#DIV/0!</v>
      </c>
      <c r="C31" s="90" t="e">
        <f>C30/C29</f>
        <v>#DIV/0!</v>
      </c>
      <c r="D31" s="90" t="e">
        <f>D30/D29</f>
        <v>#DIV/0!</v>
      </c>
      <c r="E31" s="199"/>
      <c r="F31" s="90" t="e">
        <f>F30/F29</f>
        <v>#DIV/0!</v>
      </c>
      <c r="G31" s="90" t="e">
        <f>G30/G29</f>
        <v>#DIV/0!</v>
      </c>
      <c r="H31" s="90" t="e">
        <f>H30/H29</f>
        <v>#DIV/0!</v>
      </c>
      <c r="I31" s="199"/>
      <c r="J31" s="90" t="e">
        <f>J30/J29</f>
        <v>#DIV/0!</v>
      </c>
      <c r="K31" s="90" t="e">
        <f>K30/K29</f>
        <v>#DIV/0!</v>
      </c>
      <c r="L31" s="90" t="e">
        <f>L30/L29</f>
        <v>#DIV/0!</v>
      </c>
      <c r="M31" s="199"/>
      <c r="N31" s="90" t="e">
        <f>N30/N29</f>
        <v>#DIV/0!</v>
      </c>
      <c r="O31" s="90" t="e">
        <f>O30/O29</f>
        <v>#DIV/0!</v>
      </c>
      <c r="P31" s="90" t="e">
        <f>P30/P29</f>
        <v>#DIV/0!</v>
      </c>
      <c r="Q31" s="199"/>
      <c r="R31" s="126"/>
    </row>
    <row r="32" spans="1:18">
      <c r="A32" s="83" t="s">
        <v>61</v>
      </c>
      <c r="B32" s="82">
        <f>B22*0.2</f>
        <v>0</v>
      </c>
      <c r="C32" s="82">
        <f>C22*0.2</f>
        <v>0</v>
      </c>
      <c r="D32" s="82">
        <f>D22*0.2</f>
        <v>0</v>
      </c>
      <c r="E32" s="198"/>
      <c r="F32" s="82">
        <f>F22*0.2</f>
        <v>0</v>
      </c>
      <c r="G32" s="82">
        <f>G22*0.2</f>
        <v>0</v>
      </c>
      <c r="H32" s="82">
        <f>H22*0.2</f>
        <v>0</v>
      </c>
      <c r="I32" s="198"/>
      <c r="J32" s="82">
        <f>J22*0.2</f>
        <v>0</v>
      </c>
      <c r="K32" s="82">
        <f>K22*0.2</f>
        <v>0</v>
      </c>
      <c r="L32" s="82">
        <f>L22*0.2</f>
        <v>0</v>
      </c>
      <c r="M32" s="198"/>
      <c r="N32" s="82">
        <f>N22*0.2</f>
        <v>0</v>
      </c>
      <c r="O32" s="82">
        <f>O22*0.2</f>
        <v>0</v>
      </c>
      <c r="P32" s="82">
        <f>P22*0.2</f>
        <v>0</v>
      </c>
      <c r="Q32" s="198"/>
      <c r="R32" s="126"/>
    </row>
    <row r="33" spans="1:18">
      <c r="A33" s="39" t="s">
        <v>57</v>
      </c>
      <c r="B33" s="54" t="e">
        <f>IF(B31&lt;80%,0,IF(B31&lt;90%,0.5,IF(B31&lt;95%,0.75,1)))</f>
        <v>#DIV/0!</v>
      </c>
      <c r="C33" s="54" t="e">
        <f>IF(C31&lt;80%,0,IF(C31&lt;90%,0.5,IF(C31&lt;95%,0.75,1)))</f>
        <v>#DIV/0!</v>
      </c>
      <c r="D33" s="54" t="e">
        <f>IF(D31&lt;80%,0,IF(D31&lt;90%,0.5,IF(D31&lt;95%,0.75,1)))</f>
        <v>#DIV/0!</v>
      </c>
      <c r="E33" s="200"/>
      <c r="F33" s="54" t="e">
        <f>IF(F31&lt;80%,0,IF(F31&lt;90%,0.5,IF(F31&lt;95%,0.75,1)))</f>
        <v>#DIV/0!</v>
      </c>
      <c r="G33" s="54" t="e">
        <f>IF(G31&lt;80%,0,IF(G31&lt;90%,0.5,IF(G31&lt;95%,0.75,1)))</f>
        <v>#DIV/0!</v>
      </c>
      <c r="H33" s="54" t="e">
        <f>IF(H31&lt;80%,0,IF(H31&lt;90%,0.5,IF(H31&lt;95%,0.75,1)))</f>
        <v>#DIV/0!</v>
      </c>
      <c r="I33" s="200"/>
      <c r="J33" s="54" t="e">
        <f>IF(J31&lt;80%,0,IF(J31&lt;90%,0.5,IF(J31&lt;95%,0.75,1)))</f>
        <v>#DIV/0!</v>
      </c>
      <c r="K33" s="54" t="e">
        <f>IF(K31&lt;80%,0,IF(K31&lt;90%,0.5,IF(K31&lt;95%,0.75,1)))</f>
        <v>#DIV/0!</v>
      </c>
      <c r="L33" s="54" t="e">
        <f>IF(L31&lt;80%,0,IF(L31&lt;90%,0.5,IF(L31&lt;95%,0.75,1)))</f>
        <v>#DIV/0!</v>
      </c>
      <c r="M33" s="200"/>
      <c r="N33" s="54" t="e">
        <f>IF(N31&lt;80%,0,IF(N31&lt;90%,0.5,IF(N31&lt;95%,0.75,1)))</f>
        <v>#DIV/0!</v>
      </c>
      <c r="O33" s="54" t="e">
        <f>IF(O31&lt;80%,0,IF(O31&lt;90%,0.5,IF(O31&lt;95%,0.75,1)))</f>
        <v>#DIV/0!</v>
      </c>
      <c r="P33" s="54" t="e">
        <f>IF(P31&lt;80%,0,IF(P31&lt;90%,0.5,IF(P31&lt;95%,0.75,1)))</f>
        <v>#DIV/0!</v>
      </c>
      <c r="Q33" s="200"/>
      <c r="R33" s="126"/>
    </row>
    <row r="34" spans="1:18">
      <c r="A34" s="55" t="s">
        <v>58</v>
      </c>
      <c r="B34" s="72" t="e">
        <f>B33*B32</f>
        <v>#DIV/0!</v>
      </c>
      <c r="C34" s="72" t="e">
        <f>C33*C32</f>
        <v>#DIV/0!</v>
      </c>
      <c r="D34" s="72" t="e">
        <f>D33*D32</f>
        <v>#DIV/0!</v>
      </c>
      <c r="E34" s="201"/>
      <c r="F34" s="72" t="e">
        <f>F33*F32</f>
        <v>#DIV/0!</v>
      </c>
      <c r="G34" s="72" t="e">
        <f>G33*G32</f>
        <v>#DIV/0!</v>
      </c>
      <c r="H34" s="72" t="e">
        <f>H33*H32</f>
        <v>#DIV/0!</v>
      </c>
      <c r="I34" s="201"/>
      <c r="J34" s="72" t="e">
        <f>J33*J32</f>
        <v>#DIV/0!</v>
      </c>
      <c r="K34" s="72" t="e">
        <f>K33*K32</f>
        <v>#DIV/0!</v>
      </c>
      <c r="L34" s="72" t="e">
        <f>L33*L32</f>
        <v>#DIV/0!</v>
      </c>
      <c r="M34" s="201"/>
      <c r="N34" s="72" t="e">
        <f>N33*N32</f>
        <v>#DIV/0!</v>
      </c>
      <c r="O34" s="72" t="e">
        <f>O33*O32</f>
        <v>#DIV/0!</v>
      </c>
      <c r="P34" s="72" t="e">
        <f>P33*P32</f>
        <v>#DIV/0!</v>
      </c>
      <c r="Q34" s="201"/>
      <c r="R34" s="130"/>
    </row>
    <row r="35" spans="1:18">
      <c r="A35" s="19" t="s">
        <v>34</v>
      </c>
      <c r="B35" s="91">
        <v>1</v>
      </c>
      <c r="C35" s="91">
        <v>1</v>
      </c>
      <c r="D35" s="91">
        <v>1</v>
      </c>
      <c r="E35" s="197"/>
      <c r="F35" s="91">
        <v>1</v>
      </c>
      <c r="G35" s="91">
        <v>1</v>
      </c>
      <c r="H35" s="91">
        <v>1</v>
      </c>
      <c r="I35" s="197"/>
      <c r="J35" s="91">
        <v>1</v>
      </c>
      <c r="K35" s="91">
        <v>1</v>
      </c>
      <c r="L35" s="91">
        <v>1</v>
      </c>
      <c r="M35" s="197"/>
      <c r="N35" s="91">
        <v>1</v>
      </c>
      <c r="O35" s="91">
        <v>1</v>
      </c>
      <c r="P35" s="91">
        <v>1</v>
      </c>
      <c r="Q35" s="197"/>
      <c r="R35" s="131"/>
    </row>
    <row r="36" spans="1:18">
      <c r="A36" s="49" t="s">
        <v>59</v>
      </c>
      <c r="B36" s="78">
        <f>B22*0.1</f>
        <v>0</v>
      </c>
      <c r="C36" s="78">
        <f>C22*0.1</f>
        <v>0</v>
      </c>
      <c r="D36" s="78">
        <f>D22*0.1</f>
        <v>0</v>
      </c>
      <c r="E36" s="202"/>
      <c r="F36" s="78">
        <f>F22*0.1</f>
        <v>0</v>
      </c>
      <c r="G36" s="78">
        <f>G22*0.1</f>
        <v>0</v>
      </c>
      <c r="H36" s="78">
        <f>H22*0.1</f>
        <v>0</v>
      </c>
      <c r="I36" s="202"/>
      <c r="J36" s="78">
        <f>J22*0.1</f>
        <v>0</v>
      </c>
      <c r="K36" s="78">
        <f>K22*0.1</f>
        <v>0</v>
      </c>
      <c r="L36" s="78">
        <f>L22*0.1</f>
        <v>0</v>
      </c>
      <c r="M36" s="202"/>
      <c r="N36" s="78">
        <f>N22*0.1</f>
        <v>0</v>
      </c>
      <c r="O36" s="78">
        <f>O22*0.1</f>
        <v>0</v>
      </c>
      <c r="P36" s="78">
        <f>P22*0.1</f>
        <v>0</v>
      </c>
      <c r="Q36" s="202"/>
      <c r="R36" s="129"/>
    </row>
    <row r="37" spans="1:18">
      <c r="A37" s="39" t="s">
        <v>62</v>
      </c>
      <c r="B37" s="98"/>
      <c r="C37" s="98"/>
      <c r="D37" s="98"/>
      <c r="E37" s="198"/>
      <c r="F37" s="98"/>
      <c r="G37" s="98"/>
      <c r="H37" s="98"/>
      <c r="I37" s="198"/>
      <c r="J37" s="98"/>
      <c r="K37" s="98"/>
      <c r="L37" s="98"/>
      <c r="M37" s="198"/>
      <c r="N37" s="100"/>
      <c r="O37" s="98"/>
      <c r="P37" s="98"/>
      <c r="Q37" s="198"/>
      <c r="R37" s="126"/>
    </row>
    <row r="38" spans="1:18">
      <c r="A38" s="62" t="s">
        <v>63</v>
      </c>
      <c r="B38" s="76">
        <f>B37*B36</f>
        <v>0</v>
      </c>
      <c r="C38" s="76">
        <f>C37*C36</f>
        <v>0</v>
      </c>
      <c r="D38" s="76">
        <f>D37*D36</f>
        <v>0</v>
      </c>
      <c r="E38" s="201"/>
      <c r="F38" s="76">
        <f>F37*F36</f>
        <v>0</v>
      </c>
      <c r="G38" s="76">
        <f>G37*G36</f>
        <v>0</v>
      </c>
      <c r="H38" s="76">
        <f>H37*H36</f>
        <v>0</v>
      </c>
      <c r="I38" s="201"/>
      <c r="J38" s="76">
        <f>J37*J36</f>
        <v>0</v>
      </c>
      <c r="K38" s="76">
        <f>K37*K36</f>
        <v>0</v>
      </c>
      <c r="L38" s="76">
        <f>L37*L36</f>
        <v>0</v>
      </c>
      <c r="M38" s="201"/>
      <c r="N38" s="76">
        <f>N37*N36</f>
        <v>0</v>
      </c>
      <c r="O38" s="76">
        <f>O37*O36</f>
        <v>0</v>
      </c>
      <c r="P38" s="76">
        <f>P37*P36</f>
        <v>0</v>
      </c>
      <c r="Q38" s="201"/>
      <c r="R38" s="133"/>
    </row>
    <row r="39" spans="1:18">
      <c r="A39" s="52" t="s">
        <v>67</v>
      </c>
      <c r="B39" s="79" t="e">
        <f>B34+B28+B38</f>
        <v>#DIV/0!</v>
      </c>
      <c r="C39" s="79" t="e">
        <f>C34+C28+C38</f>
        <v>#DIV/0!</v>
      </c>
      <c r="D39" s="79" t="e">
        <f>D34+D28+D38</f>
        <v>#DIV/0!</v>
      </c>
      <c r="E39" s="203"/>
      <c r="F39" s="79" t="e">
        <f>F34+F28+F38</f>
        <v>#DIV/0!</v>
      </c>
      <c r="G39" s="79" t="e">
        <f>G34+G28+G38</f>
        <v>#DIV/0!</v>
      </c>
      <c r="H39" s="79" t="e">
        <f>H34+H28+H38</f>
        <v>#DIV/0!</v>
      </c>
      <c r="I39" s="203"/>
      <c r="J39" s="79" t="e">
        <f>J34+J28+J38</f>
        <v>#DIV/0!</v>
      </c>
      <c r="K39" s="79" t="e">
        <f>K34+K28+K38</f>
        <v>#DIV/0!</v>
      </c>
      <c r="L39" s="79" t="e">
        <f>L34+L28+L38</f>
        <v>#DIV/0!</v>
      </c>
      <c r="M39" s="203"/>
      <c r="N39" s="79" t="e">
        <f>N34+N28+N38</f>
        <v>#DIV/0!</v>
      </c>
      <c r="O39" s="79" t="e">
        <f>O34+O28+O38</f>
        <v>#DIV/0!</v>
      </c>
      <c r="P39" s="79" t="e">
        <f>P34+P28+P38</f>
        <v>#DIV/0!</v>
      </c>
      <c r="Q39" s="203"/>
      <c r="R39" s="134"/>
    </row>
    <row r="40" spans="1:18">
      <c r="A40" s="125" t="s">
        <v>125</v>
      </c>
      <c r="B40" s="760">
        <f>D5</f>
        <v>0</v>
      </c>
      <c r="C40" s="761"/>
      <c r="D40" s="761"/>
      <c r="E40" s="762"/>
      <c r="F40" s="760">
        <f>H5</f>
        <v>0</v>
      </c>
      <c r="G40" s="761"/>
      <c r="H40" s="761"/>
      <c r="I40" s="762"/>
      <c r="J40" s="760">
        <f>L5</f>
        <v>0</v>
      </c>
      <c r="K40" s="761"/>
      <c r="L40" s="761"/>
      <c r="M40" s="762"/>
      <c r="N40" s="760">
        <f>P5</f>
        <v>0</v>
      </c>
      <c r="O40" s="761"/>
      <c r="P40" s="761"/>
      <c r="Q40" s="762"/>
      <c r="R40" s="129"/>
    </row>
    <row r="41" spans="1:18">
      <c r="A41" s="127" t="s">
        <v>69</v>
      </c>
      <c r="B41" s="763">
        <f>D7</f>
        <v>0</v>
      </c>
      <c r="C41" s="764"/>
      <c r="D41" s="764"/>
      <c r="E41" s="762"/>
      <c r="F41" s="763">
        <f>H7</f>
        <v>0</v>
      </c>
      <c r="G41" s="764"/>
      <c r="H41" s="764"/>
      <c r="I41" s="762"/>
      <c r="J41" s="763">
        <f>L7</f>
        <v>0</v>
      </c>
      <c r="K41" s="764"/>
      <c r="L41" s="764"/>
      <c r="M41" s="762"/>
      <c r="N41" s="763">
        <f>P7</f>
        <v>0</v>
      </c>
      <c r="O41" s="764"/>
      <c r="P41" s="764"/>
      <c r="Q41" s="762"/>
      <c r="R41" s="129"/>
    </row>
    <row r="42" spans="1:18">
      <c r="A42" s="127" t="s">
        <v>68</v>
      </c>
      <c r="B42" s="765" t="e">
        <f>B41/B40</f>
        <v>#DIV/0!</v>
      </c>
      <c r="C42" s="766"/>
      <c r="D42" s="766"/>
      <c r="E42" s="762"/>
      <c r="F42" s="765" t="e">
        <f>F41/F40</f>
        <v>#DIV/0!</v>
      </c>
      <c r="G42" s="766"/>
      <c r="H42" s="766"/>
      <c r="I42" s="762"/>
      <c r="J42" s="765" t="e">
        <f>J41/J40</f>
        <v>#DIV/0!</v>
      </c>
      <c r="K42" s="766"/>
      <c r="L42" s="766"/>
      <c r="M42" s="762"/>
      <c r="N42" s="765" t="e">
        <f>N41/N40</f>
        <v>#DIV/0!</v>
      </c>
      <c r="O42" s="766"/>
      <c r="P42" s="766"/>
      <c r="Q42" s="762"/>
      <c r="R42" s="135"/>
    </row>
    <row r="43" spans="1:18">
      <c r="A43" s="127" t="s">
        <v>65</v>
      </c>
      <c r="B43" s="767">
        <f>D22</f>
        <v>0</v>
      </c>
      <c r="C43" s="768"/>
      <c r="D43" s="768"/>
      <c r="E43" s="762"/>
      <c r="F43" s="767">
        <f>H22</f>
        <v>0</v>
      </c>
      <c r="G43" s="768"/>
      <c r="H43" s="768"/>
      <c r="I43" s="762"/>
      <c r="J43" s="767">
        <f>L22</f>
        <v>0</v>
      </c>
      <c r="K43" s="768"/>
      <c r="L43" s="768"/>
      <c r="M43" s="762"/>
      <c r="N43" s="767">
        <f>P22</f>
        <v>0</v>
      </c>
      <c r="O43" s="768"/>
      <c r="P43" s="768"/>
      <c r="Q43" s="762"/>
      <c r="R43" s="129"/>
    </row>
    <row r="44" spans="1:18">
      <c r="A44" s="83" t="s">
        <v>66</v>
      </c>
      <c r="B44" s="769" t="e">
        <f>IF(B42&lt;100%,0,IF(B42&lt;110%,0.5,1))</f>
        <v>#DIV/0!</v>
      </c>
      <c r="C44" s="770"/>
      <c r="D44" s="770"/>
      <c r="E44" s="759"/>
      <c r="F44" s="769" t="e">
        <f>IF(F42&lt;100%,0,IF(F42&lt;110%,0.5,1))</f>
        <v>#DIV/0!</v>
      </c>
      <c r="G44" s="770"/>
      <c r="H44" s="770"/>
      <c r="I44" s="759"/>
      <c r="J44" s="769" t="e">
        <f>IF(J42&lt;100%,0,IF(J42&lt;110%,0.5,1))</f>
        <v>#DIV/0!</v>
      </c>
      <c r="K44" s="770"/>
      <c r="L44" s="770"/>
      <c r="M44" s="759"/>
      <c r="N44" s="769" t="e">
        <f>IF(N42&lt;100%,0,IF(N42&lt;110%,0.5,1))</f>
        <v>#DIV/0!</v>
      </c>
      <c r="O44" s="770"/>
      <c r="P44" s="770"/>
      <c r="Q44" s="759"/>
      <c r="R44" s="136"/>
    </row>
    <row r="45" spans="1:18">
      <c r="A45" s="52" t="s">
        <v>64</v>
      </c>
      <c r="B45" s="771" t="e">
        <f>B44*B43</f>
        <v>#DIV/0!</v>
      </c>
      <c r="C45" s="772"/>
      <c r="D45" s="772"/>
      <c r="E45" s="759"/>
      <c r="F45" s="771" t="e">
        <f>F44*F43</f>
        <v>#DIV/0!</v>
      </c>
      <c r="G45" s="772"/>
      <c r="H45" s="772"/>
      <c r="I45" s="759"/>
      <c r="J45" s="771" t="e">
        <f>J44*J43</f>
        <v>#DIV/0!</v>
      </c>
      <c r="K45" s="772"/>
      <c r="L45" s="772"/>
      <c r="M45" s="759"/>
      <c r="N45" s="771" t="e">
        <f>N44*N43</f>
        <v>#DIV/0!</v>
      </c>
      <c r="O45" s="772"/>
      <c r="P45" s="772"/>
      <c r="Q45" s="759"/>
      <c r="R45" s="137"/>
    </row>
    <row r="46" spans="1:18" ht="13.8" thickBot="1">
      <c r="A46" s="59"/>
      <c r="B46" s="60"/>
      <c r="C46" s="60"/>
      <c r="D46" s="60"/>
      <c r="E46" s="139"/>
      <c r="F46" s="60"/>
      <c r="G46" s="60"/>
      <c r="H46" s="60"/>
      <c r="I46" s="139"/>
      <c r="J46" s="60"/>
      <c r="K46" s="60"/>
      <c r="L46" s="60"/>
      <c r="M46" s="139"/>
      <c r="N46" s="60"/>
      <c r="O46" s="60"/>
      <c r="P46" s="60"/>
      <c r="Q46" s="139"/>
      <c r="R46" s="140"/>
    </row>
    <row r="47" spans="1:18" ht="13.8" thickBot="1">
      <c r="A47" s="471" t="s">
        <v>96</v>
      </c>
      <c r="B47" s="544" t="s">
        <v>97</v>
      </c>
      <c r="C47" s="544" t="s">
        <v>11</v>
      </c>
      <c r="D47" s="472" t="s">
        <v>12</v>
      </c>
      <c r="E47" s="400" t="s">
        <v>98</v>
      </c>
      <c r="F47" s="472" t="s">
        <v>7</v>
      </c>
      <c r="G47" s="472" t="s">
        <v>8</v>
      </c>
      <c r="H47" s="472" t="s">
        <v>9</v>
      </c>
      <c r="I47" s="400" t="s">
        <v>98</v>
      </c>
      <c r="J47" s="494" t="s">
        <v>4</v>
      </c>
      <c r="K47" s="444" t="s">
        <v>5</v>
      </c>
      <c r="L47" s="444" t="s">
        <v>6</v>
      </c>
      <c r="M47" s="400" t="s">
        <v>98</v>
      </c>
      <c r="N47" s="472" t="s">
        <v>1</v>
      </c>
      <c r="O47" s="472" t="s">
        <v>2</v>
      </c>
      <c r="P47" s="472" t="s">
        <v>3</v>
      </c>
      <c r="Q47" s="400" t="s">
        <v>98</v>
      </c>
      <c r="R47" s="400" t="s">
        <v>98</v>
      </c>
    </row>
    <row r="48" spans="1:18" ht="13.8" thickTop="1">
      <c r="A48" s="473" t="s">
        <v>99</v>
      </c>
      <c r="B48" s="537"/>
      <c r="C48" s="537"/>
      <c r="D48" s="159"/>
      <c r="E48" s="401">
        <f>SUM(B48:D48)</f>
        <v>0</v>
      </c>
      <c r="F48" s="159"/>
      <c r="G48" s="159"/>
      <c r="H48" s="159"/>
      <c r="I48" s="401">
        <f>SUM(F48:H48)</f>
        <v>0</v>
      </c>
      <c r="J48" s="487"/>
      <c r="K48" s="159"/>
      <c r="L48" s="159"/>
      <c r="M48" s="401">
        <f>SUM(J48:L48)</f>
        <v>0</v>
      </c>
      <c r="N48" s="159"/>
      <c r="O48" s="159"/>
      <c r="P48" s="159"/>
      <c r="Q48" s="401">
        <f>SUM(N48:P48)</f>
        <v>0</v>
      </c>
      <c r="R48" s="401">
        <f>M48+I48+E48+Q48</f>
        <v>0</v>
      </c>
    </row>
    <row r="49" spans="1:18">
      <c r="A49" s="474" t="s">
        <v>100</v>
      </c>
      <c r="B49" s="534"/>
      <c r="C49" s="534"/>
      <c r="D49" s="160"/>
      <c r="E49" s="207"/>
      <c r="F49" s="160"/>
      <c r="G49" s="160"/>
      <c r="H49" s="160"/>
      <c r="I49" s="207"/>
      <c r="J49" s="486"/>
      <c r="K49" s="160"/>
      <c r="L49" s="160"/>
      <c r="M49" s="207"/>
      <c r="N49" s="160"/>
      <c r="O49" s="160"/>
      <c r="P49" s="160"/>
      <c r="Q49" s="207"/>
      <c r="R49" s="207"/>
    </row>
    <row r="50" spans="1:18">
      <c r="A50" s="474" t="s">
        <v>101</v>
      </c>
      <c r="B50" s="534"/>
      <c r="C50" s="534"/>
      <c r="D50" s="160"/>
      <c r="E50" s="207"/>
      <c r="F50" s="160"/>
      <c r="G50" s="160"/>
      <c r="H50" s="160"/>
      <c r="I50" s="207"/>
      <c r="J50" s="486"/>
      <c r="K50" s="160"/>
      <c r="L50" s="160"/>
      <c r="M50" s="207"/>
      <c r="N50" s="160"/>
      <c r="O50" s="160"/>
      <c r="P50" s="160"/>
      <c r="Q50" s="207"/>
      <c r="R50" s="207"/>
    </row>
    <row r="51" spans="1:18">
      <c r="A51" s="474" t="s">
        <v>135</v>
      </c>
      <c r="B51" s="534"/>
      <c r="C51" s="534"/>
      <c r="D51" s="160"/>
      <c r="E51" s="207"/>
      <c r="F51" s="160"/>
      <c r="G51" s="160"/>
      <c r="H51" s="160"/>
      <c r="I51" s="207"/>
      <c r="J51" s="486"/>
      <c r="K51" s="160"/>
      <c r="L51" s="160"/>
      <c r="M51" s="207"/>
      <c r="N51" s="160"/>
      <c r="O51" s="160"/>
      <c r="P51" s="160"/>
      <c r="Q51" s="207"/>
      <c r="R51" s="207"/>
    </row>
    <row r="52" spans="1:18">
      <c r="A52" s="474" t="s">
        <v>102</v>
      </c>
      <c r="B52" s="545"/>
      <c r="C52" s="545"/>
      <c r="D52" s="475"/>
      <c r="E52" s="208"/>
      <c r="F52" s="475"/>
      <c r="G52" s="475"/>
      <c r="H52" s="475"/>
      <c r="I52" s="208"/>
      <c r="J52" s="495"/>
      <c r="K52" s="445"/>
      <c r="L52" s="445"/>
      <c r="M52" s="208"/>
      <c r="N52" s="475"/>
      <c r="O52" s="475"/>
      <c r="P52" s="475"/>
      <c r="Q52" s="208"/>
      <c r="R52" s="208"/>
    </row>
    <row r="53" spans="1:18" ht="13.8" thickBot="1">
      <c r="A53" s="476" t="s">
        <v>103</v>
      </c>
      <c r="B53" s="538"/>
      <c r="C53" s="538"/>
      <c r="D53" s="161"/>
      <c r="E53" s="401">
        <f t="shared" ref="E53:E54" si="12">SUM(B53:D53)</f>
        <v>0</v>
      </c>
      <c r="F53" s="161"/>
      <c r="G53" s="161"/>
      <c r="H53" s="161"/>
      <c r="I53" s="401">
        <f t="shared" ref="I53:I54" si="13">SUM(F53:H53)</f>
        <v>0</v>
      </c>
      <c r="J53" s="488"/>
      <c r="K53" s="161"/>
      <c r="L53" s="161"/>
      <c r="M53" s="401">
        <f t="shared" ref="M53:M54" si="14">SUM(J53:L53)</f>
        <v>0</v>
      </c>
      <c r="N53" s="161"/>
      <c r="O53" s="161"/>
      <c r="P53" s="161"/>
      <c r="Q53" s="401">
        <f t="shared" ref="Q53:Q54" si="15">SUM(N53:P53)</f>
        <v>0</v>
      </c>
      <c r="R53" s="401">
        <f>M53+I53+E53+Q53</f>
        <v>0</v>
      </c>
    </row>
    <row r="54" spans="1:18" ht="13.8" thickTop="1">
      <c r="A54" s="477" t="s">
        <v>136</v>
      </c>
      <c r="B54" s="539"/>
      <c r="C54" s="539"/>
      <c r="D54" s="162"/>
      <c r="E54" s="401">
        <f t="shared" si="12"/>
        <v>0</v>
      </c>
      <c r="F54" s="162"/>
      <c r="G54" s="162"/>
      <c r="H54" s="162"/>
      <c r="I54" s="401">
        <f t="shared" si="13"/>
        <v>0</v>
      </c>
      <c r="J54" s="489"/>
      <c r="K54" s="162"/>
      <c r="L54" s="162"/>
      <c r="M54" s="401">
        <f t="shared" si="14"/>
        <v>0</v>
      </c>
      <c r="N54" s="162"/>
      <c r="O54" s="162"/>
      <c r="P54" s="162"/>
      <c r="Q54" s="401">
        <f t="shared" si="15"/>
        <v>0</v>
      </c>
      <c r="R54" s="401">
        <f>M54+I54+E54+Q54</f>
        <v>0</v>
      </c>
    </row>
    <row r="55" spans="1:18">
      <c r="A55" s="474" t="s">
        <v>104</v>
      </c>
      <c r="B55" s="534"/>
      <c r="C55" s="534"/>
      <c r="D55" s="160"/>
      <c r="E55" s="209"/>
      <c r="F55" s="160"/>
      <c r="G55" s="160"/>
      <c r="H55" s="160"/>
      <c r="I55" s="209"/>
      <c r="J55" s="486"/>
      <c r="K55" s="160"/>
      <c r="L55" s="160"/>
      <c r="M55" s="209"/>
      <c r="N55" s="160"/>
      <c r="O55" s="160"/>
      <c r="P55" s="160"/>
      <c r="Q55" s="209"/>
      <c r="R55" s="209"/>
    </row>
    <row r="56" spans="1:18">
      <c r="A56" s="474" t="s">
        <v>105</v>
      </c>
      <c r="B56" s="534"/>
      <c r="C56" s="534"/>
      <c r="D56" s="160"/>
      <c r="E56" s="401">
        <f t="shared" ref="E56:E60" si="16">SUM(B56:D56)</f>
        <v>0</v>
      </c>
      <c r="F56" s="160"/>
      <c r="G56" s="160"/>
      <c r="H56" s="160"/>
      <c r="I56" s="401">
        <f t="shared" ref="I56:I60" si="17">SUM(F56:H56)</f>
        <v>0</v>
      </c>
      <c r="J56" s="486"/>
      <c r="K56" s="160"/>
      <c r="L56" s="160"/>
      <c r="M56" s="401">
        <f t="shared" ref="M56:M60" si="18">SUM(J56:L56)</f>
        <v>0</v>
      </c>
      <c r="N56" s="160"/>
      <c r="O56" s="160"/>
      <c r="P56" s="160"/>
      <c r="Q56" s="401">
        <f t="shared" ref="Q56:Q60" si="19">SUM(N56:P56)</f>
        <v>0</v>
      </c>
      <c r="R56" s="401">
        <f>M56+I56+E56+Q56</f>
        <v>0</v>
      </c>
    </row>
    <row r="57" spans="1:18" ht="13.8" thickBot="1">
      <c r="A57" s="478" t="s">
        <v>106</v>
      </c>
      <c r="B57" s="540"/>
      <c r="C57" s="540"/>
      <c r="D57" s="163"/>
      <c r="E57" s="401">
        <f t="shared" si="16"/>
        <v>0</v>
      </c>
      <c r="F57" s="163"/>
      <c r="G57" s="163"/>
      <c r="H57" s="163"/>
      <c r="I57" s="401">
        <f t="shared" si="17"/>
        <v>0</v>
      </c>
      <c r="J57" s="490"/>
      <c r="K57" s="163"/>
      <c r="L57" s="163"/>
      <c r="M57" s="401">
        <f t="shared" si="18"/>
        <v>0</v>
      </c>
      <c r="N57" s="163"/>
      <c r="O57" s="163"/>
      <c r="P57" s="163"/>
      <c r="Q57" s="401">
        <f t="shared" si="19"/>
        <v>0</v>
      </c>
      <c r="R57" s="401">
        <f>M57+I57+E57+Q57</f>
        <v>0</v>
      </c>
    </row>
    <row r="58" spans="1:18" ht="13.8" thickTop="1">
      <c r="A58" s="473" t="s">
        <v>193</v>
      </c>
      <c r="B58" s="537"/>
      <c r="C58" s="537"/>
      <c r="D58" s="159"/>
      <c r="E58" s="401">
        <f t="shared" si="16"/>
        <v>0</v>
      </c>
      <c r="F58" s="159"/>
      <c r="G58" s="159"/>
      <c r="H58" s="159"/>
      <c r="I58" s="401">
        <f t="shared" si="17"/>
        <v>0</v>
      </c>
      <c r="J58" s="487"/>
      <c r="K58" s="159"/>
      <c r="L58" s="159"/>
      <c r="M58" s="401">
        <f t="shared" si="18"/>
        <v>0</v>
      </c>
      <c r="N58" s="159"/>
      <c r="O58" s="159"/>
      <c r="P58" s="159"/>
      <c r="Q58" s="401">
        <f t="shared" si="19"/>
        <v>0</v>
      </c>
      <c r="R58" s="401">
        <f>M58+I58+E58+Q58</f>
        <v>0</v>
      </c>
    </row>
    <row r="59" spans="1:18" ht="13.8" thickBot="1">
      <c r="A59" s="476" t="s">
        <v>107</v>
      </c>
      <c r="B59" s="538"/>
      <c r="C59" s="538"/>
      <c r="D59" s="161"/>
      <c r="E59" s="401">
        <f t="shared" si="16"/>
        <v>0</v>
      </c>
      <c r="F59" s="161"/>
      <c r="G59" s="161"/>
      <c r="H59" s="161"/>
      <c r="I59" s="401">
        <f t="shared" si="17"/>
        <v>0</v>
      </c>
      <c r="J59" s="488"/>
      <c r="K59" s="161"/>
      <c r="L59" s="161"/>
      <c r="M59" s="401">
        <f t="shared" si="18"/>
        <v>0</v>
      </c>
      <c r="N59" s="161"/>
      <c r="O59" s="161"/>
      <c r="P59" s="161"/>
      <c r="Q59" s="401">
        <f t="shared" si="19"/>
        <v>0</v>
      </c>
      <c r="R59" s="401">
        <f>M59+I59+E59+Q59</f>
        <v>0</v>
      </c>
    </row>
    <row r="60" spans="1:18" ht="14.4" thickTop="1" thickBot="1">
      <c r="A60" s="476" t="s">
        <v>108</v>
      </c>
      <c r="B60" s="538"/>
      <c r="C60" s="538"/>
      <c r="D60" s="161"/>
      <c r="E60" s="401">
        <f t="shared" si="16"/>
        <v>0</v>
      </c>
      <c r="F60" s="161"/>
      <c r="G60" s="161"/>
      <c r="H60" s="161"/>
      <c r="I60" s="401">
        <f t="shared" si="17"/>
        <v>0</v>
      </c>
      <c r="J60" s="488"/>
      <c r="K60" s="161"/>
      <c r="L60" s="161"/>
      <c r="M60" s="401">
        <f t="shared" si="18"/>
        <v>0</v>
      </c>
      <c r="N60" s="161"/>
      <c r="O60" s="161"/>
      <c r="P60" s="161"/>
      <c r="Q60" s="401">
        <f t="shared" si="19"/>
        <v>0</v>
      </c>
      <c r="R60" s="401">
        <f>M60+I60+E60+Q60</f>
        <v>0</v>
      </c>
    </row>
    <row r="61" spans="1:18" ht="13.8" thickTop="1">
      <c r="A61" s="479" t="s">
        <v>109</v>
      </c>
      <c r="B61" s="541"/>
      <c r="C61" s="541"/>
      <c r="D61" s="166"/>
      <c r="E61" s="158"/>
      <c r="F61" s="166"/>
      <c r="G61" s="166"/>
      <c r="H61" s="205"/>
      <c r="I61" s="158"/>
      <c r="J61" s="491"/>
      <c r="K61" s="166"/>
      <c r="L61" s="166"/>
      <c r="M61" s="158"/>
      <c r="N61" s="166"/>
      <c r="O61" s="166"/>
      <c r="P61" s="166"/>
      <c r="Q61" s="158"/>
      <c r="R61" s="158"/>
    </row>
    <row r="62" spans="1:18">
      <c r="A62" s="480" t="s">
        <v>110</v>
      </c>
      <c r="B62" s="542"/>
      <c r="C62" s="542"/>
      <c r="D62" s="167"/>
      <c r="E62" s="401">
        <f t="shared" ref="E62:E64" si="20">SUM(B62:D62)</f>
        <v>0</v>
      </c>
      <c r="F62" s="167"/>
      <c r="G62" s="167"/>
      <c r="H62" s="206"/>
      <c r="I62" s="401">
        <f t="shared" ref="I62:I64" si="21">SUM(F62:H62)</f>
        <v>0</v>
      </c>
      <c r="J62" s="492"/>
      <c r="K62" s="167"/>
      <c r="L62" s="167"/>
      <c r="M62" s="401">
        <f t="shared" ref="M62:M64" si="22">SUM(J62:L62)</f>
        <v>0</v>
      </c>
      <c r="N62" s="167"/>
      <c r="O62" s="167"/>
      <c r="P62" s="167"/>
      <c r="Q62" s="401">
        <f t="shared" ref="Q62:Q64" si="23">SUM(N62:P62)</f>
        <v>0</v>
      </c>
      <c r="R62" s="401">
        <f>M62+I62+E62+Q62</f>
        <v>0</v>
      </c>
    </row>
    <row r="63" spans="1:18">
      <c r="A63" s="480" t="s">
        <v>111</v>
      </c>
      <c r="B63" s="542"/>
      <c r="C63" s="536"/>
      <c r="D63" s="465"/>
      <c r="E63" s="401">
        <f t="shared" si="20"/>
        <v>0</v>
      </c>
      <c r="F63" s="167"/>
      <c r="G63" s="167"/>
      <c r="H63" s="206"/>
      <c r="I63" s="401">
        <f t="shared" si="21"/>
        <v>0</v>
      </c>
      <c r="J63" s="492"/>
      <c r="K63" s="167"/>
      <c r="L63" s="167"/>
      <c r="M63" s="401">
        <f t="shared" si="22"/>
        <v>0</v>
      </c>
      <c r="N63" s="167"/>
      <c r="O63" s="167"/>
      <c r="P63" s="167"/>
      <c r="Q63" s="401">
        <f t="shared" si="23"/>
        <v>0</v>
      </c>
      <c r="R63" s="401">
        <f>M63+I63+E63+Q63</f>
        <v>0</v>
      </c>
    </row>
    <row r="64" spans="1:18">
      <c r="A64" s="480" t="s">
        <v>112</v>
      </c>
      <c r="B64" s="542"/>
      <c r="C64" s="536"/>
      <c r="D64" s="465"/>
      <c r="E64" s="401">
        <f t="shared" si="20"/>
        <v>0</v>
      </c>
      <c r="F64" s="167"/>
      <c r="G64" s="167"/>
      <c r="H64" s="206"/>
      <c r="I64" s="401">
        <f t="shared" si="21"/>
        <v>0</v>
      </c>
      <c r="J64" s="492"/>
      <c r="K64" s="167"/>
      <c r="L64" s="167"/>
      <c r="M64" s="401">
        <f t="shared" si="22"/>
        <v>0</v>
      </c>
      <c r="N64" s="167"/>
      <c r="O64" s="167"/>
      <c r="P64" s="167"/>
      <c r="Q64" s="401">
        <f t="shared" si="23"/>
        <v>0</v>
      </c>
      <c r="R64" s="401">
        <f>M64+I64+E64+Q64</f>
        <v>0</v>
      </c>
    </row>
    <row r="65" spans="1:18" ht="13.8" thickBot="1">
      <c r="A65" s="481" t="s">
        <v>113</v>
      </c>
      <c r="B65" s="543"/>
      <c r="C65" s="535"/>
      <c r="D65" s="466"/>
      <c r="E65" s="210"/>
      <c r="F65" s="414"/>
      <c r="G65" s="414"/>
      <c r="H65" s="420"/>
      <c r="I65" s="210"/>
      <c r="J65" s="493"/>
      <c r="K65" s="414"/>
      <c r="L65" s="414"/>
      <c r="M65" s="210"/>
      <c r="N65" s="414"/>
      <c r="O65" s="414"/>
      <c r="P65" s="414"/>
      <c r="Q65" s="210"/>
      <c r="R65" s="210"/>
    </row>
    <row r="66" spans="1:18" ht="13.8" thickTop="1">
      <c r="A66"/>
      <c r="B66" s="65"/>
      <c r="C66" s="65"/>
      <c r="D66" s="164" t="e">
        <f>SUM(#REF!)</f>
        <v>#REF!</v>
      </c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</row>
  </sheetData>
  <mergeCells count="28">
    <mergeCell ref="J1:M1"/>
    <mergeCell ref="N1:Q1"/>
    <mergeCell ref="B1:E1"/>
    <mergeCell ref="F1:I1"/>
    <mergeCell ref="J40:M40"/>
    <mergeCell ref="N40:Q40"/>
    <mergeCell ref="B40:E40"/>
    <mergeCell ref="F40:I40"/>
    <mergeCell ref="J41:M41"/>
    <mergeCell ref="N41:Q41"/>
    <mergeCell ref="B41:E41"/>
    <mergeCell ref="F41:I41"/>
    <mergeCell ref="J42:M42"/>
    <mergeCell ref="N42:Q42"/>
    <mergeCell ref="B42:E42"/>
    <mergeCell ref="F42:I42"/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4" workbookViewId="0">
      <selection activeCell="C9" sqref="C9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551"/>
    </row>
    <row r="2" spans="1:6" ht="13.8">
      <c r="A2" s="551"/>
      <c r="B2" s="172"/>
      <c r="C2" s="172"/>
      <c r="D2" s="293"/>
      <c r="E2" s="154"/>
    </row>
    <row r="3" spans="1:6" ht="15.6">
      <c r="A3" s="438" t="s">
        <v>195</v>
      </c>
      <c r="B3" s="172"/>
      <c r="C3" s="172"/>
      <c r="D3" s="293"/>
      <c r="E3" s="154"/>
    </row>
    <row r="4" spans="1:6" ht="15.6">
      <c r="A4" s="438"/>
      <c r="B4" s="172"/>
      <c r="C4" s="172"/>
      <c r="D4" s="293"/>
      <c r="E4" s="154"/>
      <c r="F4" s="172"/>
    </row>
    <row r="5" spans="1:6" ht="28.8">
      <c r="A5" s="439" t="s">
        <v>228</v>
      </c>
      <c r="B5" s="172"/>
      <c r="C5" s="172"/>
      <c r="D5" s="293"/>
      <c r="E5" s="154"/>
    </row>
    <row r="6" spans="1:6" ht="14.4">
      <c r="A6" s="440"/>
      <c r="B6" s="172"/>
      <c r="C6" s="172"/>
      <c r="D6" s="293"/>
      <c r="E6" s="154"/>
    </row>
    <row r="7" spans="1:6" ht="28.8">
      <c r="A7" s="439" t="s">
        <v>229</v>
      </c>
    </row>
    <row r="8" spans="1:6" ht="14.4">
      <c r="A8" s="440"/>
    </row>
    <row r="9" spans="1:6" ht="57.6">
      <c r="A9" s="439" t="s">
        <v>230</v>
      </c>
    </row>
    <row r="10" spans="1:6" ht="14.4">
      <c r="A10" s="441"/>
    </row>
    <row r="11" spans="1:6" ht="72">
      <c r="A11" s="439" t="s">
        <v>231</v>
      </c>
    </row>
    <row r="12" spans="1:6" ht="13.8">
      <c r="A12" s="442"/>
    </row>
    <row r="13" spans="1:6" ht="15.6">
      <c r="A13" s="438" t="s">
        <v>196</v>
      </c>
    </row>
    <row r="14" spans="1:6" ht="15.6">
      <c r="A14" s="438"/>
    </row>
    <row r="15" spans="1:6" ht="14.4">
      <c r="A15" s="441" t="s">
        <v>197</v>
      </c>
    </row>
    <row r="16" spans="1:6" ht="28.8">
      <c r="A16" s="443" t="s">
        <v>198</v>
      </c>
    </row>
    <row r="17" spans="1:1" ht="28.8">
      <c r="A17" s="443" t="s">
        <v>232</v>
      </c>
    </row>
    <row r="18" spans="1:1" ht="28.8">
      <c r="A18" s="443" t="s">
        <v>233</v>
      </c>
    </row>
    <row r="19" spans="1:1" ht="28.8">
      <c r="A19" s="443" t="s">
        <v>234</v>
      </c>
    </row>
    <row r="20" spans="1:1" ht="14.4">
      <c r="A20" s="441"/>
    </row>
    <row r="21" spans="1:1" ht="14.4">
      <c r="A21" s="441" t="s">
        <v>199</v>
      </c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18" sqref="A18:A20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79</v>
      </c>
      <c r="C1" t="s">
        <v>80</v>
      </c>
      <c r="D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</row>
    <row r="2" spans="1:14">
      <c r="A2" t="s">
        <v>202</v>
      </c>
      <c r="B2" s="204">
        <v>283301.84000000003</v>
      </c>
      <c r="C2">
        <v>263419.34379999997</v>
      </c>
      <c r="D2">
        <v>273088.125</v>
      </c>
      <c r="E2" s="172">
        <f>SUM(B2:D2)</f>
        <v>819809.3088</v>
      </c>
    </row>
    <row r="3" spans="1:14">
      <c r="A3" t="s">
        <v>203</v>
      </c>
      <c r="B3">
        <v>908036.3125</v>
      </c>
      <c r="C3">
        <v>809745.8125</v>
      </c>
      <c r="D3">
        <v>770639.125</v>
      </c>
      <c r="E3" s="172">
        <f>SUM(B3:D3)</f>
        <v>2488421.25</v>
      </c>
    </row>
    <row r="4" spans="1:14">
      <c r="E4" s="172">
        <f>E5-E2</f>
        <v>500.001200000057</v>
      </c>
    </row>
    <row r="5" spans="1:14">
      <c r="A5" t="s">
        <v>202</v>
      </c>
      <c r="E5" s="204">
        <v>820309.31</v>
      </c>
    </row>
    <row r="6" spans="1:14">
      <c r="A6" t="s">
        <v>203</v>
      </c>
      <c r="E6" s="204">
        <v>2488421.25</v>
      </c>
    </row>
    <row r="12" spans="1:14">
      <c r="A12" t="s">
        <v>253</v>
      </c>
      <c r="B12" t="s">
        <v>207</v>
      </c>
      <c r="C12" t="s">
        <v>208</v>
      </c>
      <c r="D12" t="s">
        <v>254</v>
      </c>
      <c r="E12" t="s">
        <v>209</v>
      </c>
      <c r="F12" t="s">
        <v>210</v>
      </c>
      <c r="G12" t="s">
        <v>211</v>
      </c>
      <c r="H12" t="s">
        <v>212</v>
      </c>
      <c r="I12" t="s">
        <v>213</v>
      </c>
      <c r="J12" t="s">
        <v>214</v>
      </c>
      <c r="K12" t="s">
        <v>114</v>
      </c>
    </row>
    <row r="13" spans="1:14">
      <c r="A13" t="s">
        <v>215</v>
      </c>
      <c r="E13">
        <v>263</v>
      </c>
      <c r="G13">
        <v>73162.55</v>
      </c>
      <c r="H13">
        <v>59481.74</v>
      </c>
      <c r="I13">
        <v>47830.68</v>
      </c>
      <c r="J13">
        <v>11651.06</v>
      </c>
      <c r="K13">
        <v>19.587599999999998</v>
      </c>
    </row>
    <row r="14" spans="1:14">
      <c r="A14" t="s">
        <v>266</v>
      </c>
      <c r="B14" t="s">
        <v>255</v>
      </c>
      <c r="E14">
        <v>4</v>
      </c>
      <c r="G14">
        <v>449.88</v>
      </c>
      <c r="H14">
        <v>365.76</v>
      </c>
      <c r="I14">
        <v>386.32</v>
      </c>
      <c r="J14">
        <v>-20.56</v>
      </c>
      <c r="K14">
        <v>-5.6211000000000002</v>
      </c>
      <c r="L14">
        <f>H14*0.25</f>
        <v>91.44</v>
      </c>
    </row>
    <row r="15" spans="1:14">
      <c r="A15" t="s">
        <v>266</v>
      </c>
      <c r="B15" t="s">
        <v>256</v>
      </c>
      <c r="C15" t="s">
        <v>258</v>
      </c>
      <c r="D15" t="s">
        <v>259</v>
      </c>
      <c r="E15">
        <v>1</v>
      </c>
      <c r="F15" t="s">
        <v>257</v>
      </c>
      <c r="G15">
        <v>112.47</v>
      </c>
      <c r="H15">
        <v>91.44</v>
      </c>
      <c r="I15">
        <v>96.58</v>
      </c>
      <c r="J15">
        <v>-5.14</v>
      </c>
      <c r="K15">
        <v>-5.6211000000000002</v>
      </c>
      <c r="L15">
        <f t="shared" ref="L15:L23" si="0">H15*0.25</f>
        <v>22.86</v>
      </c>
    </row>
    <row r="16" spans="1:14">
      <c r="A16" t="s">
        <v>266</v>
      </c>
      <c r="B16" t="s">
        <v>256</v>
      </c>
      <c r="C16" t="s">
        <v>260</v>
      </c>
      <c r="D16" t="s">
        <v>261</v>
      </c>
      <c r="E16">
        <v>1</v>
      </c>
      <c r="F16" t="s">
        <v>257</v>
      </c>
      <c r="G16">
        <v>112.47</v>
      </c>
      <c r="H16">
        <v>91.44</v>
      </c>
      <c r="I16">
        <v>96.58</v>
      </c>
      <c r="J16">
        <v>-5.14</v>
      </c>
      <c r="K16">
        <v>-5.6211000000000002</v>
      </c>
      <c r="L16">
        <f t="shared" si="0"/>
        <v>22.86</v>
      </c>
    </row>
    <row r="17" spans="1:13">
      <c r="A17" t="s">
        <v>266</v>
      </c>
      <c r="B17" t="s">
        <v>256</v>
      </c>
      <c r="C17" t="s">
        <v>262</v>
      </c>
      <c r="D17" t="s">
        <v>263</v>
      </c>
      <c r="E17">
        <v>1</v>
      </c>
      <c r="F17" t="s">
        <v>257</v>
      </c>
      <c r="G17">
        <v>112.47</v>
      </c>
      <c r="H17">
        <v>91.44</v>
      </c>
      <c r="I17">
        <v>96.58</v>
      </c>
      <c r="J17">
        <v>-5.14</v>
      </c>
      <c r="K17">
        <v>-5.6211000000000002</v>
      </c>
      <c r="L17">
        <f t="shared" si="0"/>
        <v>22.86</v>
      </c>
    </row>
    <row r="18" spans="1:13">
      <c r="A18" t="s">
        <v>266</v>
      </c>
      <c r="B18" t="s">
        <v>256</v>
      </c>
      <c r="C18" t="s">
        <v>264</v>
      </c>
      <c r="D18" t="s">
        <v>265</v>
      </c>
      <c r="E18">
        <v>1</v>
      </c>
      <c r="F18" t="s">
        <v>257</v>
      </c>
      <c r="G18">
        <v>112.47</v>
      </c>
      <c r="H18">
        <v>91.44</v>
      </c>
      <c r="I18">
        <v>96.58</v>
      </c>
      <c r="J18">
        <v>-5.14</v>
      </c>
      <c r="K18">
        <v>-5.6211000000000002</v>
      </c>
      <c r="L18">
        <f t="shared" si="0"/>
        <v>22.86</v>
      </c>
      <c r="M18">
        <f>SUM(L14:L18)</f>
        <v>182.88</v>
      </c>
    </row>
    <row r="19" spans="1:13" s="752" customFormat="1">
      <c r="A19" s="752" t="s">
        <v>236</v>
      </c>
      <c r="B19" s="752" t="s">
        <v>256</v>
      </c>
      <c r="C19" s="752" t="s">
        <v>276</v>
      </c>
      <c r="D19" s="752" t="s">
        <v>277</v>
      </c>
      <c r="E19" s="752">
        <v>2</v>
      </c>
      <c r="F19" s="752" t="s">
        <v>257</v>
      </c>
      <c r="G19" s="752">
        <v>1392.24</v>
      </c>
      <c r="H19" s="752">
        <v>1131.9000000000001</v>
      </c>
      <c r="I19" s="752">
        <v>1192.32</v>
      </c>
      <c r="J19" s="752">
        <v>-60.42</v>
      </c>
      <c r="K19" s="752">
        <v>-5.3379000000000003</v>
      </c>
      <c r="L19" s="752">
        <f t="shared" si="0"/>
        <v>282.97500000000002</v>
      </c>
      <c r="M19" s="752">
        <f>L19</f>
        <v>282.97500000000002</v>
      </c>
    </row>
    <row r="20" spans="1:13">
      <c r="A20" t="s">
        <v>237</v>
      </c>
      <c r="B20" t="s">
        <v>256</v>
      </c>
      <c r="C20" t="s">
        <v>258</v>
      </c>
      <c r="D20" t="s">
        <v>259</v>
      </c>
      <c r="E20">
        <v>2</v>
      </c>
      <c r="F20" t="s">
        <v>257</v>
      </c>
      <c r="G20">
        <v>229.81</v>
      </c>
      <c r="H20">
        <v>186.84</v>
      </c>
      <c r="I20">
        <v>197.32</v>
      </c>
      <c r="J20">
        <v>-10.48</v>
      </c>
      <c r="K20">
        <v>-5.609</v>
      </c>
      <c r="L20">
        <f t="shared" si="0"/>
        <v>46.71</v>
      </c>
    </row>
    <row r="21" spans="1:13">
      <c r="A21" t="s">
        <v>237</v>
      </c>
      <c r="B21" t="s">
        <v>256</v>
      </c>
      <c r="C21" t="s">
        <v>260</v>
      </c>
      <c r="D21" t="s">
        <v>261</v>
      </c>
      <c r="E21">
        <v>10</v>
      </c>
      <c r="F21" t="s">
        <v>257</v>
      </c>
      <c r="G21">
        <v>1149.07</v>
      </c>
      <c r="H21">
        <v>934.2</v>
      </c>
      <c r="I21">
        <v>986.6</v>
      </c>
      <c r="J21">
        <v>-52.4</v>
      </c>
      <c r="K21">
        <v>-5.609</v>
      </c>
      <c r="L21">
        <f t="shared" si="0"/>
        <v>233.55</v>
      </c>
    </row>
    <row r="22" spans="1:13">
      <c r="A22" t="s">
        <v>237</v>
      </c>
      <c r="B22" t="s">
        <v>256</v>
      </c>
      <c r="C22" t="s">
        <v>262</v>
      </c>
      <c r="D22" t="s">
        <v>263</v>
      </c>
      <c r="E22">
        <v>2</v>
      </c>
      <c r="F22" t="s">
        <v>257</v>
      </c>
      <c r="G22">
        <v>229.81</v>
      </c>
      <c r="H22">
        <v>186.84</v>
      </c>
      <c r="I22">
        <v>197.32</v>
      </c>
      <c r="J22">
        <v>-10.48</v>
      </c>
      <c r="K22">
        <v>-5.609</v>
      </c>
      <c r="L22">
        <f t="shared" si="0"/>
        <v>46.71</v>
      </c>
    </row>
    <row r="23" spans="1:13">
      <c r="A23" t="s">
        <v>237</v>
      </c>
      <c r="B23" t="s">
        <v>256</v>
      </c>
      <c r="C23" t="s">
        <v>264</v>
      </c>
      <c r="D23" t="s">
        <v>265</v>
      </c>
      <c r="E23">
        <v>1</v>
      </c>
      <c r="F23" t="s">
        <v>257</v>
      </c>
      <c r="G23">
        <v>114.91</v>
      </c>
      <c r="H23">
        <v>93.42</v>
      </c>
      <c r="I23">
        <v>98.66</v>
      </c>
      <c r="J23">
        <v>-5.24</v>
      </c>
      <c r="K23">
        <v>-5.609</v>
      </c>
      <c r="L23">
        <f t="shared" si="0"/>
        <v>23.355</v>
      </c>
      <c r="M23">
        <f>SUM(L20:L23)</f>
        <v>350.32499999999999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MIRU</vt:lpstr>
      <vt:lpstr>BARTEK</vt:lpstr>
      <vt:lpstr>PIOTR</vt:lpstr>
      <vt:lpstr>KRZYSZTOF</vt:lpstr>
      <vt:lpstr>DH</vt:lpstr>
      <vt:lpstr>REALIZACJE</vt:lpstr>
      <vt:lpstr>WYPŁATY</vt:lpstr>
      <vt:lpstr>Target 2021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2022-01-05T10:01:20Z</cp:lastPrinted>
  <dcterms:created xsi:type="dcterms:W3CDTF">2009-01-30T23:10:02Z</dcterms:created>
  <dcterms:modified xsi:type="dcterms:W3CDTF">2023-09-01T08:37:12Z</dcterms:modified>
</cp:coreProperties>
</file>