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928" activeTab="7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 2022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R17" i="8" l="1"/>
  <c r="R16" i="8"/>
  <c r="R15" i="8"/>
  <c r="R14" i="8"/>
  <c r="Q17" i="8"/>
  <c r="Q16" i="8"/>
  <c r="Q15" i="8"/>
  <c r="Q14" i="8"/>
  <c r="Q8" i="8"/>
  <c r="Q7" i="8"/>
  <c r="Q6" i="8"/>
  <c r="Q4" i="8"/>
  <c r="P4" i="4" l="1"/>
  <c r="P41" i="2" l="1"/>
  <c r="P4" i="2"/>
  <c r="P41" i="6" l="1"/>
  <c r="P6" i="4" l="1"/>
  <c r="B26" i="88" l="1"/>
  <c r="N22" i="88"/>
  <c r="M9" i="102" l="1"/>
  <c r="M7" i="5"/>
  <c r="M7" i="4"/>
  <c r="M6" i="4"/>
  <c r="M7" i="1"/>
  <c r="M7" i="2"/>
  <c r="M7" i="6"/>
  <c r="G14" i="88" l="1"/>
  <c r="I5" i="99" l="1"/>
  <c r="I4" i="99"/>
  <c r="I3" i="99"/>
  <c r="O41" i="6" l="1"/>
  <c r="O41" i="2"/>
  <c r="O41" i="4"/>
  <c r="O4" i="4"/>
  <c r="I4" i="98" l="1"/>
  <c r="I5" i="98"/>
  <c r="N41" i="4" l="1"/>
  <c r="N41" i="2"/>
  <c r="N41" i="6"/>
  <c r="R19" i="102" l="1"/>
  <c r="R3" i="102"/>
  <c r="P4" i="5" l="1"/>
  <c r="L4" i="5"/>
  <c r="L4" i="4" l="1"/>
  <c r="I4" i="97" l="1"/>
  <c r="L41" i="6" l="1"/>
  <c r="L41" i="2"/>
  <c r="L41" i="4"/>
  <c r="L6" i="4"/>
  <c r="Q4" i="1" l="1"/>
  <c r="M54" i="88" l="1"/>
  <c r="M53" i="88"/>
  <c r="M52" i="88"/>
  <c r="M50" i="88"/>
  <c r="G64" i="88" l="1"/>
  <c r="E64" i="88"/>
  <c r="C64" i="88"/>
  <c r="I6" i="96" l="1"/>
  <c r="I3" i="96"/>
  <c r="I4" i="95" l="1"/>
  <c r="I5" i="94" l="1"/>
  <c r="I4" i="94"/>
  <c r="H41" i="4" l="1"/>
  <c r="H41" i="2"/>
  <c r="H41" i="6"/>
  <c r="K35" i="88" l="1"/>
  <c r="K34" i="88"/>
  <c r="K33" i="88"/>
  <c r="K31" i="88"/>
  <c r="E6" i="4"/>
  <c r="M55" i="88"/>
  <c r="N54" i="88" s="1"/>
  <c r="J44" i="88"/>
  <c r="J43" i="88"/>
  <c r="J42" i="88"/>
  <c r="J41" i="88"/>
  <c r="J40" i="88"/>
  <c r="J31" i="88"/>
  <c r="J32" i="88"/>
  <c r="J33" i="88"/>
  <c r="J34" i="88"/>
  <c r="J35" i="88"/>
  <c r="I36" i="88"/>
  <c r="N53" i="88" l="1"/>
  <c r="N51" i="88"/>
  <c r="N52" i="88"/>
  <c r="N50" i="88"/>
  <c r="N7" i="88" l="1"/>
  <c r="N6" i="88"/>
  <c r="N5" i="88"/>
  <c r="N4" i="88"/>
  <c r="N3" i="88"/>
  <c r="M4" i="88"/>
  <c r="M5" i="88"/>
  <c r="M6" i="88"/>
  <c r="M7" i="88"/>
  <c r="M3" i="88"/>
  <c r="L4" i="88"/>
  <c r="L5" i="88"/>
  <c r="L6" i="88"/>
  <c r="L7" i="88"/>
  <c r="L3" i="88"/>
  <c r="K4" i="88"/>
  <c r="K5" i="88"/>
  <c r="K6" i="88"/>
  <c r="K7" i="88"/>
  <c r="K3" i="88"/>
  <c r="J4" i="88"/>
  <c r="J5" i="88"/>
  <c r="J6" i="88"/>
  <c r="J7" i="88"/>
  <c r="J3" i="88"/>
  <c r="I4" i="88"/>
  <c r="I5" i="88"/>
  <c r="I6" i="88"/>
  <c r="I7" i="88"/>
  <c r="I3" i="88"/>
  <c r="I63" i="88"/>
  <c r="I62" i="88"/>
  <c r="I61" i="88"/>
  <c r="I60" i="88"/>
  <c r="I59" i="88"/>
  <c r="I54" i="88"/>
  <c r="I53" i="88"/>
  <c r="I52" i="88"/>
  <c r="I51" i="88"/>
  <c r="I50" i="88"/>
  <c r="F6" i="1"/>
  <c r="I64" i="88" l="1"/>
  <c r="I55" i="88"/>
  <c r="J54" i="88" s="1"/>
  <c r="G41" i="4"/>
  <c r="F41" i="4"/>
  <c r="G41" i="2"/>
  <c r="F41" i="2"/>
  <c r="G21" i="1"/>
  <c r="F21" i="1"/>
  <c r="G41" i="6"/>
  <c r="F41" i="6"/>
  <c r="J63" i="88" l="1"/>
  <c r="J61" i="88"/>
  <c r="J60" i="88"/>
  <c r="J59" i="88"/>
  <c r="J62" i="88"/>
  <c r="J53" i="88"/>
  <c r="J50" i="88"/>
  <c r="J52" i="88"/>
  <c r="J51" i="88"/>
  <c r="B3" i="102"/>
  <c r="C3" i="102"/>
  <c r="D3" i="102"/>
  <c r="E3" i="102"/>
  <c r="F3" i="102"/>
  <c r="G3" i="102"/>
  <c r="B4" i="102"/>
  <c r="C4" i="102" s="1"/>
  <c r="D4" i="102" l="1"/>
  <c r="F4" i="102" s="1"/>
  <c r="G4" i="102" s="1"/>
  <c r="I3" i="92"/>
  <c r="I4" i="92"/>
  <c r="I6" i="92"/>
  <c r="B41" i="5" l="1"/>
  <c r="D41" i="4"/>
  <c r="C41" i="4"/>
  <c r="B41" i="4"/>
  <c r="D41" i="2"/>
  <c r="C41" i="2"/>
  <c r="B41" i="2"/>
  <c r="D21" i="1"/>
  <c r="C21" i="1"/>
  <c r="B21" i="1"/>
  <c r="D41" i="6"/>
  <c r="C41" i="6"/>
  <c r="B41" i="6"/>
  <c r="I5" i="91" l="1"/>
  <c r="R16" i="70" l="1"/>
  <c r="B27" i="88" s="1"/>
  <c r="F6" i="70" l="1"/>
  <c r="F6" i="102" l="1"/>
  <c r="L13" i="104"/>
  <c r="I44" i="88" l="1"/>
  <c r="I43" i="88"/>
  <c r="I42" i="88"/>
  <c r="I41" i="88"/>
  <c r="I40" i="88"/>
  <c r="I45" i="88" s="1"/>
  <c r="I4" i="90" l="1"/>
  <c r="L17" i="104"/>
  <c r="L16" i="104"/>
  <c r="L15" i="104"/>
  <c r="L14" i="104"/>
  <c r="C14" i="88" l="1"/>
  <c r="I32" i="88"/>
  <c r="I33" i="88"/>
  <c r="I34" i="88"/>
  <c r="I35" i="88"/>
  <c r="I31" i="88"/>
  <c r="D6" i="70"/>
  <c r="D6" i="102" s="1"/>
  <c r="C6" i="70"/>
  <c r="C6" i="102" s="1"/>
  <c r="B6" i="70"/>
  <c r="B6" i="102" s="1"/>
  <c r="N4" i="4"/>
  <c r="B7" i="102" l="1"/>
  <c r="C7" i="102" s="1"/>
  <c r="E6" i="102"/>
  <c r="P6" i="2"/>
  <c r="Y10" i="70" l="1"/>
  <c r="O6" i="4" l="1"/>
  <c r="K6" i="2" l="1"/>
  <c r="H6" i="2" l="1"/>
  <c r="C6" i="2" l="1"/>
  <c r="C6" i="5" l="1"/>
  <c r="F41" i="70" l="1"/>
  <c r="B41" i="70" l="1"/>
  <c r="C41" i="70"/>
  <c r="D41" i="70"/>
  <c r="B42" i="70"/>
  <c r="C42" i="70"/>
  <c r="D42" i="70"/>
  <c r="B43" i="70"/>
  <c r="C43" i="70"/>
  <c r="D43" i="70"/>
  <c r="B44" i="70"/>
  <c r="C44" i="70"/>
  <c r="D44" i="70"/>
  <c r="B45" i="70"/>
  <c r="C45" i="70"/>
  <c r="D45" i="70"/>
  <c r="B46" i="70"/>
  <c r="C46" i="70"/>
  <c r="D46" i="70"/>
  <c r="B47" i="70"/>
  <c r="C47" i="70"/>
  <c r="D47" i="70"/>
  <c r="B48" i="70"/>
  <c r="C48" i="70"/>
  <c r="D48" i="70"/>
  <c r="B49" i="70"/>
  <c r="C49" i="70"/>
  <c r="D49" i="70"/>
  <c r="B50" i="70"/>
  <c r="C50" i="70"/>
  <c r="D50" i="70"/>
  <c r="B51" i="70"/>
  <c r="C51" i="70"/>
  <c r="D51" i="70"/>
  <c r="B52" i="70"/>
  <c r="C52" i="70"/>
  <c r="D52" i="70"/>
  <c r="B53" i="70"/>
  <c r="C53" i="70"/>
  <c r="D53" i="70"/>
  <c r="B54" i="70"/>
  <c r="C54" i="70"/>
  <c r="D54" i="70"/>
  <c r="B55" i="70"/>
  <c r="C55" i="70"/>
  <c r="D55" i="70"/>
  <c r="B56" i="70"/>
  <c r="C56" i="70"/>
  <c r="D56" i="70"/>
  <c r="B57" i="70"/>
  <c r="C57" i="70"/>
  <c r="D57" i="70"/>
  <c r="B58" i="70"/>
  <c r="C58" i="70"/>
  <c r="D58" i="70"/>
  <c r="G41" i="70"/>
  <c r="H41" i="70"/>
  <c r="F42" i="70"/>
  <c r="G42" i="70"/>
  <c r="H42" i="70"/>
  <c r="F43" i="70"/>
  <c r="G43" i="70"/>
  <c r="H43" i="70"/>
  <c r="F44" i="70"/>
  <c r="G44" i="70"/>
  <c r="H44" i="70"/>
  <c r="F45" i="70"/>
  <c r="G45" i="70"/>
  <c r="H45" i="70"/>
  <c r="F46" i="70"/>
  <c r="G46" i="70"/>
  <c r="H46" i="70"/>
  <c r="F47" i="70"/>
  <c r="G47" i="70"/>
  <c r="H47" i="70"/>
  <c r="F48" i="70"/>
  <c r="G48" i="70"/>
  <c r="H48" i="70"/>
  <c r="F49" i="70"/>
  <c r="G49" i="70"/>
  <c r="H49" i="70"/>
  <c r="F50" i="70"/>
  <c r="G50" i="70"/>
  <c r="H50" i="70"/>
  <c r="F51" i="70"/>
  <c r="G51" i="70"/>
  <c r="H51" i="70"/>
  <c r="F52" i="70"/>
  <c r="G52" i="70"/>
  <c r="H52" i="70"/>
  <c r="F53" i="70"/>
  <c r="G53" i="70"/>
  <c r="H53" i="70"/>
  <c r="F54" i="70"/>
  <c r="G54" i="70"/>
  <c r="H54" i="70"/>
  <c r="F55" i="70"/>
  <c r="G55" i="70"/>
  <c r="H55" i="70"/>
  <c r="F56" i="70"/>
  <c r="G56" i="70"/>
  <c r="H56" i="70"/>
  <c r="F57" i="70"/>
  <c r="G57" i="70"/>
  <c r="H57" i="70"/>
  <c r="F58" i="70"/>
  <c r="G58" i="70"/>
  <c r="H58" i="70"/>
  <c r="J41" i="70"/>
  <c r="K41" i="70"/>
  <c r="L41" i="70"/>
  <c r="J42" i="70"/>
  <c r="K42" i="70"/>
  <c r="L42" i="70"/>
  <c r="J43" i="70"/>
  <c r="K43" i="70"/>
  <c r="L43" i="70"/>
  <c r="J44" i="70"/>
  <c r="K44" i="70"/>
  <c r="L44" i="70"/>
  <c r="J46" i="70"/>
  <c r="K46" i="70"/>
  <c r="L46" i="70"/>
  <c r="J47" i="70"/>
  <c r="K47" i="70"/>
  <c r="L47" i="70"/>
  <c r="J48" i="70"/>
  <c r="K48" i="70"/>
  <c r="L48" i="70"/>
  <c r="J49" i="70"/>
  <c r="K49" i="70"/>
  <c r="L49" i="70"/>
  <c r="J50" i="70"/>
  <c r="K50" i="70"/>
  <c r="L50" i="70"/>
  <c r="J51" i="70"/>
  <c r="K51" i="70"/>
  <c r="L51" i="70"/>
  <c r="J52" i="70"/>
  <c r="K52" i="70"/>
  <c r="L52" i="70"/>
  <c r="J53" i="70"/>
  <c r="K53" i="70"/>
  <c r="L53" i="70"/>
  <c r="J54" i="70"/>
  <c r="K54" i="70"/>
  <c r="L54" i="70"/>
  <c r="J55" i="70"/>
  <c r="K55" i="70"/>
  <c r="L55" i="70"/>
  <c r="J56" i="70"/>
  <c r="K56" i="70"/>
  <c r="L56" i="70"/>
  <c r="J57" i="70"/>
  <c r="K57" i="70"/>
  <c r="L57" i="70"/>
  <c r="J58" i="70"/>
  <c r="K58" i="70"/>
  <c r="L58" i="70"/>
  <c r="N41" i="70"/>
  <c r="O41" i="70"/>
  <c r="P41" i="70"/>
  <c r="N42" i="70"/>
  <c r="O42" i="70"/>
  <c r="P42" i="70"/>
  <c r="N43" i="70"/>
  <c r="O43" i="70"/>
  <c r="P43" i="70"/>
  <c r="N44" i="70"/>
  <c r="O44" i="70"/>
  <c r="P44" i="70"/>
  <c r="N46" i="70"/>
  <c r="O46" i="70"/>
  <c r="P46" i="70"/>
  <c r="N47" i="70"/>
  <c r="O47" i="70"/>
  <c r="P47" i="70"/>
  <c r="N48" i="70"/>
  <c r="O48" i="70"/>
  <c r="P48" i="70"/>
  <c r="N49" i="70"/>
  <c r="O49" i="70"/>
  <c r="P49" i="70"/>
  <c r="N50" i="70"/>
  <c r="O50" i="70"/>
  <c r="P50" i="70"/>
  <c r="N51" i="70"/>
  <c r="O51" i="70"/>
  <c r="P51" i="70"/>
  <c r="N52" i="70"/>
  <c r="O52" i="70"/>
  <c r="P52" i="70"/>
  <c r="N53" i="70"/>
  <c r="O53" i="70"/>
  <c r="P53" i="70"/>
  <c r="N54" i="70"/>
  <c r="O54" i="70"/>
  <c r="P54" i="70"/>
  <c r="N55" i="70"/>
  <c r="O55" i="70"/>
  <c r="P55" i="70"/>
  <c r="N56" i="70"/>
  <c r="O56" i="70"/>
  <c r="P56" i="70"/>
  <c r="N57" i="70"/>
  <c r="O57" i="70"/>
  <c r="P57" i="70"/>
  <c r="N58" i="70"/>
  <c r="O58" i="70"/>
  <c r="P58" i="70"/>
  <c r="N45" i="70" l="1"/>
  <c r="O45" i="70"/>
  <c r="J45" i="70"/>
  <c r="P45" i="70"/>
  <c r="K45" i="70"/>
  <c r="L45" i="70"/>
  <c r="C3" i="88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G19" i="70"/>
  <c r="G22" i="102" s="1"/>
  <c r="H19" i="70"/>
  <c r="P6" i="70"/>
  <c r="O6" i="70"/>
  <c r="L6" i="70"/>
  <c r="K6" i="70"/>
  <c r="H6" i="70"/>
  <c r="G6" i="70"/>
  <c r="G6" i="102" s="1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B32" i="4"/>
  <c r="D25" i="4"/>
  <c r="D27" i="4" s="1"/>
  <c r="C25" i="4"/>
  <c r="C27" i="4" s="1"/>
  <c r="B25" i="4"/>
  <c r="B27" i="4" s="1"/>
  <c r="D21" i="4"/>
  <c r="C21" i="4"/>
  <c r="B21" i="4"/>
  <c r="F32" i="4"/>
  <c r="H25" i="4"/>
  <c r="H27" i="4" s="1"/>
  <c r="G25" i="4"/>
  <c r="G27" i="4" s="1"/>
  <c r="F25" i="4"/>
  <c r="F27" i="4" s="1"/>
  <c r="H21" i="4"/>
  <c r="G21" i="4"/>
  <c r="F21" i="4"/>
  <c r="J32" i="4"/>
  <c r="L25" i="4"/>
  <c r="L27" i="4" s="1"/>
  <c r="K25" i="4"/>
  <c r="K27" i="4" s="1"/>
  <c r="J25" i="4"/>
  <c r="J27" i="4" s="1"/>
  <c r="L21" i="4"/>
  <c r="K21" i="4"/>
  <c r="J21" i="4"/>
  <c r="N32" i="4"/>
  <c r="P25" i="4"/>
  <c r="P27" i="4" s="1"/>
  <c r="O25" i="4"/>
  <c r="O27" i="4" s="1"/>
  <c r="N25" i="4"/>
  <c r="N27" i="4" s="1"/>
  <c r="P21" i="4"/>
  <c r="O21" i="4"/>
  <c r="N21" i="4"/>
  <c r="B32" i="2"/>
  <c r="D25" i="2"/>
  <c r="D27" i="2" s="1"/>
  <c r="C25" i="2"/>
  <c r="C27" i="2" s="1"/>
  <c r="B25" i="2"/>
  <c r="B27" i="2" s="1"/>
  <c r="D21" i="2"/>
  <c r="C21" i="2"/>
  <c r="B21" i="2"/>
  <c r="F32" i="2"/>
  <c r="H25" i="2"/>
  <c r="H27" i="2" s="1"/>
  <c r="G25" i="2"/>
  <c r="G27" i="2" s="1"/>
  <c r="F25" i="2"/>
  <c r="F27" i="2" s="1"/>
  <c r="H21" i="2"/>
  <c r="G21" i="2"/>
  <c r="F21" i="2"/>
  <c r="J32" i="2"/>
  <c r="L25" i="2"/>
  <c r="L27" i="2" s="1"/>
  <c r="K25" i="2"/>
  <c r="K27" i="2" s="1"/>
  <c r="J25" i="2"/>
  <c r="J27" i="2" s="1"/>
  <c r="L21" i="2"/>
  <c r="K21" i="2"/>
  <c r="J21" i="2"/>
  <c r="N32" i="2"/>
  <c r="P25" i="2"/>
  <c r="P27" i="2" s="1"/>
  <c r="O25" i="2"/>
  <c r="O27" i="2" s="1"/>
  <c r="N25" i="2"/>
  <c r="N27" i="2" s="1"/>
  <c r="P21" i="2"/>
  <c r="O21" i="2"/>
  <c r="N21" i="2"/>
  <c r="D21" i="6"/>
  <c r="D25" i="6"/>
  <c r="D27" i="6" s="1"/>
  <c r="C25" i="6"/>
  <c r="C27" i="6" s="1"/>
  <c r="C21" i="6"/>
  <c r="B25" i="6"/>
  <c r="B27" i="6" s="1"/>
  <c r="B21" i="6"/>
  <c r="H25" i="6"/>
  <c r="H27" i="6" s="1"/>
  <c r="H21" i="6"/>
  <c r="G25" i="6"/>
  <c r="G27" i="6" s="1"/>
  <c r="G21" i="6"/>
  <c r="F25" i="6"/>
  <c r="F27" i="6" s="1"/>
  <c r="F21" i="6"/>
  <c r="L25" i="6"/>
  <c r="L27" i="6" s="1"/>
  <c r="L21" i="6"/>
  <c r="K25" i="6"/>
  <c r="K27" i="6" s="1"/>
  <c r="K21" i="6"/>
  <c r="J25" i="6"/>
  <c r="J27" i="6" s="1"/>
  <c r="J21" i="6"/>
  <c r="P25" i="6"/>
  <c r="P27" i="6" s="1"/>
  <c r="P21" i="6"/>
  <c r="O25" i="6"/>
  <c r="O27" i="6" s="1"/>
  <c r="O21" i="6"/>
  <c r="N21" i="6"/>
  <c r="N25" i="6"/>
  <c r="N6" i="70" l="1"/>
  <c r="B64" i="88" l="1"/>
  <c r="H6" i="102" l="1"/>
  <c r="L16" i="88" l="1"/>
  <c r="G11" i="5" l="1"/>
  <c r="Q3" i="102" l="1"/>
  <c r="P3" i="102"/>
  <c r="O3" i="102"/>
  <c r="N3" i="102"/>
  <c r="M3" i="102"/>
  <c r="L3" i="102"/>
  <c r="K3" i="102"/>
  <c r="J3" i="102"/>
  <c r="I3" i="102"/>
  <c r="I4" i="102" s="1"/>
  <c r="H3" i="102"/>
  <c r="Q4" i="102" l="1"/>
  <c r="J6" i="70"/>
  <c r="J29" i="88"/>
  <c r="T18" i="70" l="1"/>
  <c r="G13" i="103" l="1"/>
  <c r="L6" i="103"/>
  <c r="G6" i="103"/>
  <c r="G6" i="5"/>
  <c r="E3" i="104" l="1"/>
  <c r="E2" i="104"/>
  <c r="E4" i="104" s="1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N23" i="88"/>
  <c r="O23" i="88" l="1"/>
  <c r="F27" i="88"/>
  <c r="G27" i="88" s="1"/>
  <c r="O22" i="88"/>
  <c r="F26" i="88"/>
  <c r="D4" i="3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B35" i="70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I53" i="5"/>
  <c r="M53" i="5"/>
  <c r="Q53" i="5"/>
  <c r="E53" i="5"/>
  <c r="I52" i="5"/>
  <c r="M52" i="5"/>
  <c r="Q52" i="5"/>
  <c r="E52" i="5"/>
  <c r="I51" i="5"/>
  <c r="M51" i="5"/>
  <c r="Q51" i="5"/>
  <c r="E51" i="5"/>
  <c r="I49" i="5"/>
  <c r="M49" i="5"/>
  <c r="Q49" i="5"/>
  <c r="E49" i="5"/>
  <c r="I48" i="5"/>
  <c r="M48" i="5"/>
  <c r="Q48" i="5"/>
  <c r="E48" i="5"/>
  <c r="I47" i="5"/>
  <c r="M47" i="5"/>
  <c r="Q47" i="5"/>
  <c r="E47" i="5"/>
  <c r="I46" i="5"/>
  <c r="M46" i="5"/>
  <c r="Q46" i="5"/>
  <c r="E46" i="5"/>
  <c r="I45" i="5"/>
  <c r="M45" i="5"/>
  <c r="Q45" i="5"/>
  <c r="E45" i="5"/>
  <c r="I43" i="5"/>
  <c r="M43" i="5"/>
  <c r="Q43" i="5"/>
  <c r="E43" i="5"/>
  <c r="I42" i="5"/>
  <c r="M42" i="5"/>
  <c r="Q42" i="5"/>
  <c r="E42" i="5"/>
  <c r="I37" i="5"/>
  <c r="M37" i="5"/>
  <c r="Q37" i="5"/>
  <c r="E37" i="5"/>
  <c r="I53" i="4"/>
  <c r="M53" i="4"/>
  <c r="Q53" i="4"/>
  <c r="E53" i="4"/>
  <c r="I52" i="4"/>
  <c r="M52" i="4"/>
  <c r="Q52" i="4"/>
  <c r="E52" i="4"/>
  <c r="I51" i="4"/>
  <c r="M51" i="4"/>
  <c r="Q51" i="4"/>
  <c r="E51" i="4"/>
  <c r="I49" i="4"/>
  <c r="M49" i="4"/>
  <c r="Q49" i="4"/>
  <c r="E49" i="4"/>
  <c r="I48" i="4"/>
  <c r="M48" i="4"/>
  <c r="Q48" i="4"/>
  <c r="E48" i="4"/>
  <c r="I47" i="4"/>
  <c r="M47" i="4"/>
  <c r="Q47" i="4"/>
  <c r="E47" i="4"/>
  <c r="I46" i="4"/>
  <c r="M46" i="4"/>
  <c r="Q46" i="4"/>
  <c r="E46" i="4"/>
  <c r="I45" i="4"/>
  <c r="M45" i="4"/>
  <c r="Q45" i="4"/>
  <c r="E45" i="4"/>
  <c r="I43" i="4"/>
  <c r="M43" i="4"/>
  <c r="Q43" i="4"/>
  <c r="E43" i="4"/>
  <c r="I42" i="4"/>
  <c r="M42" i="4"/>
  <c r="Q42" i="4"/>
  <c r="E42" i="4"/>
  <c r="I37" i="4"/>
  <c r="M37" i="4"/>
  <c r="Q37" i="4"/>
  <c r="E37" i="4"/>
  <c r="I53" i="2"/>
  <c r="M53" i="2"/>
  <c r="Q53" i="2"/>
  <c r="E53" i="2"/>
  <c r="I52" i="2"/>
  <c r="M52" i="2"/>
  <c r="Q52" i="2"/>
  <c r="E52" i="2"/>
  <c r="I51" i="2"/>
  <c r="M51" i="2"/>
  <c r="Q51" i="2"/>
  <c r="E51" i="2"/>
  <c r="I49" i="2"/>
  <c r="M49" i="2"/>
  <c r="Q49" i="2"/>
  <c r="E49" i="2"/>
  <c r="I48" i="2"/>
  <c r="M48" i="2"/>
  <c r="Q48" i="2"/>
  <c r="E48" i="2"/>
  <c r="I47" i="2"/>
  <c r="M47" i="2"/>
  <c r="Q47" i="2"/>
  <c r="E47" i="2"/>
  <c r="I46" i="2"/>
  <c r="M46" i="2"/>
  <c r="Q46" i="2"/>
  <c r="E46" i="2"/>
  <c r="I45" i="2"/>
  <c r="M45" i="2"/>
  <c r="Q45" i="2"/>
  <c r="E45" i="2"/>
  <c r="I43" i="2"/>
  <c r="M43" i="2"/>
  <c r="Q43" i="2"/>
  <c r="E43" i="2"/>
  <c r="I42" i="2"/>
  <c r="M42" i="2"/>
  <c r="Q42" i="2"/>
  <c r="E42" i="2"/>
  <c r="I37" i="2"/>
  <c r="M37" i="2"/>
  <c r="Q37" i="2"/>
  <c r="E37" i="2"/>
  <c r="M64" i="3"/>
  <c r="M63" i="3"/>
  <c r="M62" i="3"/>
  <c r="M60" i="3"/>
  <c r="M59" i="3"/>
  <c r="M58" i="3"/>
  <c r="M57" i="3"/>
  <c r="M56" i="3"/>
  <c r="M54" i="3"/>
  <c r="M53" i="3"/>
  <c r="M48" i="3"/>
  <c r="I33" i="1"/>
  <c r="M33" i="1"/>
  <c r="Q33" i="1"/>
  <c r="E33" i="1"/>
  <c r="I32" i="1"/>
  <c r="M32" i="1"/>
  <c r="Q32" i="1"/>
  <c r="E32" i="1"/>
  <c r="I31" i="1"/>
  <c r="M31" i="1"/>
  <c r="Q31" i="1"/>
  <c r="E31" i="1"/>
  <c r="I29" i="1"/>
  <c r="M29" i="1"/>
  <c r="Q29" i="1"/>
  <c r="E29" i="1"/>
  <c r="I28" i="1"/>
  <c r="M28" i="1"/>
  <c r="Q28" i="1"/>
  <c r="E28" i="1"/>
  <c r="I27" i="1"/>
  <c r="M27" i="1"/>
  <c r="Q27" i="1"/>
  <c r="E27" i="1"/>
  <c r="I26" i="1"/>
  <c r="M26" i="1"/>
  <c r="Q26" i="1"/>
  <c r="E26" i="1"/>
  <c r="I25" i="1"/>
  <c r="M25" i="1"/>
  <c r="Q25" i="1"/>
  <c r="E25" i="1"/>
  <c r="I23" i="1"/>
  <c r="M23" i="1"/>
  <c r="Q23" i="1"/>
  <c r="E23" i="1"/>
  <c r="I22" i="1"/>
  <c r="M22" i="1"/>
  <c r="Q22" i="1"/>
  <c r="E22" i="1"/>
  <c r="I17" i="1"/>
  <c r="M17" i="1"/>
  <c r="Q17" i="1"/>
  <c r="E17" i="1"/>
  <c r="I53" i="6"/>
  <c r="I52" i="6"/>
  <c r="I51" i="6"/>
  <c r="I49" i="6"/>
  <c r="I48" i="6"/>
  <c r="I47" i="6"/>
  <c r="I46" i="6"/>
  <c r="I45" i="6"/>
  <c r="I43" i="6"/>
  <c r="I42" i="6"/>
  <c r="I37" i="6"/>
  <c r="M53" i="6"/>
  <c r="M52" i="6"/>
  <c r="M51" i="6"/>
  <c r="M49" i="6"/>
  <c r="M48" i="6"/>
  <c r="M47" i="6"/>
  <c r="M46" i="6"/>
  <c r="M45" i="6"/>
  <c r="M43" i="6"/>
  <c r="M42" i="6"/>
  <c r="M37" i="6"/>
  <c r="Q53" i="6"/>
  <c r="Q52" i="6"/>
  <c r="Q51" i="6"/>
  <c r="Q49" i="6"/>
  <c r="Q48" i="6"/>
  <c r="Q47" i="6"/>
  <c r="Q46" i="6"/>
  <c r="Q45" i="6"/>
  <c r="Q43" i="6"/>
  <c r="Q42" i="6"/>
  <c r="Q37" i="6"/>
  <c r="E53" i="6"/>
  <c r="E52" i="6"/>
  <c r="E51" i="6"/>
  <c r="E49" i="6"/>
  <c r="E48" i="6"/>
  <c r="E47" i="6"/>
  <c r="E46" i="6"/>
  <c r="E45" i="6"/>
  <c r="E43" i="6"/>
  <c r="E42" i="6"/>
  <c r="E37" i="6"/>
  <c r="R56" i="103" l="1"/>
  <c r="R60" i="103"/>
  <c r="R51" i="4"/>
  <c r="R53" i="4"/>
  <c r="R52" i="4"/>
  <c r="R60" i="3"/>
  <c r="R32" i="1"/>
  <c r="R51" i="6"/>
  <c r="R37" i="6"/>
  <c r="R46" i="6"/>
  <c r="R53" i="6"/>
  <c r="R43" i="6"/>
  <c r="R48" i="6"/>
  <c r="R17" i="1"/>
  <c r="R26" i="1"/>
  <c r="R31" i="1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25" i="1"/>
  <c r="R29" i="1"/>
  <c r="R23" i="1"/>
  <c r="R28" i="1"/>
  <c r="R22" i="1"/>
  <c r="R27" i="1"/>
  <c r="R33" i="1"/>
  <c r="R42" i="6"/>
  <c r="R47" i="6"/>
  <c r="R52" i="6"/>
  <c r="R45" i="6"/>
  <c r="R49" i="6"/>
  <c r="D11" i="3" l="1"/>
  <c r="C11" i="3"/>
  <c r="B11" i="3"/>
  <c r="H17" i="88" l="1"/>
  <c r="I17" i="88"/>
  <c r="F6" i="88" s="1"/>
  <c r="F4" i="4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D6" i="4" l="1"/>
  <c r="P35" i="70" l="1"/>
  <c r="O35" i="70"/>
  <c r="N35" i="70"/>
  <c r="L35" i="70"/>
  <c r="K35" i="70"/>
  <c r="J35" i="70"/>
  <c r="H35" i="70"/>
  <c r="G35" i="70"/>
  <c r="F35" i="70"/>
  <c r="D35" i="70"/>
  <c r="C35" i="70"/>
  <c r="J43" i="3" l="1"/>
  <c r="F43" i="3"/>
  <c r="B43" i="3"/>
  <c r="N43" i="3"/>
  <c r="J43" i="103"/>
  <c r="F43" i="103"/>
  <c r="B43" i="103"/>
  <c r="N43" i="103"/>
  <c r="F32" i="6"/>
  <c r="J32" i="6"/>
  <c r="N32" i="6"/>
  <c r="B32" i="6"/>
  <c r="N6" i="103" l="1"/>
  <c r="I47" i="70" l="1"/>
  <c r="E47" i="70"/>
  <c r="E51" i="70"/>
  <c r="E55" i="70"/>
  <c r="I41" i="70"/>
  <c r="I52" i="70"/>
  <c r="I56" i="70"/>
  <c r="E41" i="70"/>
  <c r="E49" i="70"/>
  <c r="E53" i="70"/>
  <c r="E57" i="70"/>
  <c r="I50" i="70"/>
  <c r="E52" i="70"/>
  <c r="E56" i="70"/>
  <c r="I46" i="70"/>
  <c r="I49" i="70"/>
  <c r="I53" i="70"/>
  <c r="I57" i="70"/>
  <c r="E46" i="70"/>
  <c r="E50" i="70"/>
  <c r="I51" i="70"/>
  <c r="I55" i="70"/>
  <c r="M15" i="88"/>
  <c r="H4" i="88" s="1"/>
  <c r="L15" i="88"/>
  <c r="K15" i="88"/>
  <c r="G4" i="88" s="1"/>
  <c r="J15" i="88"/>
  <c r="I15" i="88"/>
  <c r="F4" i="88" s="1"/>
  <c r="H15" i="88"/>
  <c r="M14" i="88"/>
  <c r="H3" i="88" s="1"/>
  <c r="L14" i="88"/>
  <c r="K14" i="88"/>
  <c r="G3" i="88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M49" i="70" l="1"/>
  <c r="M51" i="70"/>
  <c r="M53" i="70"/>
  <c r="M55" i="70"/>
  <c r="M57" i="70"/>
  <c r="M47" i="70" l="1"/>
  <c r="M56" i="70"/>
  <c r="M52" i="70"/>
  <c r="Q50" i="70"/>
  <c r="Q56" i="70"/>
  <c r="Q52" i="70"/>
  <c r="M50" i="70"/>
  <c r="Q41" i="70"/>
  <c r="Q57" i="70"/>
  <c r="R57" i="70" s="1"/>
  <c r="Q53" i="70"/>
  <c r="R53" i="70" s="1"/>
  <c r="Q49" i="70"/>
  <c r="R49" i="70" s="1"/>
  <c r="M41" i="70"/>
  <c r="M46" i="70"/>
  <c r="Q55" i="70"/>
  <c r="R55" i="70" s="1"/>
  <c r="Q51" i="70"/>
  <c r="R51" i="70" s="1"/>
  <c r="Q47" i="70"/>
  <c r="R47" i="70" l="1"/>
  <c r="R52" i="70"/>
  <c r="R56" i="70"/>
  <c r="S56" i="70" s="1"/>
  <c r="R50" i="70"/>
  <c r="Q46" i="70"/>
  <c r="R46" i="70" s="1"/>
  <c r="R41" i="70"/>
  <c r="S57" i="70" l="1"/>
  <c r="N4" i="103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F19" i="8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G4" i="6" l="1"/>
  <c r="H4" i="6"/>
  <c r="J4" i="3"/>
  <c r="K4" i="3"/>
  <c r="L4" i="3"/>
  <c r="F5" i="88"/>
  <c r="F4" i="2" s="1"/>
  <c r="G5" i="88"/>
  <c r="G4" i="2" s="1"/>
  <c r="H5" i="88"/>
  <c r="H4" i="2" s="1"/>
  <c r="G6" i="88"/>
  <c r="G4" i="4" s="1"/>
  <c r="H6" i="88"/>
  <c r="H4" i="4" s="1"/>
  <c r="F7" i="88"/>
  <c r="F4" i="5" s="1"/>
  <c r="G7" i="88"/>
  <c r="G4" i="5" s="1"/>
  <c r="H7" i="88"/>
  <c r="H4" i="5" s="1"/>
  <c r="I4" i="2" l="1"/>
  <c r="H4" i="102"/>
  <c r="J4" i="102" l="1"/>
  <c r="K4" i="102" s="1"/>
  <c r="L4" i="102" s="1"/>
  <c r="N4" i="102" s="1"/>
  <c r="O4" i="102" s="1"/>
  <c r="P4" i="102" s="1"/>
  <c r="P19" i="70"/>
  <c r="P22" i="102" s="1"/>
  <c r="O19" i="70"/>
  <c r="O22" i="102" s="1"/>
  <c r="N19" i="70"/>
  <c r="N22" i="102" s="1"/>
  <c r="L19" i="70"/>
  <c r="L22" i="102" s="1"/>
  <c r="Q22" i="102" l="1"/>
  <c r="K19" i="70"/>
  <c r="K22" i="102" s="1"/>
  <c r="P6" i="102"/>
  <c r="K6" i="102"/>
  <c r="O6" i="2"/>
  <c r="N11" i="1"/>
  <c r="N12" i="1" s="1"/>
  <c r="L11" i="103"/>
  <c r="J6" i="6"/>
  <c r="J6" i="1"/>
  <c r="F6" i="3"/>
  <c r="J6" i="2"/>
  <c r="J7" i="2" s="1"/>
  <c r="J19" i="2" s="1"/>
  <c r="J6" i="4"/>
  <c r="J6" i="5"/>
  <c r="J11" i="5"/>
  <c r="J11" i="4"/>
  <c r="J11" i="2"/>
  <c r="J12" i="2" s="1"/>
  <c r="J11" i="6"/>
  <c r="J11" i="1"/>
  <c r="F13" i="3"/>
  <c r="F7" i="1"/>
  <c r="D6" i="1"/>
  <c r="C6" i="1"/>
  <c r="B6" i="1"/>
  <c r="K11" i="103"/>
  <c r="K4" i="1"/>
  <c r="L4" i="1"/>
  <c r="J4" i="2"/>
  <c r="K4" i="2"/>
  <c r="L4" i="2"/>
  <c r="J4" i="4"/>
  <c r="K4" i="4"/>
  <c r="J4" i="5"/>
  <c r="K4" i="5"/>
  <c r="L4" i="6"/>
  <c r="J4" i="6"/>
  <c r="K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B6" i="6"/>
  <c r="L6" i="102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D5" i="88"/>
  <c r="C4" i="2" s="1"/>
  <c r="E5" i="88"/>
  <c r="D4" i="2" s="1"/>
  <c r="C6" i="88"/>
  <c r="B4" i="4" s="1"/>
  <c r="D6" i="88"/>
  <c r="C4" i="4" s="1"/>
  <c r="E6" i="88"/>
  <c r="D4" i="4" s="1"/>
  <c r="C7" i="88"/>
  <c r="B4" i="5" s="1"/>
  <c r="D7" i="88"/>
  <c r="C4" i="5" s="1"/>
  <c r="E7" i="88"/>
  <c r="D4" i="5" s="1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I11" i="1" s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O6" i="5"/>
  <c r="L6" i="5"/>
  <c r="K6" i="5"/>
  <c r="H6" i="5"/>
  <c r="F6" i="5"/>
  <c r="B6" i="5"/>
  <c r="B7" i="5" s="1"/>
  <c r="B19" i="5" s="1"/>
  <c r="K6" i="4"/>
  <c r="H6" i="4"/>
  <c r="G6" i="4"/>
  <c r="F6" i="4"/>
  <c r="F7" i="4" s="1"/>
  <c r="F19" i="4" s="1"/>
  <c r="C6" i="4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P6" i="6"/>
  <c r="O6" i="6"/>
  <c r="L6" i="6"/>
  <c r="K6" i="6"/>
  <c r="H6" i="6"/>
  <c r="G6" i="6"/>
  <c r="F7" i="6"/>
  <c r="F19" i="6" s="1"/>
  <c r="C6" i="6"/>
  <c r="L6" i="2"/>
  <c r="G6" i="2"/>
  <c r="F6" i="2"/>
  <c r="F7" i="2" s="1"/>
  <c r="F19" i="2" s="1"/>
  <c r="D6" i="2"/>
  <c r="D13" i="2" s="1"/>
  <c r="B6" i="2"/>
  <c r="H22" i="102"/>
  <c r="J19" i="70"/>
  <c r="J22" i="102" s="1"/>
  <c r="C19" i="70"/>
  <c r="C22" i="102" s="1"/>
  <c r="D19" i="70"/>
  <c r="D22" i="102" s="1"/>
  <c r="F19" i="70"/>
  <c r="F22" i="102" s="1"/>
  <c r="B19" i="70"/>
  <c r="B22" i="102" s="1"/>
  <c r="O6" i="102"/>
  <c r="N27" i="6"/>
  <c r="N6" i="4"/>
  <c r="N7" i="4" s="1"/>
  <c r="N19" i="4" s="1"/>
  <c r="N11" i="5"/>
  <c r="N6" i="5"/>
  <c r="N7" i="5" s="1"/>
  <c r="N19" i="5" s="1"/>
  <c r="B6" i="3"/>
  <c r="N6" i="2"/>
  <c r="N13" i="2" s="1"/>
  <c r="N11" i="6"/>
  <c r="N6" i="6"/>
  <c r="B13" i="3"/>
  <c r="Q6" i="1" l="1"/>
  <c r="K60" i="88" s="1"/>
  <c r="I6" i="1"/>
  <c r="K41" i="88" s="1"/>
  <c r="J12" i="1"/>
  <c r="K12" i="1" s="1"/>
  <c r="L12" i="1" s="1"/>
  <c r="M11" i="1"/>
  <c r="J7" i="1"/>
  <c r="K7" i="1" s="1"/>
  <c r="M6" i="1"/>
  <c r="K51" i="88" s="1"/>
  <c r="E22" i="102"/>
  <c r="B23" i="102"/>
  <c r="C23" i="102" s="1"/>
  <c r="D23" i="102" s="1"/>
  <c r="F23" i="102" s="1"/>
  <c r="G23" i="102" s="1"/>
  <c r="P8" i="70"/>
  <c r="P21" i="70"/>
  <c r="P24" i="102" s="1"/>
  <c r="J12" i="6"/>
  <c r="K12" i="6" s="1"/>
  <c r="J21" i="70"/>
  <c r="J24" i="102" s="1"/>
  <c r="J8" i="70"/>
  <c r="B12" i="4"/>
  <c r="J12" i="4"/>
  <c r="F12" i="4"/>
  <c r="G12" i="4" s="1"/>
  <c r="N12" i="4"/>
  <c r="C12" i="4"/>
  <c r="D12" i="4" s="1"/>
  <c r="F12" i="5"/>
  <c r="G12" i="5" s="1"/>
  <c r="B12" i="5"/>
  <c r="B14" i="5" s="1"/>
  <c r="J12" i="5"/>
  <c r="K12" i="5" s="1"/>
  <c r="G8" i="70"/>
  <c r="G8" i="102" s="1"/>
  <c r="E8" i="88"/>
  <c r="D13" i="102" s="1"/>
  <c r="K21" i="70"/>
  <c r="K24" i="102" s="1"/>
  <c r="K26" i="102" s="1"/>
  <c r="K8" i="70"/>
  <c r="K10" i="70" s="1"/>
  <c r="G21" i="70"/>
  <c r="G24" i="102" s="1"/>
  <c r="B7" i="4"/>
  <c r="B19" i="4" s="1"/>
  <c r="B12" i="2"/>
  <c r="E11" i="2"/>
  <c r="B7" i="1"/>
  <c r="C7" i="1" s="1"/>
  <c r="D7" i="1" s="1"/>
  <c r="R6" i="1"/>
  <c r="P4" i="88" s="1"/>
  <c r="M11" i="3"/>
  <c r="K8" i="5"/>
  <c r="J7" i="5"/>
  <c r="J19" i="5" s="1"/>
  <c r="E6" i="6"/>
  <c r="B5" i="2"/>
  <c r="H13" i="4"/>
  <c r="B8" i="70"/>
  <c r="B8" i="102" s="1"/>
  <c r="K13" i="1"/>
  <c r="K13" i="2"/>
  <c r="N13" i="1"/>
  <c r="H13" i="5"/>
  <c r="J8" i="3"/>
  <c r="E6" i="70"/>
  <c r="G13" i="2"/>
  <c r="H13" i="2"/>
  <c r="O8" i="70"/>
  <c r="O10" i="70" s="1"/>
  <c r="N21" i="70"/>
  <c r="N24" i="102" s="1"/>
  <c r="N26" i="102" s="1"/>
  <c r="J6" i="102"/>
  <c r="M6" i="102" s="1"/>
  <c r="M6" i="70"/>
  <c r="I6" i="102"/>
  <c r="I7" i="102" s="1"/>
  <c r="I6" i="70"/>
  <c r="N6" i="102"/>
  <c r="Q6" i="102" s="1"/>
  <c r="Q7" i="102" s="1"/>
  <c r="Q6" i="70"/>
  <c r="L21" i="70"/>
  <c r="L24" i="102" s="1"/>
  <c r="L26" i="102" s="1"/>
  <c r="D21" i="70"/>
  <c r="D24" i="102" s="1"/>
  <c r="C8" i="70"/>
  <c r="H8" i="70"/>
  <c r="D8" i="70"/>
  <c r="D8" i="102" s="1"/>
  <c r="C21" i="70"/>
  <c r="C24" i="102" s="1"/>
  <c r="H21" i="70"/>
  <c r="F8" i="70"/>
  <c r="F8" i="102" s="1"/>
  <c r="L8" i="70"/>
  <c r="L10" i="70" s="1"/>
  <c r="O21" i="70"/>
  <c r="F14" i="3"/>
  <c r="F30" i="3" s="1"/>
  <c r="F7" i="3"/>
  <c r="F24" i="3" s="1"/>
  <c r="B7" i="3"/>
  <c r="B24" i="3" s="1"/>
  <c r="N8" i="70"/>
  <c r="N10" i="70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18" i="2" s="1"/>
  <c r="J20" i="2" s="1"/>
  <c r="J22" i="2" s="1"/>
  <c r="J23" i="2" s="1"/>
  <c r="J28" i="2" s="1"/>
  <c r="J5" i="4"/>
  <c r="J18" i="4" s="1"/>
  <c r="J5" i="6"/>
  <c r="J5" i="5"/>
  <c r="J4" i="1"/>
  <c r="I4" i="1"/>
  <c r="M11" i="103"/>
  <c r="L15" i="103"/>
  <c r="G18" i="3"/>
  <c r="N7" i="6"/>
  <c r="N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K44" i="88" s="1"/>
  <c r="Q6" i="5"/>
  <c r="K63" i="88" s="1"/>
  <c r="M11" i="5"/>
  <c r="O13" i="2"/>
  <c r="H18" i="3"/>
  <c r="J7" i="3"/>
  <c r="J24" i="3" s="1"/>
  <c r="Q6" i="6"/>
  <c r="K59" i="88" s="1"/>
  <c r="M11" i="6"/>
  <c r="I6" i="4"/>
  <c r="K43" i="88" s="1"/>
  <c r="O13" i="4"/>
  <c r="D8" i="88"/>
  <c r="C13" i="102" s="1"/>
  <c r="N5" i="3"/>
  <c r="O5" i="3" s="1"/>
  <c r="B5" i="5"/>
  <c r="B18" i="5" s="1"/>
  <c r="B20" i="5" s="1"/>
  <c r="B22" i="5" s="1"/>
  <c r="B23" i="5" s="1"/>
  <c r="B28" i="5" s="1"/>
  <c r="B7" i="70"/>
  <c r="B32" i="70" s="1"/>
  <c r="B20" i="70"/>
  <c r="C20" i="70" s="1"/>
  <c r="I22" i="102"/>
  <c r="M22" i="102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19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19" i="5" s="1"/>
  <c r="E6" i="5"/>
  <c r="G13" i="5"/>
  <c r="P13" i="5"/>
  <c r="F7" i="5"/>
  <c r="F19" i="5" s="1"/>
  <c r="F13" i="5"/>
  <c r="K13" i="5"/>
  <c r="H8" i="5"/>
  <c r="D13" i="5"/>
  <c r="C13" i="5"/>
  <c r="G7" i="4"/>
  <c r="G19" i="4" s="1"/>
  <c r="D13" i="4"/>
  <c r="K13" i="4"/>
  <c r="L8" i="4"/>
  <c r="H8" i="4"/>
  <c r="F13" i="2"/>
  <c r="B7" i="2"/>
  <c r="B19" i="2" s="1"/>
  <c r="G7" i="2"/>
  <c r="G19" i="2" s="1"/>
  <c r="M11" i="2"/>
  <c r="J14" i="2"/>
  <c r="I6" i="2"/>
  <c r="K42" i="88" s="1"/>
  <c r="M6" i="2"/>
  <c r="K52" i="88" s="1"/>
  <c r="D8" i="2"/>
  <c r="J13" i="2"/>
  <c r="E11" i="4"/>
  <c r="Q13" i="3"/>
  <c r="E13" i="3"/>
  <c r="F13" i="4"/>
  <c r="N7" i="3"/>
  <c r="N24" i="3" s="1"/>
  <c r="E6" i="1"/>
  <c r="K32" i="88" s="1"/>
  <c r="O13" i="1"/>
  <c r="O7" i="5"/>
  <c r="O19" i="5" s="1"/>
  <c r="N13" i="4"/>
  <c r="D8" i="4"/>
  <c r="C8" i="2"/>
  <c r="J7" i="4"/>
  <c r="J19" i="4" s="1"/>
  <c r="K53" i="88"/>
  <c r="H8" i="88"/>
  <c r="H13" i="102" s="1"/>
  <c r="L8" i="6"/>
  <c r="K8" i="88"/>
  <c r="L13" i="102" s="1"/>
  <c r="O12" i="2"/>
  <c r="Q11" i="2"/>
  <c r="N7" i="2"/>
  <c r="N19" i="2" s="1"/>
  <c r="N12" i="5"/>
  <c r="Q11" i="5"/>
  <c r="Q6" i="3"/>
  <c r="H13" i="1"/>
  <c r="K18" i="3"/>
  <c r="E4" i="6"/>
  <c r="C8" i="88"/>
  <c r="B13" i="102" s="1"/>
  <c r="O7" i="4"/>
  <c r="O19" i="4" s="1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J13" i="102" s="1"/>
  <c r="I6" i="3"/>
  <c r="E11" i="1"/>
  <c r="R11" i="1" s="1"/>
  <c r="I13" i="3"/>
  <c r="D8" i="5"/>
  <c r="C8" i="4"/>
  <c r="G8" i="5"/>
  <c r="F8" i="4"/>
  <c r="K8" i="3"/>
  <c r="F8" i="88"/>
  <c r="F13" i="102" s="1"/>
  <c r="J8" i="88"/>
  <c r="K13" i="102" s="1"/>
  <c r="O12" i="1"/>
  <c r="P12" i="1" s="1"/>
  <c r="G13" i="1"/>
  <c r="C8" i="5"/>
  <c r="H8" i="2"/>
  <c r="L8" i="2"/>
  <c r="G8" i="88"/>
  <c r="G13" i="102" s="1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N14" i="1" s="1"/>
  <c r="J13" i="1"/>
  <c r="K8" i="1"/>
  <c r="N12" i="6"/>
  <c r="B7" i="6"/>
  <c r="B13" i="6"/>
  <c r="G7" i="6"/>
  <c r="H7" i="6" s="1"/>
  <c r="I6" i="6"/>
  <c r="K40" i="88" s="1"/>
  <c r="F12" i="6"/>
  <c r="O13" i="6"/>
  <c r="I11" i="6"/>
  <c r="H13" i="6"/>
  <c r="N13" i="6"/>
  <c r="Q11" i="6"/>
  <c r="L13" i="6"/>
  <c r="J7" i="6"/>
  <c r="M6" i="6"/>
  <c r="K50" i="88" s="1"/>
  <c r="C8" i="6"/>
  <c r="G8" i="6"/>
  <c r="J23" i="3"/>
  <c r="F5" i="5"/>
  <c r="F18" i="5" s="1"/>
  <c r="F8" i="5"/>
  <c r="I4" i="6"/>
  <c r="R19" i="70"/>
  <c r="B5" i="1"/>
  <c r="C5" i="1" s="1"/>
  <c r="B8" i="1"/>
  <c r="K5" i="3"/>
  <c r="L5" i="3" s="1"/>
  <c r="M4" i="3"/>
  <c r="F8" i="6"/>
  <c r="F13" i="70"/>
  <c r="I4" i="5"/>
  <c r="F5" i="6"/>
  <c r="F5" i="4"/>
  <c r="I4" i="4"/>
  <c r="B12" i="3"/>
  <c r="B29" i="3" s="1"/>
  <c r="B15" i="3"/>
  <c r="R6" i="70"/>
  <c r="D8" i="6"/>
  <c r="E4" i="4"/>
  <c r="B8" i="4"/>
  <c r="B5" i="4"/>
  <c r="B18" i="4" s="1"/>
  <c r="L8" i="5"/>
  <c r="D8" i="1"/>
  <c r="K8" i="2"/>
  <c r="K8" i="6"/>
  <c r="F5" i="1"/>
  <c r="G5" i="1" s="1"/>
  <c r="H5" i="1" s="1"/>
  <c r="F8" i="1"/>
  <c r="E4" i="1"/>
  <c r="G8" i="2"/>
  <c r="J12" i="3"/>
  <c r="J29" i="3" s="1"/>
  <c r="K8" i="4"/>
  <c r="F8" i="2"/>
  <c r="F5" i="2"/>
  <c r="K64" i="88" l="1"/>
  <c r="L59" i="88" s="1"/>
  <c r="K55" i="88"/>
  <c r="L53" i="88" s="1"/>
  <c r="K36" i="88"/>
  <c r="L32" i="88"/>
  <c r="J14" i="1"/>
  <c r="M13" i="102"/>
  <c r="J8" i="1"/>
  <c r="M4" i="1"/>
  <c r="K45" i="88"/>
  <c r="L41" i="88" s="1"/>
  <c r="E13" i="102"/>
  <c r="E24" i="102"/>
  <c r="E21" i="102" s="1"/>
  <c r="B26" i="102"/>
  <c r="B25" i="102"/>
  <c r="C25" i="102" s="1"/>
  <c r="C26" i="102"/>
  <c r="D26" i="102"/>
  <c r="D10" i="102"/>
  <c r="D33" i="102"/>
  <c r="F26" i="102"/>
  <c r="B9" i="102"/>
  <c r="B10" i="102"/>
  <c r="B14" i="102"/>
  <c r="B33" i="102"/>
  <c r="G26" i="102"/>
  <c r="G33" i="102"/>
  <c r="G10" i="102"/>
  <c r="C10" i="70"/>
  <c r="C8" i="102"/>
  <c r="D14" i="102" s="1"/>
  <c r="F10" i="102"/>
  <c r="G14" i="102"/>
  <c r="F14" i="102"/>
  <c r="F33" i="102"/>
  <c r="Y12" i="70"/>
  <c r="Z13" i="70" s="1"/>
  <c r="F10" i="70"/>
  <c r="E8" i="70"/>
  <c r="C12" i="5"/>
  <c r="F14" i="4"/>
  <c r="R6" i="6"/>
  <c r="P3" i="88" s="1"/>
  <c r="N15" i="3"/>
  <c r="P27" i="70"/>
  <c r="Q8" i="70"/>
  <c r="Q5" i="70" s="1"/>
  <c r="P10" i="70"/>
  <c r="J10" i="70"/>
  <c r="I8" i="70"/>
  <c r="F20" i="5"/>
  <c r="F22" i="5" s="1"/>
  <c r="F23" i="5" s="1"/>
  <c r="F28" i="5" s="1"/>
  <c r="B18" i="2"/>
  <c r="B20" i="2" s="1"/>
  <c r="B22" i="2" s="1"/>
  <c r="B23" i="2" s="1"/>
  <c r="B28" i="2" s="1"/>
  <c r="J28" i="88"/>
  <c r="B20" i="4"/>
  <c r="B22" i="4" s="1"/>
  <c r="B23" i="4" s="1"/>
  <c r="B28" i="4" s="1"/>
  <c r="R8" i="70"/>
  <c r="J20" i="4"/>
  <c r="J22" i="4" s="1"/>
  <c r="J23" i="4" s="1"/>
  <c r="J28" i="4" s="1"/>
  <c r="G5" i="2"/>
  <c r="G9" i="2" s="1"/>
  <c r="F18" i="2"/>
  <c r="F20" i="2" s="1"/>
  <c r="F22" i="2" s="1"/>
  <c r="F23" i="2" s="1"/>
  <c r="F28" i="2" s="1"/>
  <c r="G5" i="4"/>
  <c r="G18" i="4" s="1"/>
  <c r="G20" i="4" s="1"/>
  <c r="G22" i="4" s="1"/>
  <c r="G23" i="4" s="1"/>
  <c r="G28" i="4" s="1"/>
  <c r="F18" i="4"/>
  <c r="F20" i="4" s="1"/>
  <c r="F22" i="4" s="1"/>
  <c r="F23" i="4" s="1"/>
  <c r="F28" i="4" s="1"/>
  <c r="K5" i="5"/>
  <c r="K18" i="5" s="1"/>
  <c r="J18" i="5"/>
  <c r="J20" i="5" s="1"/>
  <c r="J22" i="5" s="1"/>
  <c r="J23" i="5" s="1"/>
  <c r="J28" i="5" s="1"/>
  <c r="H12" i="4"/>
  <c r="K12" i="4"/>
  <c r="O12" i="4"/>
  <c r="M8" i="70"/>
  <c r="M9" i="70" s="1"/>
  <c r="L8" i="102"/>
  <c r="I21" i="70"/>
  <c r="D27" i="88"/>
  <c r="E27" i="88" s="1"/>
  <c r="H27" i="88"/>
  <c r="I13" i="102"/>
  <c r="D26" i="88"/>
  <c r="E26" i="88" s="1"/>
  <c r="G26" i="88"/>
  <c r="H26" i="88"/>
  <c r="I26" i="88" s="1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19" i="4" s="1"/>
  <c r="J14" i="5"/>
  <c r="K7" i="5"/>
  <c r="K19" i="5" s="1"/>
  <c r="H7" i="2"/>
  <c r="F14" i="5"/>
  <c r="H12" i="5"/>
  <c r="G12" i="2"/>
  <c r="R6" i="2"/>
  <c r="P5" i="88" s="1"/>
  <c r="E4" i="2"/>
  <c r="B8" i="2"/>
  <c r="C5" i="2"/>
  <c r="C18" i="2" s="1"/>
  <c r="S19" i="70"/>
  <c r="S18" i="70" s="1"/>
  <c r="F14" i="70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Q18" i="70" s="1"/>
  <c r="H27" i="70"/>
  <c r="J8" i="102"/>
  <c r="J27" i="70"/>
  <c r="T6" i="70"/>
  <c r="S6" i="70"/>
  <c r="S5" i="70" s="1"/>
  <c r="J8" i="4"/>
  <c r="K16" i="103"/>
  <c r="K17" i="103"/>
  <c r="K29" i="103"/>
  <c r="K31" i="103" s="1"/>
  <c r="K33" i="103" s="1"/>
  <c r="K34" i="103" s="1"/>
  <c r="K39" i="103" s="1"/>
  <c r="K5" i="6"/>
  <c r="L5" i="6" s="1"/>
  <c r="J18" i="6"/>
  <c r="J9" i="6"/>
  <c r="J8" i="6"/>
  <c r="M4" i="4"/>
  <c r="N12" i="3"/>
  <c r="O7" i="6"/>
  <c r="P7" i="6" s="1"/>
  <c r="N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18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L23" i="70"/>
  <c r="F14" i="2"/>
  <c r="C7" i="2"/>
  <c r="C19" i="2" s="1"/>
  <c r="J19" i="3"/>
  <c r="K7" i="3"/>
  <c r="K24" i="3" s="1"/>
  <c r="J9" i="3"/>
  <c r="J10" i="3"/>
  <c r="J23" i="70"/>
  <c r="H10" i="70"/>
  <c r="H8" i="102"/>
  <c r="P8" i="102"/>
  <c r="O8" i="102"/>
  <c r="F23" i="70"/>
  <c r="N8" i="102"/>
  <c r="P23" i="70"/>
  <c r="P26" i="102"/>
  <c r="G23" i="70"/>
  <c r="K23" i="70"/>
  <c r="O23" i="70"/>
  <c r="O24" i="102"/>
  <c r="H23" i="70"/>
  <c r="H24" i="102"/>
  <c r="H26" i="102" s="1"/>
  <c r="K27" i="70"/>
  <c r="K8" i="102"/>
  <c r="N23" i="3"/>
  <c r="N25" i="3" s="1"/>
  <c r="N27" i="3" s="1"/>
  <c r="N28" i="3" s="1"/>
  <c r="O23" i="3"/>
  <c r="B13" i="70"/>
  <c r="B14" i="70" s="1"/>
  <c r="N8" i="3"/>
  <c r="B9" i="5"/>
  <c r="B10" i="5"/>
  <c r="C5" i="5"/>
  <c r="B8" i="5"/>
  <c r="C7" i="70"/>
  <c r="B8" i="6"/>
  <c r="R22" i="102"/>
  <c r="R21" i="102" s="1"/>
  <c r="R6" i="102"/>
  <c r="D23" i="70"/>
  <c r="D10" i="70"/>
  <c r="C23" i="70"/>
  <c r="N10" i="3"/>
  <c r="N9" i="3"/>
  <c r="N19" i="3"/>
  <c r="B9" i="2"/>
  <c r="B10" i="70"/>
  <c r="B22" i="70"/>
  <c r="B14" i="1"/>
  <c r="B9" i="70"/>
  <c r="R11" i="4"/>
  <c r="R11" i="2"/>
  <c r="K14" i="2"/>
  <c r="D14" i="1"/>
  <c r="R11" i="5"/>
  <c r="C14" i="1"/>
  <c r="C14" i="5"/>
  <c r="R6" i="3"/>
  <c r="G7" i="5"/>
  <c r="G19" i="5" s="1"/>
  <c r="O12" i="5"/>
  <c r="D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O19" i="2" s="1"/>
  <c r="J14" i="4"/>
  <c r="N14" i="4"/>
  <c r="P7" i="5"/>
  <c r="N30" i="5" s="1"/>
  <c r="R6" i="4"/>
  <c r="P6" i="88" s="1"/>
  <c r="P12" i="2"/>
  <c r="R11" i="6"/>
  <c r="D27" i="70"/>
  <c r="O7" i="1"/>
  <c r="B19" i="3"/>
  <c r="N14" i="5"/>
  <c r="B23" i="70"/>
  <c r="B27" i="70"/>
  <c r="C14" i="3"/>
  <c r="C30" i="3" s="1"/>
  <c r="L7" i="1"/>
  <c r="L14" i="1" s="1"/>
  <c r="K14" i="1"/>
  <c r="G14" i="1"/>
  <c r="H7" i="1"/>
  <c r="H14" i="1" s="1"/>
  <c r="K7" i="6"/>
  <c r="K9" i="6" s="1"/>
  <c r="J19" i="6"/>
  <c r="J14" i="6"/>
  <c r="C27" i="70"/>
  <c r="N23" i="70"/>
  <c r="F30" i="6"/>
  <c r="H19" i="6"/>
  <c r="F14" i="6"/>
  <c r="G12" i="6"/>
  <c r="G14" i="6" s="1"/>
  <c r="B19" i="6"/>
  <c r="B14" i="6"/>
  <c r="L27" i="70"/>
  <c r="G27" i="70"/>
  <c r="C7" i="6"/>
  <c r="R21" i="70"/>
  <c r="R18" i="70" s="1"/>
  <c r="G19" i="6"/>
  <c r="G10" i="70"/>
  <c r="O12" i="6"/>
  <c r="N14" i="6"/>
  <c r="F10" i="5"/>
  <c r="G5" i="5"/>
  <c r="G18" i="5" s="1"/>
  <c r="J40" i="3"/>
  <c r="B9" i="1"/>
  <c r="K23" i="3"/>
  <c r="J10" i="4"/>
  <c r="K5" i="4"/>
  <c r="K18" i="4" s="1"/>
  <c r="J9" i="4"/>
  <c r="G13" i="70"/>
  <c r="H13" i="70" s="1"/>
  <c r="H14" i="70" s="1"/>
  <c r="J10" i="5"/>
  <c r="J9" i="5"/>
  <c r="B10" i="1"/>
  <c r="F10" i="4"/>
  <c r="F9" i="4"/>
  <c r="F9" i="6"/>
  <c r="F18" i="6"/>
  <c r="F20" i="6" s="1"/>
  <c r="F22" i="6" s="1"/>
  <c r="F23" i="6" s="1"/>
  <c r="F28" i="6" s="1"/>
  <c r="F10" i="6"/>
  <c r="G5" i="6"/>
  <c r="J17" i="3"/>
  <c r="K12" i="3"/>
  <c r="K29" i="3" s="1"/>
  <c r="J16" i="3"/>
  <c r="B10" i="4"/>
  <c r="B9" i="4"/>
  <c r="C5" i="4"/>
  <c r="C18" i="4" s="1"/>
  <c r="C12" i="3"/>
  <c r="C29" i="3" s="1"/>
  <c r="B17" i="3"/>
  <c r="B16" i="3"/>
  <c r="D20" i="70"/>
  <c r="G10" i="1"/>
  <c r="G9" i="1"/>
  <c r="F10" i="1"/>
  <c r="F9" i="1"/>
  <c r="J9" i="2"/>
  <c r="J10" i="2"/>
  <c r="F10" i="2"/>
  <c r="F9" i="2"/>
  <c r="K5" i="2"/>
  <c r="K18" i="2" s="1"/>
  <c r="K20" i="2" s="1"/>
  <c r="K22" i="2" s="1"/>
  <c r="K23" i="2" s="1"/>
  <c r="K28" i="2" s="1"/>
  <c r="D5" i="1"/>
  <c r="C9" i="1"/>
  <c r="C10" i="1"/>
  <c r="L61" i="88" l="1"/>
  <c r="L62" i="88"/>
  <c r="R5" i="102"/>
  <c r="S3" i="102"/>
  <c r="R34" i="102"/>
  <c r="L63" i="88"/>
  <c r="L60" i="88"/>
  <c r="L52" i="88"/>
  <c r="L50" i="88"/>
  <c r="L51" i="88"/>
  <c r="L54" i="88"/>
  <c r="L34" i="88"/>
  <c r="L33" i="88"/>
  <c r="L31" i="88"/>
  <c r="L35" i="88"/>
  <c r="P8" i="88"/>
  <c r="L44" i="88"/>
  <c r="L43" i="88"/>
  <c r="G10" i="2"/>
  <c r="L40" i="88"/>
  <c r="L42" i="88"/>
  <c r="C21" i="102"/>
  <c r="C29" i="102"/>
  <c r="C31" i="102"/>
  <c r="C30" i="102"/>
  <c r="C28" i="102"/>
  <c r="C27" i="102"/>
  <c r="E8" i="102"/>
  <c r="D25" i="102"/>
  <c r="B21" i="102"/>
  <c r="B29" i="102"/>
  <c r="B31" i="102"/>
  <c r="B27" i="102"/>
  <c r="B30" i="102"/>
  <c r="B28" i="102"/>
  <c r="B12" i="102"/>
  <c r="B5" i="102"/>
  <c r="B15" i="102"/>
  <c r="B16" i="102"/>
  <c r="B11" i="102"/>
  <c r="B17" i="102"/>
  <c r="B34" i="102"/>
  <c r="C10" i="102"/>
  <c r="C33" i="102"/>
  <c r="C9" i="102"/>
  <c r="C14" i="102"/>
  <c r="I27" i="88"/>
  <c r="J27" i="88"/>
  <c r="R5" i="70"/>
  <c r="S8" i="70"/>
  <c r="T3" i="70"/>
  <c r="G20" i="5"/>
  <c r="G22" i="5" s="1"/>
  <c r="G23" i="5" s="1"/>
  <c r="G28" i="5" s="1"/>
  <c r="D7" i="70"/>
  <c r="K20" i="5"/>
  <c r="K22" i="5" s="1"/>
  <c r="K23" i="5" s="1"/>
  <c r="K28" i="5" s="1"/>
  <c r="K20" i="4"/>
  <c r="K22" i="4" s="1"/>
  <c r="K23" i="4" s="1"/>
  <c r="K28" i="4" s="1"/>
  <c r="P19" i="5"/>
  <c r="D19" i="5"/>
  <c r="B30" i="5"/>
  <c r="L5" i="5"/>
  <c r="J29" i="5" s="1"/>
  <c r="F30" i="4"/>
  <c r="H19" i="4"/>
  <c r="P19" i="4"/>
  <c r="N30" i="4"/>
  <c r="D7" i="4"/>
  <c r="D14" i="4" s="1"/>
  <c r="C19" i="4"/>
  <c r="C20" i="4" s="1"/>
  <c r="C22" i="4" s="1"/>
  <c r="C23" i="4" s="1"/>
  <c r="C28" i="4" s="1"/>
  <c r="G9" i="4"/>
  <c r="G10" i="4"/>
  <c r="H5" i="4"/>
  <c r="H18" i="4" s="1"/>
  <c r="J30" i="2"/>
  <c r="L19" i="2"/>
  <c r="C20" i="2"/>
  <c r="C22" i="2" s="1"/>
  <c r="C23" i="2" s="1"/>
  <c r="C28" i="2" s="1"/>
  <c r="F30" i="2"/>
  <c r="H19" i="2"/>
  <c r="C10" i="5"/>
  <c r="C18" i="5"/>
  <c r="C20" i="5" s="1"/>
  <c r="C22" i="5" s="1"/>
  <c r="C23" i="5" s="1"/>
  <c r="C28" i="5" s="1"/>
  <c r="F29" i="4"/>
  <c r="H5" i="2"/>
  <c r="H9" i="2" s="1"/>
  <c r="G18" i="2"/>
  <c r="G20" i="2" s="1"/>
  <c r="G22" i="2" s="1"/>
  <c r="G23" i="2" s="1"/>
  <c r="G28" i="2" s="1"/>
  <c r="L12" i="4"/>
  <c r="P12" i="4"/>
  <c r="I5" i="70"/>
  <c r="C14" i="4"/>
  <c r="F7" i="8"/>
  <c r="E5" i="70"/>
  <c r="T5" i="70"/>
  <c r="V7" i="70"/>
  <c r="M5" i="70"/>
  <c r="B8" i="8"/>
  <c r="B24" i="70"/>
  <c r="B18" i="70"/>
  <c r="G24" i="3"/>
  <c r="G19" i="3"/>
  <c r="K9" i="5"/>
  <c r="J8" i="8"/>
  <c r="F39" i="3"/>
  <c r="J9" i="8" s="1"/>
  <c r="H12" i="2"/>
  <c r="B6" i="8"/>
  <c r="D12" i="2"/>
  <c r="C9" i="2"/>
  <c r="C10" i="2"/>
  <c r="C14" i="2"/>
  <c r="J6" i="8"/>
  <c r="G31" i="3"/>
  <c r="G33" i="3" s="1"/>
  <c r="G34" i="3" s="1"/>
  <c r="G7" i="8"/>
  <c r="F6" i="8"/>
  <c r="J39" i="3"/>
  <c r="F9" i="8" s="1"/>
  <c r="G14" i="2"/>
  <c r="B11" i="70"/>
  <c r="B5" i="70"/>
  <c r="C9" i="70"/>
  <c r="C12" i="70" s="1"/>
  <c r="B10" i="6"/>
  <c r="N16" i="3"/>
  <c r="N29" i="3"/>
  <c r="N31" i="3" s="1"/>
  <c r="N33" i="3" s="1"/>
  <c r="N34" i="3" s="1"/>
  <c r="N39" i="3" s="1"/>
  <c r="B9" i="8" s="1"/>
  <c r="J7" i="8"/>
  <c r="B7" i="8"/>
  <c r="K14" i="4"/>
  <c r="F8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8" i="102"/>
  <c r="O26" i="102"/>
  <c r="Q24" i="102"/>
  <c r="Q21" i="102" s="1"/>
  <c r="D5" i="2"/>
  <c r="H23" i="102"/>
  <c r="J23" i="102" s="1"/>
  <c r="K23" i="102" s="1"/>
  <c r="L23" i="102" s="1"/>
  <c r="N23" i="102" s="1"/>
  <c r="O23" i="102" s="1"/>
  <c r="P23" i="102" s="1"/>
  <c r="K16" i="3"/>
  <c r="P14" i="3"/>
  <c r="P30" i="3" s="1"/>
  <c r="J10" i="1"/>
  <c r="J26" i="102"/>
  <c r="M24" i="102"/>
  <c r="M21" i="102" s="1"/>
  <c r="J10" i="102"/>
  <c r="M8" i="102"/>
  <c r="G17" i="3"/>
  <c r="H14" i="3"/>
  <c r="H30" i="3" s="1"/>
  <c r="C19" i="3"/>
  <c r="I8" i="102"/>
  <c r="I14" i="102" s="1"/>
  <c r="H7" i="3"/>
  <c r="K5" i="1"/>
  <c r="K10" i="1" s="1"/>
  <c r="O19" i="3"/>
  <c r="H23" i="3"/>
  <c r="F40" i="3"/>
  <c r="J20" i="6"/>
  <c r="J22" i="6" s="1"/>
  <c r="J23" i="6" s="1"/>
  <c r="J28" i="6" s="1"/>
  <c r="J14" i="102"/>
  <c r="K14" i="102"/>
  <c r="H12" i="3"/>
  <c r="H29" i="3" s="1"/>
  <c r="G10" i="3"/>
  <c r="O19" i="6"/>
  <c r="K10" i="6"/>
  <c r="K18" i="6"/>
  <c r="N17" i="3"/>
  <c r="O12" i="3"/>
  <c r="O29" i="3" s="1"/>
  <c r="O31" i="3" s="1"/>
  <c r="O33" i="3" s="1"/>
  <c r="O34" i="3" s="1"/>
  <c r="P19" i="6"/>
  <c r="D7" i="2"/>
  <c r="B9" i="6"/>
  <c r="R11" i="3"/>
  <c r="R12" i="3" s="1"/>
  <c r="G23" i="3"/>
  <c r="G16" i="3"/>
  <c r="C5" i="6"/>
  <c r="C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C32" i="70"/>
  <c r="L14" i="2"/>
  <c r="P12" i="5"/>
  <c r="O14" i="5"/>
  <c r="L7" i="3"/>
  <c r="L24" i="3" s="1"/>
  <c r="K9" i="3"/>
  <c r="K19" i="3"/>
  <c r="K10" i="3"/>
  <c r="B25" i="70"/>
  <c r="L14" i="102"/>
  <c r="J33" i="102"/>
  <c r="O33" i="102"/>
  <c r="O10" i="102"/>
  <c r="K33" i="102"/>
  <c r="K10" i="102"/>
  <c r="I24" i="102"/>
  <c r="I21" i="102" s="1"/>
  <c r="N33" i="102"/>
  <c r="N10" i="102"/>
  <c r="H33" i="102"/>
  <c r="H10" i="102"/>
  <c r="H14" i="102"/>
  <c r="P10" i="102"/>
  <c r="L33" i="102"/>
  <c r="L10" i="102"/>
  <c r="C13" i="70"/>
  <c r="C14" i="70" s="1"/>
  <c r="C9" i="5"/>
  <c r="D5" i="5"/>
  <c r="B12" i="70"/>
  <c r="B20" i="6"/>
  <c r="B33" i="70"/>
  <c r="B34" i="70" s="1"/>
  <c r="B36" i="70" s="1"/>
  <c r="B37" i="70" s="1"/>
  <c r="R8" i="102"/>
  <c r="C22" i="70"/>
  <c r="R24" i="102"/>
  <c r="R25" i="102" s="1"/>
  <c r="B28" i="70"/>
  <c r="H9" i="1"/>
  <c r="H14" i="4"/>
  <c r="H5" i="5"/>
  <c r="O10" i="3"/>
  <c r="D14" i="5"/>
  <c r="H7" i="5"/>
  <c r="G14" i="5"/>
  <c r="F4" i="8"/>
  <c r="O14" i="1"/>
  <c r="P7" i="1"/>
  <c r="P14" i="1" s="1"/>
  <c r="P7" i="2"/>
  <c r="O14" i="2"/>
  <c r="D14" i="3"/>
  <c r="D30" i="3" s="1"/>
  <c r="H10" i="1"/>
  <c r="P12" i="6"/>
  <c r="O14" i="6"/>
  <c r="D7" i="6"/>
  <c r="C14" i="6"/>
  <c r="C19" i="6"/>
  <c r="K14" i="6"/>
  <c r="L7" i="6"/>
  <c r="L9" i="6" s="1"/>
  <c r="K19" i="6"/>
  <c r="H12" i="6"/>
  <c r="G10" i="5"/>
  <c r="G9" i="5"/>
  <c r="L23" i="3"/>
  <c r="G14" i="70"/>
  <c r="L5" i="4"/>
  <c r="K9" i="4"/>
  <c r="K10" i="4"/>
  <c r="G10" i="6"/>
  <c r="G18" i="6"/>
  <c r="G20" i="6" s="1"/>
  <c r="G22" i="6" s="1"/>
  <c r="G23" i="6" s="1"/>
  <c r="G28" i="6" s="1"/>
  <c r="H5" i="6"/>
  <c r="G9" i="6"/>
  <c r="D12" i="3"/>
  <c r="D29" i="3" s="1"/>
  <c r="C17" i="3"/>
  <c r="C16" i="3"/>
  <c r="J29" i="6"/>
  <c r="L18" i="6"/>
  <c r="C9" i="4"/>
  <c r="C10" i="4"/>
  <c r="D5" i="4"/>
  <c r="K17" i="3"/>
  <c r="L12" i="3"/>
  <c r="L29" i="3" s="1"/>
  <c r="L5" i="2"/>
  <c r="K10" i="2"/>
  <c r="K9" i="2"/>
  <c r="F20" i="70"/>
  <c r="G20" i="70" s="1"/>
  <c r="D10" i="1"/>
  <c r="D9" i="1"/>
  <c r="Q5" i="102" l="1"/>
  <c r="Q14" i="102"/>
  <c r="E5" i="102"/>
  <c r="E14" i="102"/>
  <c r="M5" i="102"/>
  <c r="M14" i="102"/>
  <c r="R9" i="102"/>
  <c r="S8" i="102"/>
  <c r="S24" i="102"/>
  <c r="S4" i="88"/>
  <c r="S3" i="88"/>
  <c r="S6" i="88"/>
  <c r="S5" i="88"/>
  <c r="S7" i="88"/>
  <c r="L18" i="5"/>
  <c r="I5" i="102"/>
  <c r="I9" i="102"/>
  <c r="D32" i="70"/>
  <c r="D7" i="102"/>
  <c r="F7" i="102" s="1"/>
  <c r="G7" i="102" s="1"/>
  <c r="H7" i="102" s="1"/>
  <c r="J7" i="102" s="1"/>
  <c r="K7" i="102" s="1"/>
  <c r="L7" i="102" s="1"/>
  <c r="N7" i="102" s="1"/>
  <c r="O7" i="102" s="1"/>
  <c r="P7" i="102" s="1"/>
  <c r="Q9" i="102" s="1"/>
  <c r="E10" i="70"/>
  <c r="F7" i="70"/>
  <c r="F32" i="70" s="1"/>
  <c r="C15" i="102"/>
  <c r="C17" i="102"/>
  <c r="C11" i="102"/>
  <c r="C34" i="102"/>
  <c r="C16" i="102"/>
  <c r="C5" i="102"/>
  <c r="C12" i="102"/>
  <c r="D9" i="102"/>
  <c r="D28" i="102"/>
  <c r="D30" i="102"/>
  <c r="D29" i="102"/>
  <c r="D27" i="102"/>
  <c r="D21" i="102"/>
  <c r="D31" i="102"/>
  <c r="F25" i="102"/>
  <c r="F31" i="4"/>
  <c r="F33" i="4" s="1"/>
  <c r="F34" i="4" s="1"/>
  <c r="F16" i="8" s="1"/>
  <c r="D9" i="70"/>
  <c r="H9" i="4"/>
  <c r="H10" i="4"/>
  <c r="H10" i="2"/>
  <c r="K39" i="3"/>
  <c r="G9" i="8" s="1"/>
  <c r="H20" i="4"/>
  <c r="H22" i="4" s="1"/>
  <c r="H23" i="4" s="1"/>
  <c r="H28" i="4" s="1"/>
  <c r="J30" i="5"/>
  <c r="J31" i="5" s="1"/>
  <c r="J33" i="5" s="1"/>
  <c r="J34" i="5" s="1"/>
  <c r="J17" i="8" s="1"/>
  <c r="L19" i="5"/>
  <c r="F30" i="5"/>
  <c r="H19" i="5"/>
  <c r="J30" i="4"/>
  <c r="L19" i="4"/>
  <c r="B30" i="4"/>
  <c r="D19" i="4"/>
  <c r="P19" i="2"/>
  <c r="N30" i="2"/>
  <c r="B30" i="2"/>
  <c r="D19" i="2"/>
  <c r="D18" i="5"/>
  <c r="D20" i="5" s="1"/>
  <c r="D22" i="5" s="1"/>
  <c r="D23" i="5" s="1"/>
  <c r="D28" i="5" s="1"/>
  <c r="B29" i="5"/>
  <c r="B31" i="5" s="1"/>
  <c r="B33" i="5" s="1"/>
  <c r="B34" i="5" s="1"/>
  <c r="B22" i="6"/>
  <c r="B23" i="6" s="1"/>
  <c r="B28" i="6" s="1"/>
  <c r="B4" i="8" s="1"/>
  <c r="D18" i="4"/>
  <c r="B29" i="4"/>
  <c r="D18" i="2"/>
  <c r="B29" i="2"/>
  <c r="H18" i="5"/>
  <c r="F29" i="5"/>
  <c r="F29" i="2"/>
  <c r="F31" i="2" s="1"/>
  <c r="F33" i="2" s="1"/>
  <c r="F34" i="2" s="1"/>
  <c r="F15" i="8" s="1"/>
  <c r="H18" i="2"/>
  <c r="H20" i="2" s="1"/>
  <c r="H22" i="2" s="1"/>
  <c r="H23" i="2" s="1"/>
  <c r="H28" i="2" s="1"/>
  <c r="H6" i="8" s="1"/>
  <c r="J29" i="4"/>
  <c r="L18" i="4"/>
  <c r="J29" i="2"/>
  <c r="J31" i="2" s="1"/>
  <c r="J33" i="2" s="1"/>
  <c r="J34" i="2" s="1"/>
  <c r="L18" i="2"/>
  <c r="L20" i="2" s="1"/>
  <c r="L22" i="2" s="1"/>
  <c r="L23" i="2" s="1"/>
  <c r="L28" i="2" s="1"/>
  <c r="C7" i="8"/>
  <c r="C6" i="8"/>
  <c r="D22" i="70"/>
  <c r="C18" i="70"/>
  <c r="G25" i="3"/>
  <c r="G27" i="3" s="1"/>
  <c r="G28" i="3" s="1"/>
  <c r="G39" i="3" s="1"/>
  <c r="K9" i="8" s="1"/>
  <c r="L9" i="5"/>
  <c r="K8" i="8"/>
  <c r="H14" i="2"/>
  <c r="G6" i="8"/>
  <c r="D9" i="2"/>
  <c r="D10" i="2"/>
  <c r="D14" i="2"/>
  <c r="G8" i="8"/>
  <c r="F44" i="103"/>
  <c r="F45" i="103" s="1"/>
  <c r="J19" i="8" s="1"/>
  <c r="C5" i="70"/>
  <c r="O39" i="3"/>
  <c r="C9" i="8" s="1"/>
  <c r="H31" i="3"/>
  <c r="H33" i="3" s="1"/>
  <c r="H34" i="3" s="1"/>
  <c r="K6" i="8"/>
  <c r="L14" i="5"/>
  <c r="L10" i="5"/>
  <c r="C8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B19" i="8" s="1"/>
  <c r="P14" i="4"/>
  <c r="B41" i="3"/>
  <c r="D24" i="3"/>
  <c r="F41" i="3"/>
  <c r="F42" i="3" s="1"/>
  <c r="H24" i="3"/>
  <c r="H25" i="3" s="1"/>
  <c r="H27" i="3" s="1"/>
  <c r="H28" i="3" s="1"/>
  <c r="L14" i="4"/>
  <c r="L5" i="1"/>
  <c r="L10" i="1" s="1"/>
  <c r="K9" i="1"/>
  <c r="B38" i="70"/>
  <c r="B5" i="8" s="1"/>
  <c r="P12" i="3"/>
  <c r="P16" i="3" s="1"/>
  <c r="C11" i="70"/>
  <c r="C25" i="70"/>
  <c r="J4" i="8"/>
  <c r="H16" i="3"/>
  <c r="H10" i="3"/>
  <c r="H19" i="3"/>
  <c r="H9" i="3"/>
  <c r="N40" i="3"/>
  <c r="P10" i="3"/>
  <c r="D9" i="5"/>
  <c r="H17" i="3"/>
  <c r="N41" i="3"/>
  <c r="J41" i="3"/>
  <c r="J42" i="3" s="1"/>
  <c r="K20" i="6"/>
  <c r="K22" i="6" s="1"/>
  <c r="K23" i="6" s="1"/>
  <c r="K28" i="6" s="1"/>
  <c r="L19" i="3"/>
  <c r="P14" i="5"/>
  <c r="U19" i="70"/>
  <c r="U18" i="70" s="1"/>
  <c r="C10" i="6"/>
  <c r="U6" i="70"/>
  <c r="U5" i="70" s="1"/>
  <c r="J26" i="88"/>
  <c r="O17" i="3"/>
  <c r="C9" i="6"/>
  <c r="D5" i="6"/>
  <c r="B29" i="6" s="1"/>
  <c r="O16" i="3"/>
  <c r="K7" i="8"/>
  <c r="P23" i="3"/>
  <c r="P25" i="3" s="1"/>
  <c r="P27" i="3" s="1"/>
  <c r="P28" i="3" s="1"/>
  <c r="G39" i="103"/>
  <c r="K10" i="8" s="1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J10" i="8" s="1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3" i="70"/>
  <c r="D14" i="70" s="1"/>
  <c r="L9" i="3"/>
  <c r="D10" i="5"/>
  <c r="C20" i="6"/>
  <c r="C24" i="70"/>
  <c r="C28" i="70"/>
  <c r="P9" i="3"/>
  <c r="Y11" i="70"/>
  <c r="P19" i="3"/>
  <c r="C33" i="70"/>
  <c r="C34" i="70" s="1"/>
  <c r="C36" i="70" s="1"/>
  <c r="C37" i="70" s="1"/>
  <c r="C38" i="70" s="1"/>
  <c r="C5" i="8" s="1"/>
  <c r="H14" i="5"/>
  <c r="H10" i="5"/>
  <c r="P14" i="2"/>
  <c r="L10" i="6"/>
  <c r="G4" i="8"/>
  <c r="D19" i="3"/>
  <c r="H14" i="6"/>
  <c r="L14" i="6"/>
  <c r="J30" i="6"/>
  <c r="J31" i="6" s="1"/>
  <c r="J33" i="6" s="1"/>
  <c r="L19" i="6"/>
  <c r="L20" i="6" s="1"/>
  <c r="L22" i="6" s="1"/>
  <c r="L23" i="6" s="1"/>
  <c r="L28" i="6" s="1"/>
  <c r="P14" i="6"/>
  <c r="B30" i="6"/>
  <c r="D19" i="6"/>
  <c r="D14" i="6"/>
  <c r="L10" i="4"/>
  <c r="L9" i="4"/>
  <c r="H9" i="6"/>
  <c r="H10" i="6"/>
  <c r="F29" i="6"/>
  <c r="F31" i="6" s="1"/>
  <c r="F33" i="6" s="1"/>
  <c r="H18" i="6"/>
  <c r="H20" i="6" s="1"/>
  <c r="H22" i="6" s="1"/>
  <c r="H23" i="6" s="1"/>
  <c r="H28" i="6" s="1"/>
  <c r="L10" i="2"/>
  <c r="L9" i="2"/>
  <c r="D9" i="4"/>
  <c r="D10" i="4"/>
  <c r="L17" i="3"/>
  <c r="L16" i="3"/>
  <c r="D16" i="3"/>
  <c r="D17" i="3"/>
  <c r="L20" i="5" l="1"/>
  <c r="L22" i="5" s="1"/>
  <c r="L23" i="5" s="1"/>
  <c r="L28" i="5" s="1"/>
  <c r="L8" i="8" s="1"/>
  <c r="F21" i="102"/>
  <c r="F29" i="102"/>
  <c r="F28" i="102"/>
  <c r="F27" i="102"/>
  <c r="F30" i="102"/>
  <c r="F31" i="102"/>
  <c r="G25" i="102"/>
  <c r="D16" i="102"/>
  <c r="D12" i="102"/>
  <c r="D5" i="102"/>
  <c r="D15" i="102"/>
  <c r="D17" i="102"/>
  <c r="D11" i="102"/>
  <c r="D34" i="102"/>
  <c r="F9" i="102"/>
  <c r="H20" i="5"/>
  <c r="H22" i="5" s="1"/>
  <c r="H23" i="5" s="1"/>
  <c r="H28" i="5" s="1"/>
  <c r="H8" i="8" s="1"/>
  <c r="E11" i="70"/>
  <c r="D12" i="70"/>
  <c r="D20" i="4"/>
  <c r="D22" i="4" s="1"/>
  <c r="D23" i="4" s="1"/>
  <c r="D28" i="4" s="1"/>
  <c r="D7" i="8" s="1"/>
  <c r="G7" i="70"/>
  <c r="H7" i="70" s="1"/>
  <c r="Z12" i="70"/>
  <c r="Z11" i="70"/>
  <c r="L20" i="4"/>
  <c r="L22" i="4" s="1"/>
  <c r="L23" i="4" s="1"/>
  <c r="L28" i="4" s="1"/>
  <c r="L7" i="8" s="1"/>
  <c r="B31" i="2"/>
  <c r="B33" i="2" s="1"/>
  <c r="B34" i="2" s="1"/>
  <c r="J31" i="4"/>
  <c r="J33" i="4" s="1"/>
  <c r="J34" i="4" s="1"/>
  <c r="J16" i="8" s="1"/>
  <c r="F31" i="5"/>
  <c r="F33" i="5" s="1"/>
  <c r="F34" i="5" s="1"/>
  <c r="F17" i="8" s="1"/>
  <c r="B31" i="4"/>
  <c r="B33" i="4" s="1"/>
  <c r="B34" i="4" s="1"/>
  <c r="B16" i="8" s="1"/>
  <c r="D20" i="2"/>
  <c r="D22" i="2" s="1"/>
  <c r="D23" i="2" s="1"/>
  <c r="D28" i="2" s="1"/>
  <c r="D6" i="8" s="1"/>
  <c r="C22" i="6"/>
  <c r="C23" i="6" s="1"/>
  <c r="C28" i="6" s="1"/>
  <c r="C4" i="8" s="1"/>
  <c r="K4" i="8"/>
  <c r="F22" i="70"/>
  <c r="D18" i="70"/>
  <c r="L6" i="8"/>
  <c r="L9" i="1"/>
  <c r="H39" i="3"/>
  <c r="L9" i="8" s="1"/>
  <c r="D11" i="70"/>
  <c r="D5" i="70"/>
  <c r="B31" i="6"/>
  <c r="F44" i="3"/>
  <c r="F45" i="3" s="1"/>
  <c r="J18" i="8" s="1"/>
  <c r="P17" i="3"/>
  <c r="P29" i="3"/>
  <c r="P31" i="3" s="1"/>
  <c r="P33" i="3" s="1"/>
  <c r="P34" i="3" s="1"/>
  <c r="P39" i="3" s="1"/>
  <c r="L39" i="3"/>
  <c r="H9" i="8" s="1"/>
  <c r="J44" i="3"/>
  <c r="J45" i="3" s="1"/>
  <c r="F18" i="8" s="1"/>
  <c r="F34" i="6"/>
  <c r="F14" i="8" s="1"/>
  <c r="J34" i="6"/>
  <c r="J14" i="8" s="1"/>
  <c r="J15" i="8"/>
  <c r="B17" i="8"/>
  <c r="L4" i="8"/>
  <c r="N42" i="3"/>
  <c r="D9" i="6"/>
  <c r="D18" i="6"/>
  <c r="D20" i="6" s="1"/>
  <c r="D10" i="6"/>
  <c r="H7" i="8"/>
  <c r="H39" i="103"/>
  <c r="L10" i="8" s="1"/>
  <c r="P29" i="103"/>
  <c r="P31" i="103" s="1"/>
  <c r="P33" i="103" s="1"/>
  <c r="P34" i="103" s="1"/>
  <c r="P39" i="103" s="1"/>
  <c r="P17" i="103"/>
  <c r="P16" i="103"/>
  <c r="D33" i="70"/>
  <c r="D34" i="70" s="1"/>
  <c r="D36" i="70" s="1"/>
  <c r="D37" i="70" s="1"/>
  <c r="D38" i="70" s="1"/>
  <c r="D5" i="8" s="1"/>
  <c r="F9" i="70"/>
  <c r="F12" i="70" s="1"/>
  <c r="D28" i="70"/>
  <c r="D25" i="70"/>
  <c r="D24" i="70"/>
  <c r="D8" i="8"/>
  <c r="H4" i="8"/>
  <c r="H20" i="70"/>
  <c r="G32" i="70"/>
  <c r="F34" i="102" l="1"/>
  <c r="F11" i="102"/>
  <c r="F12" i="102"/>
  <c r="F16" i="102"/>
  <c r="F17" i="102"/>
  <c r="F5" i="102"/>
  <c r="F15" i="102"/>
  <c r="G9" i="102"/>
  <c r="G30" i="102"/>
  <c r="G28" i="102"/>
  <c r="G29" i="102"/>
  <c r="G27" i="102"/>
  <c r="G21" i="102"/>
  <c r="G31" i="102"/>
  <c r="B33" i="6"/>
  <c r="B34" i="6" s="1"/>
  <c r="B14" i="8" s="1"/>
  <c r="D22" i="6"/>
  <c r="D23" i="6" s="1"/>
  <c r="D28" i="6" s="1"/>
  <c r="D4" i="8" s="1"/>
  <c r="F18" i="70"/>
  <c r="G22" i="70"/>
  <c r="I23" i="70" s="1"/>
  <c r="B15" i="8"/>
  <c r="F5" i="70"/>
  <c r="N44" i="3"/>
  <c r="N45" i="3" s="1"/>
  <c r="B18" i="8" s="1"/>
  <c r="D9" i="8"/>
  <c r="F28" i="70"/>
  <c r="F33" i="70"/>
  <c r="F34" i="70" s="1"/>
  <c r="F36" i="70" s="1"/>
  <c r="F37" i="70" s="1"/>
  <c r="F38" i="70" s="1"/>
  <c r="F5" i="8" s="1"/>
  <c r="F11" i="70"/>
  <c r="G9" i="70"/>
  <c r="G11" i="70" s="1"/>
  <c r="F25" i="70"/>
  <c r="F24" i="70"/>
  <c r="J20" i="70"/>
  <c r="H32" i="70"/>
  <c r="J7" i="70"/>
  <c r="G5" i="102" l="1"/>
  <c r="G34" i="102"/>
  <c r="G11" i="102"/>
  <c r="G16" i="102"/>
  <c r="G17" i="102"/>
  <c r="G12" i="102"/>
  <c r="G15" i="102"/>
  <c r="G24" i="70"/>
  <c r="G18" i="70"/>
  <c r="G5" i="70"/>
  <c r="G12" i="70"/>
  <c r="H9" i="70"/>
  <c r="G33" i="70"/>
  <c r="G34" i="70" s="1"/>
  <c r="G36" i="70" s="1"/>
  <c r="G37" i="70" s="1"/>
  <c r="G38" i="70" s="1"/>
  <c r="G5" i="8" s="1"/>
  <c r="H22" i="70"/>
  <c r="G25" i="70"/>
  <c r="G28" i="70"/>
  <c r="K20" i="70"/>
  <c r="K7" i="70"/>
  <c r="J32" i="70"/>
  <c r="I11" i="70" l="1"/>
  <c r="J9" i="70"/>
  <c r="M11" i="70" s="1"/>
  <c r="I9" i="70"/>
  <c r="H5" i="70"/>
  <c r="H18" i="70"/>
  <c r="I20" i="70"/>
  <c r="H12" i="70"/>
  <c r="H28" i="70"/>
  <c r="H33" i="70"/>
  <c r="H34" i="70" s="1"/>
  <c r="H36" i="70" s="1"/>
  <c r="H37" i="70" s="1"/>
  <c r="H38" i="70" s="1"/>
  <c r="H5" i="8" s="1"/>
  <c r="H11" i="70"/>
  <c r="H25" i="102"/>
  <c r="H21" i="102" s="1"/>
  <c r="H9" i="102"/>
  <c r="H16" i="102" s="1"/>
  <c r="J22" i="70"/>
  <c r="J18" i="70" s="1"/>
  <c r="H24" i="70"/>
  <c r="H25" i="70"/>
  <c r="K32" i="70"/>
  <c r="L7" i="70"/>
  <c r="L20" i="70"/>
  <c r="J12" i="70" l="1"/>
  <c r="J11" i="70"/>
  <c r="K9" i="70"/>
  <c r="J5" i="70"/>
  <c r="H5" i="102"/>
  <c r="J33" i="70"/>
  <c r="J34" i="70" s="1"/>
  <c r="J36" i="70" s="1"/>
  <c r="J37" i="70" s="1"/>
  <c r="J38" i="70" s="1"/>
  <c r="J28" i="70"/>
  <c r="K22" i="70"/>
  <c r="K18" i="70" s="1"/>
  <c r="J25" i="70"/>
  <c r="J24" i="70"/>
  <c r="H17" i="102"/>
  <c r="H15" i="102"/>
  <c r="H11" i="102"/>
  <c r="H12" i="102"/>
  <c r="J9" i="102"/>
  <c r="H34" i="102"/>
  <c r="H29" i="102"/>
  <c r="H31" i="102"/>
  <c r="H30" i="102"/>
  <c r="H27" i="102"/>
  <c r="J25" i="102"/>
  <c r="J21" i="102" s="1"/>
  <c r="H28" i="102"/>
  <c r="N20" i="70"/>
  <c r="N7" i="70"/>
  <c r="L32" i="70"/>
  <c r="L9" i="70" l="1"/>
  <c r="M10" i="70" s="1"/>
  <c r="K12" i="70"/>
  <c r="K11" i="70"/>
  <c r="J5" i="102"/>
  <c r="J12" i="102"/>
  <c r="K5" i="70"/>
  <c r="K28" i="70"/>
  <c r="K33" i="70"/>
  <c r="K34" i="70" s="1"/>
  <c r="K36" i="70" s="1"/>
  <c r="K37" i="70" s="1"/>
  <c r="J30" i="102"/>
  <c r="J29" i="102"/>
  <c r="J31" i="102"/>
  <c r="J27" i="102"/>
  <c r="K25" i="102"/>
  <c r="K21" i="102" s="1"/>
  <c r="J28" i="102"/>
  <c r="J15" i="102"/>
  <c r="J17" i="102"/>
  <c r="J16" i="102"/>
  <c r="J11" i="102"/>
  <c r="J34" i="102"/>
  <c r="K9" i="102"/>
  <c r="K5" i="102" s="1"/>
  <c r="L22" i="70"/>
  <c r="L18" i="70" s="1"/>
  <c r="K25" i="70"/>
  <c r="K24" i="70"/>
  <c r="O20" i="70"/>
  <c r="N32" i="70"/>
  <c r="O7" i="70"/>
  <c r="N9" i="70" l="1"/>
  <c r="L11" i="70"/>
  <c r="L12" i="70"/>
  <c r="L5" i="70"/>
  <c r="K38" i="70"/>
  <c r="L28" i="70"/>
  <c r="L33" i="70"/>
  <c r="L34" i="70" s="1"/>
  <c r="L36" i="70" s="1"/>
  <c r="L37" i="70" s="1"/>
  <c r="L38" i="70" s="1"/>
  <c r="K31" i="102"/>
  <c r="K30" i="102"/>
  <c r="K29" i="102"/>
  <c r="K28" i="102"/>
  <c r="L25" i="102"/>
  <c r="L21" i="102" s="1"/>
  <c r="K27" i="102"/>
  <c r="N22" i="70"/>
  <c r="N18" i="70" s="1"/>
  <c r="L25" i="70"/>
  <c r="L24" i="70"/>
  <c r="K16" i="102"/>
  <c r="K15" i="102"/>
  <c r="K17" i="102"/>
  <c r="K11" i="102"/>
  <c r="K34" i="102"/>
  <c r="L9" i="102"/>
  <c r="L5" i="102" s="1"/>
  <c r="K12" i="102"/>
  <c r="O32" i="70"/>
  <c r="P7" i="70"/>
  <c r="P20" i="70"/>
  <c r="O9" i="70" l="1"/>
  <c r="N12" i="70"/>
  <c r="N11" i="70"/>
  <c r="N5" i="70"/>
  <c r="N33" i="70"/>
  <c r="N34" i="70" s="1"/>
  <c r="N36" i="70" s="1"/>
  <c r="N37" i="70" s="1"/>
  <c r="N38" i="70" s="1"/>
  <c r="N28" i="70"/>
  <c r="L17" i="102"/>
  <c r="L16" i="102"/>
  <c r="L15" i="102"/>
  <c r="L34" i="102"/>
  <c r="L12" i="102"/>
  <c r="N9" i="102"/>
  <c r="N12" i="102" s="1"/>
  <c r="L11" i="102"/>
  <c r="L31" i="102"/>
  <c r="L30" i="102"/>
  <c r="L29" i="102"/>
  <c r="L27" i="102"/>
  <c r="N25" i="102"/>
  <c r="N21" i="102" s="1"/>
  <c r="L28" i="102"/>
  <c r="O22" i="70"/>
  <c r="O18" i="70" s="1"/>
  <c r="N24" i="70"/>
  <c r="N25" i="70"/>
  <c r="P32" i="70"/>
  <c r="O11" i="70" l="1"/>
  <c r="P9" i="70"/>
  <c r="O12" i="70"/>
  <c r="N5" i="102"/>
  <c r="O5" i="70"/>
  <c r="O33" i="70"/>
  <c r="O34" i="70" s="1"/>
  <c r="O36" i="70" s="1"/>
  <c r="O37" i="70" s="1"/>
  <c r="O38" i="70" s="1"/>
  <c r="O28" i="70"/>
  <c r="P22" i="70"/>
  <c r="O25" i="70"/>
  <c r="O24" i="70"/>
  <c r="N17" i="102"/>
  <c r="N16" i="102"/>
  <c r="N15" i="102"/>
  <c r="N11" i="102"/>
  <c r="O9" i="102"/>
  <c r="O5" i="102" s="1"/>
  <c r="N34" i="102"/>
  <c r="N29" i="102"/>
  <c r="N31" i="102"/>
  <c r="N30" i="102"/>
  <c r="N27" i="102"/>
  <c r="O25" i="102"/>
  <c r="O21" i="102" s="1"/>
  <c r="N28" i="102"/>
  <c r="Q9" i="70" l="1"/>
  <c r="Q10" i="70"/>
  <c r="P11" i="70"/>
  <c r="P12" i="70"/>
  <c r="P18" i="70"/>
  <c r="Q23" i="70"/>
  <c r="P5" i="70"/>
  <c r="P33" i="70"/>
  <c r="P34" i="70" s="1"/>
  <c r="P36" i="70" s="1"/>
  <c r="P37" i="70" s="1"/>
  <c r="P38" i="70" s="1"/>
  <c r="O30" i="102"/>
  <c r="O29" i="102"/>
  <c r="O31" i="102"/>
  <c r="O27" i="102"/>
  <c r="P25" i="102"/>
  <c r="P21" i="102" s="1"/>
  <c r="O28" i="102"/>
  <c r="O15" i="102"/>
  <c r="O17" i="102"/>
  <c r="O16" i="102"/>
  <c r="O34" i="102"/>
  <c r="P9" i="102"/>
  <c r="Q10" i="102" s="1"/>
  <c r="O12" i="102"/>
  <c r="O11" i="102"/>
  <c r="P24" i="70"/>
  <c r="P25" i="70"/>
  <c r="P34" i="102" l="1"/>
  <c r="P16" i="102"/>
  <c r="P12" i="102"/>
  <c r="P5" i="102"/>
  <c r="Q11" i="102"/>
  <c r="P15" i="102"/>
  <c r="P17" i="102"/>
  <c r="P11" i="102"/>
  <c r="P31" i="102"/>
  <c r="P30" i="102"/>
  <c r="P29" i="102"/>
  <c r="P28" i="102"/>
  <c r="P27" i="102"/>
  <c r="O4" i="1"/>
  <c r="P4" i="1"/>
  <c r="N4" i="5"/>
  <c r="O4" i="6"/>
  <c r="O4" i="5"/>
  <c r="P4" i="6"/>
  <c r="B11" i="103"/>
  <c r="B12" i="103" s="1"/>
  <c r="B17" i="103" s="1"/>
  <c r="O4" i="2"/>
  <c r="D11" i="103"/>
  <c r="C11" i="103"/>
  <c r="P8" i="6" l="1"/>
  <c r="P8" i="2"/>
  <c r="O6" i="88"/>
  <c r="O5" i="88"/>
  <c r="N4" i="6"/>
  <c r="O3" i="88"/>
  <c r="N8" i="5"/>
  <c r="O7" i="88"/>
  <c r="O4" i="88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R4" i="1" s="1"/>
  <c r="R5" i="1" s="1"/>
  <c r="B15" i="103"/>
  <c r="B8" i="3"/>
  <c r="B5" i="3"/>
  <c r="L8" i="88"/>
  <c r="N13" i="102" s="1"/>
  <c r="B29" i="103"/>
  <c r="B31" i="103" s="1"/>
  <c r="B33" i="103" s="1"/>
  <c r="B34" i="103" s="1"/>
  <c r="D15" i="103"/>
  <c r="M8" i="88"/>
  <c r="O13" i="102" s="1"/>
  <c r="N4" i="2"/>
  <c r="P8" i="1"/>
  <c r="N8" i="88"/>
  <c r="P13" i="102" s="1"/>
  <c r="O8" i="1"/>
  <c r="Q7" i="88" l="1"/>
  <c r="Q5" i="88"/>
  <c r="Q3" i="88"/>
  <c r="Q6" i="88"/>
  <c r="Q4" i="88"/>
  <c r="Q13" i="102"/>
  <c r="B8" i="103"/>
  <c r="J13" i="70"/>
  <c r="N5" i="6"/>
  <c r="N9" i="6" s="1"/>
  <c r="N13" i="70"/>
  <c r="Q4" i="5"/>
  <c r="R4" i="5" s="1"/>
  <c r="R5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18" i="2" s="1"/>
  <c r="N20" i="2" s="1"/>
  <c r="N22" i="2" s="1"/>
  <c r="N23" i="2" s="1"/>
  <c r="N28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18" i="4" s="1"/>
  <c r="N20" i="4" s="1"/>
  <c r="N22" i="4" s="1"/>
  <c r="N23" i="4" s="1"/>
  <c r="N28" i="4" s="1"/>
  <c r="N8" i="4"/>
  <c r="B23" i="3"/>
  <c r="B10" i="3"/>
  <c r="B9" i="3"/>
  <c r="N5" i="1"/>
  <c r="N8" i="1"/>
  <c r="Q4" i="6"/>
  <c r="R4" i="6" s="1"/>
  <c r="R5" i="6" s="1"/>
  <c r="D8" i="3"/>
  <c r="R6" i="88" l="1"/>
  <c r="R3" i="88"/>
  <c r="R5" i="88"/>
  <c r="R7" i="88"/>
  <c r="R4" i="88"/>
  <c r="K13" i="70"/>
  <c r="J14" i="70"/>
  <c r="R4" i="2"/>
  <c r="R5" i="2" s="1"/>
  <c r="Q8" i="2"/>
  <c r="Q9" i="2" s="1"/>
  <c r="R4" i="4"/>
  <c r="R5" i="4" s="1"/>
  <c r="N10" i="6"/>
  <c r="N18" i="6"/>
  <c r="N20" i="6" s="1"/>
  <c r="N22" i="6" s="1"/>
  <c r="N23" i="6" s="1"/>
  <c r="N28" i="6" s="1"/>
  <c r="O5" i="6"/>
  <c r="O18" i="6" s="1"/>
  <c r="O20" i="6" s="1"/>
  <c r="O22" i="6" s="1"/>
  <c r="O23" i="6" s="1"/>
  <c r="O28" i="6" s="1"/>
  <c r="N14" i="70"/>
  <c r="O13" i="70"/>
  <c r="O5" i="5"/>
  <c r="O18" i="5" s="1"/>
  <c r="O20" i="5" s="1"/>
  <c r="O22" i="5" s="1"/>
  <c r="O23" i="5" s="1"/>
  <c r="O28" i="5" s="1"/>
  <c r="N18" i="5"/>
  <c r="N20" i="5" s="1"/>
  <c r="N22" i="5" s="1"/>
  <c r="N23" i="5" s="1"/>
  <c r="N28" i="5" s="1"/>
  <c r="N10" i="5"/>
  <c r="N9" i="5"/>
  <c r="N9" i="2"/>
  <c r="N10" i="2"/>
  <c r="B25" i="3"/>
  <c r="B27" i="3" s="1"/>
  <c r="B28" i="3" s="1"/>
  <c r="B39" i="3" s="1"/>
  <c r="N9" i="8" s="1"/>
  <c r="B42" i="3"/>
  <c r="B10" i="103"/>
  <c r="B23" i="103"/>
  <c r="B25" i="103" s="1"/>
  <c r="B27" i="103" s="1"/>
  <c r="B28" i="103" s="1"/>
  <c r="B39" i="103" s="1"/>
  <c r="N10" i="8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18" i="4" s="1"/>
  <c r="O20" i="4" s="1"/>
  <c r="O22" i="4" s="1"/>
  <c r="O23" i="4" s="1"/>
  <c r="O28" i="4" s="1"/>
  <c r="C10" i="3"/>
  <c r="C9" i="3"/>
  <c r="C23" i="3"/>
  <c r="N14" i="102"/>
  <c r="P14" i="102"/>
  <c r="O14" i="102"/>
  <c r="O5" i="2"/>
  <c r="O18" i="2" s="1"/>
  <c r="O20" i="2" s="1"/>
  <c r="O22" i="2" s="1"/>
  <c r="O23" i="2" s="1"/>
  <c r="O28" i="2" s="1"/>
  <c r="O10" i="5" l="1"/>
  <c r="O9" i="6"/>
  <c r="O10" i="6"/>
  <c r="O9" i="5"/>
  <c r="P5" i="5"/>
  <c r="N29" i="5" s="1"/>
  <c r="N31" i="5" s="1"/>
  <c r="N33" i="5" s="1"/>
  <c r="N34" i="5" s="1"/>
  <c r="N17" i="8" s="1"/>
  <c r="L13" i="70"/>
  <c r="L14" i="70" s="1"/>
  <c r="K14" i="70"/>
  <c r="P5" i="6"/>
  <c r="N29" i="6" s="1"/>
  <c r="N31" i="6" s="1"/>
  <c r="N33" i="6" s="1"/>
  <c r="O14" i="70"/>
  <c r="P13" i="70"/>
  <c r="P14" i="70" s="1"/>
  <c r="N8" i="8"/>
  <c r="D9" i="103"/>
  <c r="N4" i="8"/>
  <c r="B44" i="103"/>
  <c r="B45" i="103" s="1"/>
  <c r="N19" i="8" s="1"/>
  <c r="O8" i="8"/>
  <c r="D25" i="3"/>
  <c r="D27" i="3" s="1"/>
  <c r="D28" i="3" s="1"/>
  <c r="D39" i="3" s="1"/>
  <c r="P9" i="8" s="1"/>
  <c r="B44" i="3"/>
  <c r="B45" i="3" s="1"/>
  <c r="N18" i="8" s="1"/>
  <c r="C25" i="3"/>
  <c r="C27" i="3" s="1"/>
  <c r="C28" i="3" s="1"/>
  <c r="C39" i="3" s="1"/>
  <c r="O9" i="8" s="1"/>
  <c r="C9" i="103"/>
  <c r="C10" i="103"/>
  <c r="D23" i="103"/>
  <c r="D25" i="103" s="1"/>
  <c r="D27" i="103" s="1"/>
  <c r="D28" i="103" s="1"/>
  <c r="D39" i="103" s="1"/>
  <c r="P10" i="8" s="1"/>
  <c r="D10" i="103"/>
  <c r="C23" i="103"/>
  <c r="C25" i="103" s="1"/>
  <c r="C27" i="103" s="1"/>
  <c r="C28" i="103" s="1"/>
  <c r="C39" i="103" s="1"/>
  <c r="O10" i="8" s="1"/>
  <c r="N7" i="8"/>
  <c r="N6" i="8"/>
  <c r="O9" i="4"/>
  <c r="O10" i="4"/>
  <c r="P5" i="4"/>
  <c r="P10" i="4" s="1"/>
  <c r="O10" i="1"/>
  <c r="O9" i="1"/>
  <c r="P5" i="1"/>
  <c r="O10" i="2"/>
  <c r="O9" i="2"/>
  <c r="P5" i="2"/>
  <c r="P9" i="5" l="1"/>
  <c r="P18" i="6"/>
  <c r="P20" i="6" s="1"/>
  <c r="P22" i="6" s="1"/>
  <c r="P23" i="6" s="1"/>
  <c r="P28" i="6" s="1"/>
  <c r="P4" i="8" s="1"/>
  <c r="P9" i="6"/>
  <c r="P10" i="6"/>
  <c r="P18" i="5"/>
  <c r="P20" i="5" s="1"/>
  <c r="P22" i="5" s="1"/>
  <c r="P23" i="5" s="1"/>
  <c r="P28" i="5" s="1"/>
  <c r="P8" i="8" s="1"/>
  <c r="P10" i="5"/>
  <c r="Q13" i="70"/>
  <c r="N29" i="2"/>
  <c r="P18" i="2"/>
  <c r="P20" i="2" s="1"/>
  <c r="P22" i="2" s="1"/>
  <c r="P23" i="2" s="1"/>
  <c r="P28" i="2" s="1"/>
  <c r="N29" i="4"/>
  <c r="N31" i="4" s="1"/>
  <c r="N33" i="4" s="1"/>
  <c r="N34" i="4" s="1"/>
  <c r="N16" i="8" s="1"/>
  <c r="P18" i="4"/>
  <c r="P20" i="4" s="1"/>
  <c r="P22" i="4" s="1"/>
  <c r="P23" i="4" s="1"/>
  <c r="P28" i="4" s="1"/>
  <c r="N34" i="6"/>
  <c r="N14" i="8" s="1"/>
  <c r="O4" i="8"/>
  <c r="O6" i="8"/>
  <c r="O7" i="8"/>
  <c r="P9" i="4"/>
  <c r="P10" i="2"/>
  <c r="P9" i="2"/>
  <c r="P10" i="1"/>
  <c r="P9" i="1"/>
  <c r="N31" i="2" l="1"/>
  <c r="N33" i="2" s="1"/>
  <c r="N34" i="2" s="1"/>
  <c r="N15" i="8" s="1"/>
  <c r="P7" i="8"/>
  <c r="P6" i="8"/>
</calcChain>
</file>

<file path=xl/comments1.xml><?xml version="1.0" encoding="utf-8"?>
<comments xmlns="http://schemas.openxmlformats.org/spreadsheetml/2006/main">
  <authors>
    <author>katarzynao</author>
  </authors>
  <commentList>
    <comment ref="A3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A17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19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21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22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23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24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26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27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28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29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30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31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32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3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34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P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planu, z uwagi na wykonanie planu rocznego powyżej 105%
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Handlowy1</author>
    <author>Katarzyna O.</author>
    <author>katarzynao</author>
  </authors>
  <commentList>
    <comment ref="B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C4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Korekta planu</t>
        </r>
      </text>
    </comment>
    <comment ref="D4" authorId="0">
      <text>
        <r>
          <rPr>
            <sz val="9"/>
            <color indexed="81"/>
            <rFont val="Tahoma"/>
            <family val="2"/>
            <charset val="238"/>
          </rPr>
          <t>Korekta planu</t>
        </r>
      </text>
    </comment>
    <comment ref="L4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</t>
        </r>
      </text>
    </comment>
    <comment ref="P4" authorId="1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PS
</t>
        </r>
      </text>
    </comment>
    <comment ref="A37" authorId="2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2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2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2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2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2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2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2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2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2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2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2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2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2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2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2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2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2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 O.</author>
    <author>katarzynao</author>
  </authors>
  <commentLis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P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7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</commentList>
</comments>
</file>

<file path=xl/comments8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<sst xmlns="http://schemas.openxmlformats.org/spreadsheetml/2006/main" count="1222" uniqueCount="253">
  <si>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</si>
  <si>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</si>
  <si>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</si>
  <si>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</si>
  <si>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</si>
  <si>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</si>
  <si>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</si>
  <si>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</si>
  <si>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</si>
  <si>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</si>
  <si>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</si>
  <si>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</si>
  <si>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</si>
  <si>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</si>
  <si>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</si>
  <si>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</si>
  <si>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</si>
  <si>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</si>
  <si>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</si>
  <si>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</si>
  <si>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</si>
  <si>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</si>
  <si>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</si>
  <si>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</si>
  <si>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</si>
  <si>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</si>
  <si>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</si>
  <si>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</si>
  <si>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</si>
  <si>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</si>
  <si>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</si>
  <si>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</si>
  <si>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</si>
  <si>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</si>
  <si>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</si>
  <si>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</si>
  <si>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</si>
  <si>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</si>
  <si>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</si>
  <si>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</si>
  <si>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</si>
  <si>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</si>
  <si>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</si>
  <si>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</si>
  <si>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</si>
  <si>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</si>
  <si>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</si>
  <si>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</si>
  <si>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</si>
  <si>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</si>
  <si>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</si>
  <si>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</si>
  <si>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</si>
  <si>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</si>
  <si>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</si>
  <si>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</si>
  <si>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</si>
  <si>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</si>
  <si>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</si>
  <si>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</si>
  <si>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</si>
  <si>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</si>
  <si>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</si>
  <si>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</si>
  <si>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</si>
  <si>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</si>
  <si>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</si>
  <si>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</si>
  <si>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</si>
  <si>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</si>
  <si>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Mirosław Zagaja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</si>
  <si>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</si>
  <si>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</si>
  <si>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</si>
  <si>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</si>
  <si>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</si>
  <si>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</si>
  <si>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</si>
  <si>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</si>
  <si>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</si>
  <si>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</si>
  <si>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</si>
  <si>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</si>
  <si>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</si>
  <si>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</si>
  <si>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</si>
  <si>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</si>
  <si>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</si>
  <si>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</si>
  <si>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</si>
  <si>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</si>
  <si>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</si>
  <si>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PLAN SPRZEDAŻY ORAZ INDYWIDUALNE PLANY SPRZEDAŻY WSKAŹNIKA OBRÓT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</si>
  <si>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</si>
  <si>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</si>
  <si>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</si>
  <si>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</si>
  <si>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</si>
  <si>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</si>
  <si>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</si>
  <si>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</si>
  <si>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</si>
  <si>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</si>
  <si>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</si>
  <si>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</si>
  <si>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</si>
  <si>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</si>
  <si>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</si>
  <si>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</si>
  <si>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</si>
  <si>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</si>
  <si>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</si>
  <si>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</si>
  <si>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</si>
  <si>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</si>
  <si>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</si>
  <si>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</si>
  <si>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</si>
  <si>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>TS</t>
  </si>
  <si>
    <t>MZ</t>
  </si>
  <si>
    <t>BB</t>
  </si>
  <si>
    <t>PC</t>
  </si>
  <si>
    <t>KS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</si>
  <si>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</si>
  <si>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</si>
  <si>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</si>
  <si>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</si>
  <si>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</si>
  <si>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</si>
  <si>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</si>
  <si>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</si>
  <si>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</si>
  <si>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</si>
  <si>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</si>
  <si>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</si>
  <si>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</si>
  <si>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</si>
  <si>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</si>
  <si>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</si>
  <si>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</si>
  <si>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</si>
  <si>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</si>
  <si>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</si>
  <si>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</si>
  <si>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</si>
  <si>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</si>
  <si>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</si>
  <si>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</si>
  <si>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</si>
  <si>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</si>
  <si>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</si>
  <si>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</si>
  <si>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</si>
  <si>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</si>
  <si>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</si>
  <si>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</si>
  <si>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</si>
  <si>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</si>
  <si>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</si>
  <si>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</si>
  <si>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r>
      <t>Realizacja PLAN</t>
    </r>
    <r>
      <rPr>
        <b/>
        <sz val="7"/>
        <color indexed="10"/>
        <rFont val="Arial"/>
        <family val="2"/>
        <charset val="238"/>
      </rPr>
      <t xml:space="preserve"> (CEL STRATEGICZNY)</t>
    </r>
  </si>
  <si>
    <t>Q2</t>
  </si>
  <si>
    <t>Kwiecień</t>
  </si>
  <si>
    <t>Maj</t>
  </si>
  <si>
    <t>Czerwiec</t>
  </si>
  <si>
    <t xml:space="preserve"> </t>
  </si>
  <si>
    <t>Artur Surówka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</si>
  <si>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</si>
  <si>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</si>
  <si>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</si>
  <si>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</si>
  <si>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</si>
  <si>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</si>
  <si>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</si>
  <si>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Mirosław Zagaja;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</si>
  <si>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</si>
  <si>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</si>
  <si>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</si>
  <si>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</si>
  <si>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</si>
  <si>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</si>
  <si>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</si>
  <si>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</si>
  <si>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</si>
  <si>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</si>
  <si>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</si>
  <si>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</si>
  <si>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MARŻA</t>
  </si>
  <si>
    <t>OBRÓT</t>
  </si>
  <si>
    <t>PLAN IV KW Krzysztof Szwajdych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</si>
  <si>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</si>
  <si>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</si>
  <si>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</si>
  <si>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</si>
  <si>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</si>
  <si>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</si>
  <si>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</si>
  <si>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</si>
  <si>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</si>
  <si>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</si>
  <si>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PREMIA UZNANIOWA</t>
  </si>
  <si>
    <t>Miesięczny Obrót</t>
  </si>
  <si>
    <t>Sumaryczny Obrót</t>
  </si>
  <si>
    <t>YKPOLAND</t>
  </si>
  <si>
    <t>Kontrahent</t>
  </si>
  <si>
    <t>Symbol</t>
  </si>
  <si>
    <t>EPSON C3500 INK (C)</t>
  </si>
  <si>
    <t>EPSON C3500 INK (K)</t>
  </si>
  <si>
    <t>EPSON C3500 INK (M)</t>
  </si>
  <si>
    <t>EPSON C3500 INK (Y)</t>
  </si>
  <si>
    <t>Marża 2021</t>
  </si>
  <si>
    <t>Sumaryczna Marża 2021</t>
  </si>
  <si>
    <t>PLANY SPRZEDAŻY 2022</t>
  </si>
  <si>
    <t>Wzrost Marży 2022 w stos do Marży 2021</t>
  </si>
  <si>
    <t>Obrót 2021</t>
  </si>
  <si>
    <t>Sumaryczny Obrót 2021</t>
  </si>
  <si>
    <t>Wzrost Obrotu 2022 w stos do Obrotu 2021</t>
  </si>
  <si>
    <t>-</t>
  </si>
  <si>
    <t>2022 PLAN</t>
  </si>
  <si>
    <t>2022 MINIMUM</t>
  </si>
  <si>
    <t>2022 CEL</t>
  </si>
  <si>
    <t>RESGRAPH</t>
  </si>
  <si>
    <t>OLIDENT2 – 385,86 – dodaj marżę</t>
  </si>
  <si>
    <t>Bonus z EPSONA</t>
  </si>
  <si>
    <t>RESGRAPH – 698,10 – dodaj marżę</t>
  </si>
  <si>
    <t>YKPOLAND – 179,24 – dodaj marżę</t>
  </si>
  <si>
    <t>BPSKONCEPT – 103,15 – dodaj marżę</t>
  </si>
  <si>
    <t>CAFFARO – 493,50 – dodaj marżę</t>
  </si>
  <si>
    <t>II KW</t>
  </si>
  <si>
    <t>% marży sumaQ</t>
  </si>
  <si>
    <t>% sumy wynagr.zas</t>
  </si>
  <si>
    <t>wynagr.zasad</t>
  </si>
  <si>
    <t>Realizacja suma Q</t>
  </si>
  <si>
    <t>% sumy real.Q</t>
  </si>
  <si>
    <t>% sumy PS</t>
  </si>
  <si>
    <t>% real rocznego PS</t>
  </si>
  <si>
    <t>% PSDH</t>
  </si>
  <si>
    <t>% sumy real rocznej</t>
  </si>
  <si>
    <t>RESGRAPH – 251,23 – dodaj marżę</t>
  </si>
  <si>
    <t>YKPOLAND – 505,84 – dodaj marżę</t>
  </si>
  <si>
    <t>RESGRAPH – 852,44 – dodaj marżę</t>
  </si>
  <si>
    <t>BPSKONCEPT – 104,07 – dodaj marżę</t>
  </si>
  <si>
    <t>CAFFARO – 313,55 – dodaj marżę</t>
  </si>
  <si>
    <t>YKPOLAND – 766,73 – dodaj marżę</t>
  </si>
  <si>
    <t>YKPOLAND – 110,78 – dodaj marżę</t>
  </si>
  <si>
    <t>BPSKONCEPT – 37,11 – dodaj marżę</t>
  </si>
  <si>
    <t>RESGRAPH – 447,69 – dodaj marżę</t>
  </si>
  <si>
    <t>Utylizacja P 250X395/1 N24</t>
  </si>
  <si>
    <t>CERSANIT – 424,34 – obniż marżę</t>
  </si>
  <si>
    <t>YKPOLAND – 304,05 – dodaj marżę</t>
  </si>
  <si>
    <t>BPSKONCEPT – 101,38 – dodaj marżę</t>
  </si>
  <si>
    <t>RESGRAPH – 25,34 – dodaj marżę</t>
  </si>
  <si>
    <t>CAFFARO – 187,02 – dodaj marżę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</si>
</sst>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_ ;\-#,##0\ "/>
  </numFmts>
  <fonts count="41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53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5"/>
      <name val="Arial"/>
      <family val="2"/>
    </font>
    <font>
      <b/>
      <sz val="7"/>
      <color indexed="55"/>
      <name val="Arial"/>
      <family val="2"/>
    </font>
    <font>
      <b/>
      <sz val="7"/>
      <color indexed="55"/>
      <name val="Arial CE"/>
      <family val="2"/>
      <charset val="238"/>
    </font>
    <font>
      <b/>
      <sz val="7"/>
      <color indexed="55"/>
      <name val="Arial CE"/>
      <charset val="238"/>
    </font>
    <font>
      <sz val="7"/>
      <color indexed="53"/>
      <name val="Arial"/>
      <family val="2"/>
    </font>
    <font>
      <b/>
      <sz val="7"/>
      <color indexed="53"/>
      <name val="Arial CE"/>
      <family val="2"/>
      <charset val="238"/>
    </font>
    <font>
      <b/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sz val="7"/>
      <color indexed="10"/>
      <name val="Arial"/>
      <family val="2"/>
      <charset val="238"/>
    </font>
    <font>
      <sz val="7"/>
      <color indexed="23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indexed="23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23"/>
      <name val="Arial"/>
      <family val="2"/>
    </font>
    <font>
      <b/>
      <sz val="9"/>
      <color indexed="10"/>
      <name val="Arial"/>
      <family val="2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b/>
      <sz val="7"/>
      <color theme="0" tint="-0.34998626667073579"/>
      <name val="Arial"/>
      <family val="2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B050"/>
      <name val="Arial CE"/>
      <charset val="238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rgb="FFFF0000"/>
      <name val="Arial"/>
      <family val="2"/>
    </font>
    <font>
      <sz val="7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7"/>
      <color theme="1"/>
      <name val="Arial"/>
      <family val="2"/>
    </font>
    <font>
      <b/>
      <sz val="7"/>
      <color theme="1"/>
      <name val="Arial CE"/>
      <charset val="238"/>
    </font>
    <font>
      <b/>
      <sz val="8"/>
      <color theme="1"/>
      <name val="Arial"/>
      <family val="2"/>
    </font>
    <font>
      <b/>
      <sz val="7"/>
      <color theme="1"/>
      <name val="Arial"/>
      <family val="2"/>
      <charset val="238"/>
    </font>
    <font>
      <sz val="8"/>
      <color theme="1"/>
      <name val="Arial"/>
      <family val="2"/>
    </font>
    <font>
      <b/>
      <sz val="7"/>
      <color rgb="FF00B050"/>
      <name val="Arial"/>
      <family val="2"/>
    </font>
    <font>
      <b/>
      <sz val="7"/>
      <color theme="9"/>
      <name val="Arial CE"/>
      <family val="2"/>
      <charset val="238"/>
    </font>
    <font>
      <b/>
      <sz val="7"/>
      <color theme="0" tint="-0.34998626667073579"/>
      <name val="Arial CE"/>
      <family val="2"/>
      <charset val="238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"/>
      <family val="2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9"/>
      <name val="Arial CE"/>
      <charset val="238"/>
    </font>
    <font>
      <sz val="11"/>
      <name val="Calibri"/>
      <family val="2"/>
      <charset val="238"/>
      <scheme val="minor"/>
    </font>
    <font>
      <sz val="8"/>
      <color rgb="FF0070C0"/>
      <name val="Arial CE"/>
      <charset val="238"/>
    </font>
    <font>
      <b/>
      <sz val="7"/>
      <color theme="1" tint="0.499984740745262"/>
      <name val="Arial CE"/>
      <family val="2"/>
      <charset val="238"/>
    </font>
    <font>
      <sz val="10"/>
      <name val="Arial"/>
      <charset val="238"/>
    </font>
    <font>
      <sz val="10"/>
      <color rgb="FF1E1D27"/>
      <name val="Arial"/>
      <family val="2"/>
      <charset val="238"/>
    </font>
    <font>
      <b/>
      <sz val="7"/>
      <color theme="0" tint="-0.499984740745262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</borders>
  <cellStyleXfs count="46715">
    <xf numFmtId="0" fontId="0" fillId="0" borderId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6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7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8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9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0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1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2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3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4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5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6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4" fillId="17" borderId="0" applyNumberFormat="0" applyBorder="0" applyAlignment="0" applyProtection="0"/>
    <xf numFmtId="0" fontId="285" fillId="18" borderId="0" applyNumberFormat="0" applyBorder="0" applyAlignment="0" applyProtection="0"/>
    <xf numFmtId="0" fontId="285" fillId="19" borderId="0" applyNumberFormat="0" applyBorder="0" applyAlignment="0" applyProtection="0"/>
    <xf numFmtId="0" fontId="285" fillId="20" borderId="0" applyNumberFormat="0" applyBorder="0" applyAlignment="0" applyProtection="0"/>
    <xf numFmtId="0" fontId="285" fillId="21" borderId="0" applyNumberFormat="0" applyBorder="0" applyAlignment="0" applyProtection="0"/>
    <xf numFmtId="0" fontId="285" fillId="22" borderId="0" applyNumberFormat="0" applyBorder="0" applyAlignment="0" applyProtection="0"/>
    <xf numFmtId="0" fontId="285" fillId="23" borderId="0" applyNumberFormat="0" applyBorder="0" applyAlignment="0" applyProtection="0"/>
    <xf numFmtId="0" fontId="285" fillId="24" borderId="0" applyNumberFormat="0" applyBorder="0" applyAlignment="0" applyProtection="0"/>
    <xf numFmtId="0" fontId="285" fillId="25" borderId="0" applyNumberFormat="0" applyBorder="0" applyAlignment="0" applyProtection="0"/>
    <xf numFmtId="0" fontId="285" fillId="26" borderId="0" applyNumberFormat="0" applyBorder="0" applyAlignment="0" applyProtection="0"/>
    <xf numFmtId="0" fontId="285" fillId="27" borderId="0" applyNumberFormat="0" applyBorder="0" applyAlignment="0" applyProtection="0"/>
    <xf numFmtId="0" fontId="285" fillId="28" borderId="0" applyNumberFormat="0" applyBorder="0" applyAlignment="0" applyProtection="0"/>
    <xf numFmtId="0" fontId="285" fillId="29" borderId="0" applyNumberFormat="0" applyBorder="0" applyAlignment="0" applyProtection="0"/>
    <xf numFmtId="0" fontId="286" fillId="30" borderId="39" applyNumberFormat="0" applyAlignment="0" applyProtection="0"/>
    <xf numFmtId="0" fontId="287" fillId="31" borderId="40" applyNumberFormat="0" applyAlignment="0" applyProtection="0"/>
    <xf numFmtId="0" fontId="288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9" fillId="0" borderId="41" applyNumberFormat="0" applyFill="0" applyAlignment="0" applyProtection="0"/>
    <xf numFmtId="0" fontId="290" fillId="33" borderId="42" applyNumberFormat="0" applyAlignment="0" applyProtection="0"/>
    <xf numFmtId="0" fontId="291" fillId="0" borderId="43" applyNumberFormat="0" applyFill="0" applyAlignment="0" applyProtection="0"/>
    <xf numFmtId="0" fontId="292" fillId="0" borderId="44" applyNumberFormat="0" applyFill="0" applyAlignment="0" applyProtection="0"/>
    <xf numFmtId="0" fontId="293" fillId="0" borderId="45" applyNumberFormat="0" applyFill="0" applyAlignment="0" applyProtection="0"/>
    <xf numFmtId="0" fontId="293" fillId="0" borderId="0" applyNumberFormat="0" applyFill="0" applyBorder="0" applyAlignment="0" applyProtection="0"/>
    <xf numFmtId="0" fontId="294" fillId="34" borderId="0" applyNumberFormat="0" applyBorder="0" applyAlignment="0" applyProtection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6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84" fillId="0" borderId="0"/>
    <xf numFmtId="0" fontId="209" fillId="0" borderId="0"/>
    <xf numFmtId="0" fontId="295" fillId="31" borderId="39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96" fillId="0" borderId="46" applyNumberFormat="0" applyFill="0" applyAlignment="0" applyProtection="0"/>
    <xf numFmtId="0" fontId="297" fillId="0" borderId="0" applyNumberFormat="0" applyFill="0" applyBorder="0" applyAlignment="0" applyProtection="0"/>
    <xf numFmtId="0" fontId="298" fillId="0" borderId="0" applyNumberFormat="0" applyFill="0" applyBorder="0" applyAlignment="0" applyProtection="0"/>
    <xf numFmtId="0" fontId="299" fillId="0" borderId="0" applyNumberFormat="0" applyFill="0" applyBorder="0" applyAlignment="0" applyProtection="0"/>
    <xf numFmtId="0" fontId="198" fillId="35" borderId="47" applyNumberFormat="0" applyFont="0" applyAlignment="0" applyProtection="0"/>
    <xf numFmtId="0" fontId="147" fillId="35" borderId="47" applyNumberFormat="0" applyFont="0" applyAlignment="0" applyProtection="0"/>
    <xf numFmtId="0" fontId="108" fillId="35" borderId="47" applyNumberFormat="0" applyFont="0" applyAlignment="0" applyProtection="0"/>
    <xf numFmtId="0" fontId="107" fillId="35" borderId="47" applyNumberFormat="0" applyFont="0" applyAlignment="0" applyProtection="0"/>
    <xf numFmtId="0" fontId="106" fillId="35" borderId="47" applyNumberFormat="0" applyFont="0" applyAlignment="0" applyProtection="0"/>
    <xf numFmtId="0" fontId="105" fillId="35" borderId="47" applyNumberFormat="0" applyFont="0" applyAlignment="0" applyProtection="0"/>
    <xf numFmtId="0" fontId="104" fillId="35" borderId="47" applyNumberFormat="0" applyFont="0" applyAlignment="0" applyProtection="0"/>
    <xf numFmtId="0" fontId="103" fillId="35" borderId="47" applyNumberFormat="0" applyFont="0" applyAlignment="0" applyProtection="0"/>
    <xf numFmtId="0" fontId="102" fillId="35" borderId="47" applyNumberFormat="0" applyFont="0" applyAlignment="0" applyProtection="0"/>
    <xf numFmtId="0" fontId="101" fillId="35" borderId="47" applyNumberFormat="0" applyFont="0" applyAlignment="0" applyProtection="0"/>
    <xf numFmtId="0" fontId="100" fillId="35" borderId="47" applyNumberFormat="0" applyFont="0" applyAlignment="0" applyProtection="0"/>
    <xf numFmtId="0" fontId="99" fillId="35" borderId="47" applyNumberFormat="0" applyFont="0" applyAlignment="0" applyProtection="0"/>
    <xf numFmtId="0" fontId="197" fillId="35" borderId="47" applyNumberFormat="0" applyFont="0" applyAlignment="0" applyProtection="0"/>
    <xf numFmtId="0" fontId="147" fillId="35" borderId="47" applyNumberFormat="0" applyFont="0" applyAlignment="0" applyProtection="0"/>
    <xf numFmtId="0" fontId="98" fillId="35" borderId="47" applyNumberFormat="0" applyFont="0" applyAlignment="0" applyProtection="0"/>
    <xf numFmtId="0" fontId="97" fillId="35" borderId="47" applyNumberFormat="0" applyFont="0" applyAlignment="0" applyProtection="0"/>
    <xf numFmtId="0" fontId="96" fillId="35" borderId="47" applyNumberFormat="0" applyFont="0" applyAlignment="0" applyProtection="0"/>
    <xf numFmtId="0" fontId="95" fillId="35" borderId="47" applyNumberFormat="0" applyFont="0" applyAlignment="0" applyProtection="0"/>
    <xf numFmtId="0" fontId="94" fillId="35" borderId="47" applyNumberFormat="0" applyFont="0" applyAlignment="0" applyProtection="0"/>
    <xf numFmtId="0" fontId="93" fillId="35" borderId="47" applyNumberFormat="0" applyFont="0" applyAlignment="0" applyProtection="0"/>
    <xf numFmtId="0" fontId="92" fillId="35" borderId="47" applyNumberFormat="0" applyFont="0" applyAlignment="0" applyProtection="0"/>
    <xf numFmtId="0" fontId="91" fillId="35" borderId="47" applyNumberFormat="0" applyFont="0" applyAlignment="0" applyProtection="0"/>
    <xf numFmtId="0" fontId="90" fillId="35" borderId="47" applyNumberFormat="0" applyFont="0" applyAlignment="0" applyProtection="0"/>
    <xf numFmtId="0" fontId="89" fillId="35" borderId="47" applyNumberFormat="0" applyFont="0" applyAlignment="0" applyProtection="0"/>
    <xf numFmtId="0" fontId="196" fillId="35" borderId="47" applyNumberFormat="0" applyFont="0" applyAlignment="0" applyProtection="0"/>
    <xf numFmtId="0" fontId="147" fillId="35" borderId="47" applyNumberFormat="0" applyFont="0" applyAlignment="0" applyProtection="0"/>
    <xf numFmtId="0" fontId="88" fillId="35" borderId="47" applyNumberFormat="0" applyFont="0" applyAlignment="0" applyProtection="0"/>
    <xf numFmtId="0" fontId="87" fillId="35" borderId="47" applyNumberFormat="0" applyFont="0" applyAlignment="0" applyProtection="0"/>
    <xf numFmtId="0" fontId="86" fillId="35" borderId="47" applyNumberFormat="0" applyFont="0" applyAlignment="0" applyProtection="0"/>
    <xf numFmtId="0" fontId="85" fillId="35" borderId="47" applyNumberFormat="0" applyFont="0" applyAlignment="0" applyProtection="0"/>
    <xf numFmtId="0" fontId="84" fillId="35" borderId="47" applyNumberFormat="0" applyFont="0" applyAlignment="0" applyProtection="0"/>
    <xf numFmtId="0" fontId="83" fillId="35" borderId="47" applyNumberFormat="0" applyFont="0" applyAlignment="0" applyProtection="0"/>
    <xf numFmtId="0" fontId="82" fillId="35" borderId="47" applyNumberFormat="0" applyFont="0" applyAlignment="0" applyProtection="0"/>
    <xf numFmtId="0" fontId="81" fillId="35" borderId="47" applyNumberFormat="0" applyFont="0" applyAlignment="0" applyProtection="0"/>
    <xf numFmtId="0" fontId="80" fillId="35" borderId="47" applyNumberFormat="0" applyFont="0" applyAlignment="0" applyProtection="0"/>
    <xf numFmtId="0" fontId="79" fillId="35" borderId="47" applyNumberFormat="0" applyFont="0" applyAlignment="0" applyProtection="0"/>
    <xf numFmtId="0" fontId="195" fillId="35" borderId="47" applyNumberFormat="0" applyFont="0" applyAlignment="0" applyProtection="0"/>
    <xf numFmtId="0" fontId="147" fillId="35" borderId="47" applyNumberFormat="0" applyFont="0" applyAlignment="0" applyProtection="0"/>
    <xf numFmtId="0" fontId="78" fillId="35" borderId="47" applyNumberFormat="0" applyFont="0" applyAlignment="0" applyProtection="0"/>
    <xf numFmtId="0" fontId="77" fillId="35" borderId="47" applyNumberFormat="0" applyFont="0" applyAlignment="0" applyProtection="0"/>
    <xf numFmtId="0" fontId="76" fillId="35" borderId="47" applyNumberFormat="0" applyFont="0" applyAlignment="0" applyProtection="0"/>
    <xf numFmtId="0" fontId="75" fillId="35" borderId="47" applyNumberFormat="0" applyFont="0" applyAlignment="0" applyProtection="0"/>
    <xf numFmtId="0" fontId="74" fillId="35" borderId="47" applyNumberFormat="0" applyFont="0" applyAlignment="0" applyProtection="0"/>
    <xf numFmtId="0" fontId="73" fillId="35" borderId="47" applyNumberFormat="0" applyFont="0" applyAlignment="0" applyProtection="0"/>
    <xf numFmtId="0" fontId="72" fillId="35" borderId="47" applyNumberFormat="0" applyFont="0" applyAlignment="0" applyProtection="0"/>
    <xf numFmtId="0" fontId="71" fillId="35" borderId="47" applyNumberFormat="0" applyFont="0" applyAlignment="0" applyProtection="0"/>
    <xf numFmtId="0" fontId="70" fillId="35" borderId="47" applyNumberFormat="0" applyFont="0" applyAlignment="0" applyProtection="0"/>
    <xf numFmtId="0" fontId="69" fillId="35" borderId="47" applyNumberFormat="0" applyFont="0" applyAlignment="0" applyProtection="0"/>
    <xf numFmtId="0" fontId="194" fillId="35" borderId="47" applyNumberFormat="0" applyFont="0" applyAlignment="0" applyProtection="0"/>
    <xf numFmtId="0" fontId="147" fillId="35" borderId="47" applyNumberFormat="0" applyFont="0" applyAlignment="0" applyProtection="0"/>
    <xf numFmtId="0" fontId="68" fillId="35" borderId="47" applyNumberFormat="0" applyFont="0" applyAlignment="0" applyProtection="0"/>
    <xf numFmtId="0" fontId="67" fillId="35" borderId="47" applyNumberFormat="0" applyFont="0" applyAlignment="0" applyProtection="0"/>
    <xf numFmtId="0" fontId="66" fillId="35" borderId="47" applyNumberFormat="0" applyFont="0" applyAlignment="0" applyProtection="0"/>
    <xf numFmtId="0" fontId="65" fillId="35" borderId="47" applyNumberFormat="0" applyFont="0" applyAlignment="0" applyProtection="0"/>
    <xf numFmtId="0" fontId="64" fillId="35" borderId="47" applyNumberFormat="0" applyFont="0" applyAlignment="0" applyProtection="0"/>
    <xf numFmtId="0" fontId="63" fillId="35" borderId="47" applyNumberFormat="0" applyFont="0" applyAlignment="0" applyProtection="0"/>
    <xf numFmtId="0" fontId="62" fillId="35" borderId="47" applyNumberFormat="0" applyFont="0" applyAlignment="0" applyProtection="0"/>
    <xf numFmtId="0" fontId="61" fillId="35" borderId="47" applyNumberFormat="0" applyFont="0" applyAlignment="0" applyProtection="0"/>
    <xf numFmtId="0" fontId="60" fillId="35" borderId="47" applyNumberFormat="0" applyFont="0" applyAlignment="0" applyProtection="0"/>
    <xf numFmtId="0" fontId="59" fillId="35" borderId="47" applyNumberFormat="0" applyFont="0" applyAlignment="0" applyProtection="0"/>
    <xf numFmtId="0" fontId="193" fillId="35" borderId="47" applyNumberFormat="0" applyFont="0" applyAlignment="0" applyProtection="0"/>
    <xf numFmtId="0" fontId="147" fillId="35" borderId="47" applyNumberFormat="0" applyFont="0" applyAlignment="0" applyProtection="0"/>
    <xf numFmtId="0" fontId="58" fillId="35" borderId="47" applyNumberFormat="0" applyFont="0" applyAlignment="0" applyProtection="0"/>
    <xf numFmtId="0" fontId="57" fillId="35" borderId="47" applyNumberFormat="0" applyFont="0" applyAlignment="0" applyProtection="0"/>
    <xf numFmtId="0" fontId="56" fillId="35" borderId="47" applyNumberFormat="0" applyFont="0" applyAlignment="0" applyProtection="0"/>
    <xf numFmtId="0" fontId="55" fillId="35" borderId="47" applyNumberFormat="0" applyFont="0" applyAlignment="0" applyProtection="0"/>
    <xf numFmtId="0" fontId="54" fillId="35" borderId="47" applyNumberFormat="0" applyFont="0" applyAlignment="0" applyProtection="0"/>
    <xf numFmtId="0" fontId="53" fillId="35" borderId="47" applyNumberFormat="0" applyFont="0" applyAlignment="0" applyProtection="0"/>
    <xf numFmtId="0" fontId="52" fillId="35" borderId="47" applyNumberFormat="0" applyFont="0" applyAlignment="0" applyProtection="0"/>
    <xf numFmtId="0" fontId="51" fillId="35" borderId="47" applyNumberFormat="0" applyFont="0" applyAlignment="0" applyProtection="0"/>
    <xf numFmtId="0" fontId="50" fillId="35" borderId="47" applyNumberFormat="0" applyFont="0" applyAlignment="0" applyProtection="0"/>
    <xf numFmtId="0" fontId="49" fillId="35" borderId="47" applyNumberFormat="0" applyFont="0" applyAlignment="0" applyProtection="0"/>
    <xf numFmtId="0" fontId="192" fillId="35" borderId="47" applyNumberFormat="0" applyFont="0" applyAlignment="0" applyProtection="0"/>
    <xf numFmtId="0" fontId="147" fillId="35" borderId="47" applyNumberFormat="0" applyFont="0" applyAlignment="0" applyProtection="0"/>
    <xf numFmtId="0" fontId="48" fillId="35" borderId="47" applyNumberFormat="0" applyFont="0" applyAlignment="0" applyProtection="0"/>
    <xf numFmtId="0" fontId="47" fillId="35" borderId="47" applyNumberFormat="0" applyFont="0" applyAlignment="0" applyProtection="0"/>
    <xf numFmtId="0" fontId="46" fillId="35" borderId="47" applyNumberFormat="0" applyFont="0" applyAlignment="0" applyProtection="0"/>
    <xf numFmtId="0" fontId="45" fillId="35" borderId="47" applyNumberFormat="0" applyFont="0" applyAlignment="0" applyProtection="0"/>
    <xf numFmtId="0" fontId="44" fillId="35" borderId="47" applyNumberFormat="0" applyFont="0" applyAlignment="0" applyProtection="0"/>
    <xf numFmtId="0" fontId="43" fillId="35" borderId="47" applyNumberFormat="0" applyFont="0" applyAlignment="0" applyProtection="0"/>
    <xf numFmtId="0" fontId="42" fillId="35" borderId="47" applyNumberFormat="0" applyFont="0" applyAlignment="0" applyProtection="0"/>
    <xf numFmtId="0" fontId="41" fillId="35" borderId="47" applyNumberFormat="0" applyFont="0" applyAlignment="0" applyProtection="0"/>
    <xf numFmtId="0" fontId="40" fillId="35" borderId="47" applyNumberFormat="0" applyFont="0" applyAlignment="0" applyProtection="0"/>
    <xf numFmtId="0" fontId="39" fillId="35" borderId="47" applyNumberFormat="0" applyFont="0" applyAlignment="0" applyProtection="0"/>
    <xf numFmtId="0" fontId="191" fillId="35" borderId="47" applyNumberFormat="0" applyFont="0" applyAlignment="0" applyProtection="0"/>
    <xf numFmtId="0" fontId="147" fillId="35" borderId="47" applyNumberFormat="0" applyFont="0" applyAlignment="0" applyProtection="0"/>
    <xf numFmtId="0" fontId="38" fillId="35" borderId="47" applyNumberFormat="0" applyFont="0" applyAlignment="0" applyProtection="0"/>
    <xf numFmtId="0" fontId="37" fillId="35" borderId="47" applyNumberFormat="0" applyFont="0" applyAlignment="0" applyProtection="0"/>
    <xf numFmtId="0" fontId="36" fillId="35" borderId="47" applyNumberFormat="0" applyFont="0" applyAlignment="0" applyProtection="0"/>
    <xf numFmtId="0" fontId="35" fillId="35" borderId="47" applyNumberFormat="0" applyFont="0" applyAlignment="0" applyProtection="0"/>
    <xf numFmtId="0" fontId="34" fillId="35" borderId="47" applyNumberFormat="0" applyFont="0" applyAlignment="0" applyProtection="0"/>
    <xf numFmtId="0" fontId="33" fillId="35" borderId="47" applyNumberFormat="0" applyFont="0" applyAlignment="0" applyProtection="0"/>
    <xf numFmtId="0" fontId="32" fillId="35" borderId="47" applyNumberFormat="0" applyFont="0" applyAlignment="0" applyProtection="0"/>
    <xf numFmtId="0" fontId="31" fillId="35" borderId="47" applyNumberFormat="0" applyFont="0" applyAlignment="0" applyProtection="0"/>
    <xf numFmtId="0" fontId="30" fillId="35" borderId="47" applyNumberFormat="0" applyFont="0" applyAlignment="0" applyProtection="0"/>
    <xf numFmtId="0" fontId="29" fillId="35" borderId="47" applyNumberFormat="0" applyFont="0" applyAlignment="0" applyProtection="0"/>
    <xf numFmtId="0" fontId="190" fillId="35" borderId="47" applyNumberFormat="0" applyFont="0" applyAlignment="0" applyProtection="0"/>
    <xf numFmtId="0" fontId="147" fillId="35" borderId="47" applyNumberFormat="0" applyFont="0" applyAlignment="0" applyProtection="0"/>
    <xf numFmtId="0" fontId="28" fillId="35" borderId="47" applyNumberFormat="0" applyFont="0" applyAlignment="0" applyProtection="0"/>
    <xf numFmtId="0" fontId="27" fillId="35" borderId="47" applyNumberFormat="0" applyFont="0" applyAlignment="0" applyProtection="0"/>
    <xf numFmtId="0" fontId="26" fillId="35" borderId="47" applyNumberFormat="0" applyFont="0" applyAlignment="0" applyProtection="0"/>
    <xf numFmtId="0" fontId="25" fillId="35" borderId="47" applyNumberFormat="0" applyFont="0" applyAlignment="0" applyProtection="0"/>
    <xf numFmtId="0" fontId="24" fillId="35" borderId="47" applyNumberFormat="0" applyFont="0" applyAlignment="0" applyProtection="0"/>
    <xf numFmtId="0" fontId="23" fillId="35" borderId="47" applyNumberFormat="0" applyFont="0" applyAlignment="0" applyProtection="0"/>
    <xf numFmtId="0" fontId="22" fillId="35" borderId="47" applyNumberFormat="0" applyFont="0" applyAlignment="0" applyProtection="0"/>
    <xf numFmtId="0" fontId="21" fillId="35" borderId="47" applyNumberFormat="0" applyFont="0" applyAlignment="0" applyProtection="0"/>
    <xf numFmtId="0" fontId="20" fillId="35" borderId="47" applyNumberFormat="0" applyFont="0" applyAlignment="0" applyProtection="0"/>
    <xf numFmtId="0" fontId="19" fillId="35" borderId="47" applyNumberFormat="0" applyFont="0" applyAlignment="0" applyProtection="0"/>
    <xf numFmtId="0" fontId="189" fillId="35" borderId="47" applyNumberFormat="0" applyFont="0" applyAlignment="0" applyProtection="0"/>
    <xf numFmtId="0" fontId="147" fillId="35" borderId="47" applyNumberFormat="0" applyFont="0" applyAlignment="0" applyProtection="0"/>
    <xf numFmtId="0" fontId="18" fillId="35" borderId="47" applyNumberFormat="0" applyFont="0" applyAlignment="0" applyProtection="0"/>
    <xf numFmtId="0" fontId="17" fillId="35" borderId="47" applyNumberFormat="0" applyFont="0" applyAlignment="0" applyProtection="0"/>
    <xf numFmtId="0" fontId="16" fillId="35" borderId="47" applyNumberFormat="0" applyFont="0" applyAlignment="0" applyProtection="0"/>
    <xf numFmtId="0" fontId="14" fillId="35" borderId="47" applyNumberFormat="0" applyFont="0" applyAlignment="0" applyProtection="0"/>
    <xf numFmtId="0" fontId="13" fillId="35" borderId="47" applyNumberFormat="0" applyFont="0" applyAlignment="0" applyProtection="0"/>
    <xf numFmtId="0" fontId="12" fillId="35" borderId="47" applyNumberFormat="0" applyFont="0" applyAlignment="0" applyProtection="0"/>
    <xf numFmtId="0" fontId="226" fillId="35" borderId="47" applyNumberFormat="0" applyFont="0" applyAlignment="0" applyProtection="0"/>
    <xf numFmtId="0" fontId="147" fillId="35" borderId="47" applyNumberFormat="0" applyFont="0" applyAlignment="0" applyProtection="0"/>
    <xf numFmtId="0" fontId="188" fillId="35" borderId="47" applyNumberFormat="0" applyFont="0" applyAlignment="0" applyProtection="0"/>
    <xf numFmtId="0" fontId="147" fillId="35" borderId="47" applyNumberFormat="0" applyFont="0" applyAlignment="0" applyProtection="0"/>
    <xf numFmtId="0" fontId="187" fillId="35" borderId="47" applyNumberFormat="0" applyFont="0" applyAlignment="0" applyProtection="0"/>
    <xf numFmtId="0" fontId="147" fillId="35" borderId="47" applyNumberFormat="0" applyFont="0" applyAlignment="0" applyProtection="0"/>
    <xf numFmtId="0" fontId="186" fillId="35" borderId="47" applyNumberFormat="0" applyFont="0" applyAlignment="0" applyProtection="0"/>
    <xf numFmtId="0" fontId="147" fillId="35" borderId="47" applyNumberFormat="0" applyFont="0" applyAlignment="0" applyProtection="0"/>
    <xf numFmtId="0" fontId="185" fillId="35" borderId="47" applyNumberFormat="0" applyFont="0" applyAlignment="0" applyProtection="0"/>
    <xf numFmtId="0" fontId="147" fillId="35" borderId="47" applyNumberFormat="0" applyFont="0" applyAlignment="0" applyProtection="0"/>
    <xf numFmtId="0" fontId="184" fillId="35" borderId="47" applyNumberFormat="0" applyFont="0" applyAlignment="0" applyProtection="0"/>
    <xf numFmtId="0" fontId="147" fillId="35" borderId="47" applyNumberFormat="0" applyFont="0" applyAlignment="0" applyProtection="0"/>
    <xf numFmtId="0" fontId="183" fillId="35" borderId="47" applyNumberFormat="0" applyFont="0" applyAlignment="0" applyProtection="0"/>
    <xf numFmtId="0" fontId="147" fillId="35" borderId="47" applyNumberFormat="0" applyFont="0" applyAlignment="0" applyProtection="0"/>
    <xf numFmtId="0" fontId="182" fillId="35" borderId="47" applyNumberFormat="0" applyFont="0" applyAlignment="0" applyProtection="0"/>
    <xf numFmtId="0" fontId="147" fillId="35" borderId="47" applyNumberFormat="0" applyFont="0" applyAlignment="0" applyProtection="0"/>
    <xf numFmtId="0" fontId="181" fillId="35" borderId="47" applyNumberFormat="0" applyFont="0" applyAlignment="0" applyProtection="0"/>
    <xf numFmtId="0" fontId="147" fillId="35" borderId="47" applyNumberFormat="0" applyFont="0" applyAlignment="0" applyProtection="0"/>
    <xf numFmtId="0" fontId="180" fillId="35" borderId="47" applyNumberFormat="0" applyFont="0" applyAlignment="0" applyProtection="0"/>
    <xf numFmtId="0" fontId="147" fillId="35" borderId="47" applyNumberFormat="0" applyFont="0" applyAlignment="0" applyProtection="0"/>
    <xf numFmtId="0" fontId="179" fillId="35" borderId="47" applyNumberFormat="0" applyFont="0" applyAlignment="0" applyProtection="0"/>
    <xf numFmtId="0" fontId="147" fillId="35" borderId="47" applyNumberFormat="0" applyFont="0" applyAlignment="0" applyProtection="0"/>
    <xf numFmtId="0" fontId="205" fillId="35" borderId="47" applyNumberFormat="0" applyFont="0" applyAlignment="0" applyProtection="0"/>
    <xf numFmtId="0" fontId="147" fillId="35" borderId="47" applyNumberFormat="0" applyFont="0" applyAlignment="0" applyProtection="0"/>
    <xf numFmtId="0" fontId="178" fillId="35" borderId="47" applyNumberFormat="0" applyFont="0" applyAlignment="0" applyProtection="0"/>
    <xf numFmtId="0" fontId="147" fillId="35" borderId="47" applyNumberFormat="0" applyFont="0" applyAlignment="0" applyProtection="0"/>
    <xf numFmtId="0" fontId="177" fillId="35" borderId="47" applyNumberFormat="0" applyFont="0" applyAlignment="0" applyProtection="0"/>
    <xf numFmtId="0" fontId="147" fillId="35" borderId="47" applyNumberFormat="0" applyFont="0" applyAlignment="0" applyProtection="0"/>
    <xf numFmtId="0" fontId="176" fillId="35" borderId="47" applyNumberFormat="0" applyFont="0" applyAlignment="0" applyProtection="0"/>
    <xf numFmtId="0" fontId="147" fillId="35" borderId="47" applyNumberFormat="0" applyFont="0" applyAlignment="0" applyProtection="0"/>
    <xf numFmtId="0" fontId="175" fillId="35" borderId="47" applyNumberFormat="0" applyFont="0" applyAlignment="0" applyProtection="0"/>
    <xf numFmtId="0" fontId="147" fillId="35" borderId="47" applyNumberFormat="0" applyFont="0" applyAlignment="0" applyProtection="0"/>
    <xf numFmtId="0" fontId="174" fillId="35" borderId="47" applyNumberFormat="0" applyFont="0" applyAlignment="0" applyProtection="0"/>
    <xf numFmtId="0" fontId="147" fillId="35" borderId="47" applyNumberFormat="0" applyFont="0" applyAlignment="0" applyProtection="0"/>
    <xf numFmtId="0" fontId="173" fillId="35" borderId="47" applyNumberFormat="0" applyFont="0" applyAlignment="0" applyProtection="0"/>
    <xf numFmtId="0" fontId="147" fillId="35" borderId="47" applyNumberFormat="0" applyFont="0" applyAlignment="0" applyProtection="0"/>
    <xf numFmtId="0" fontId="172" fillId="35" borderId="47" applyNumberFormat="0" applyFont="0" applyAlignment="0" applyProtection="0"/>
    <xf numFmtId="0" fontId="147" fillId="35" borderId="47" applyNumberFormat="0" applyFont="0" applyAlignment="0" applyProtection="0"/>
    <xf numFmtId="0" fontId="171" fillId="35" borderId="47" applyNumberFormat="0" applyFont="0" applyAlignment="0" applyProtection="0"/>
    <xf numFmtId="0" fontId="147" fillId="35" borderId="47" applyNumberFormat="0" applyFont="0" applyAlignment="0" applyProtection="0"/>
    <xf numFmtId="0" fontId="170" fillId="35" borderId="47" applyNumberFormat="0" applyFont="0" applyAlignment="0" applyProtection="0"/>
    <xf numFmtId="0" fontId="147" fillId="35" borderId="47" applyNumberFormat="0" applyFont="0" applyAlignment="0" applyProtection="0"/>
    <xf numFmtId="0" fontId="169" fillId="35" borderId="47" applyNumberFormat="0" applyFont="0" applyAlignment="0" applyProtection="0"/>
    <xf numFmtId="0" fontId="147" fillId="35" borderId="47" applyNumberFormat="0" applyFont="0" applyAlignment="0" applyProtection="0"/>
    <xf numFmtId="0" fontId="204" fillId="35" borderId="47" applyNumberFormat="0" applyFont="0" applyAlignment="0" applyProtection="0"/>
    <xf numFmtId="0" fontId="147" fillId="35" borderId="47" applyNumberFormat="0" applyFont="0" applyAlignment="0" applyProtection="0"/>
    <xf numFmtId="0" fontId="168" fillId="35" borderId="47" applyNumberFormat="0" applyFont="0" applyAlignment="0" applyProtection="0"/>
    <xf numFmtId="0" fontId="147" fillId="35" borderId="47" applyNumberFormat="0" applyFont="0" applyAlignment="0" applyProtection="0"/>
    <xf numFmtId="0" fontId="167" fillId="35" borderId="47" applyNumberFormat="0" applyFont="0" applyAlignment="0" applyProtection="0"/>
    <xf numFmtId="0" fontId="147" fillId="35" borderId="47" applyNumberFormat="0" applyFont="0" applyAlignment="0" applyProtection="0"/>
    <xf numFmtId="0" fontId="166" fillId="35" borderId="47" applyNumberFormat="0" applyFont="0" applyAlignment="0" applyProtection="0"/>
    <xf numFmtId="0" fontId="147" fillId="35" borderId="47" applyNumberFormat="0" applyFont="0" applyAlignment="0" applyProtection="0"/>
    <xf numFmtId="0" fontId="165" fillId="35" borderId="47" applyNumberFormat="0" applyFont="0" applyAlignment="0" applyProtection="0"/>
    <xf numFmtId="0" fontId="147" fillId="35" borderId="47" applyNumberFormat="0" applyFont="0" applyAlignment="0" applyProtection="0"/>
    <xf numFmtId="0" fontId="164" fillId="35" borderId="47" applyNumberFormat="0" applyFont="0" applyAlignment="0" applyProtection="0"/>
    <xf numFmtId="0" fontId="147" fillId="35" borderId="47" applyNumberFormat="0" applyFont="0" applyAlignment="0" applyProtection="0"/>
    <xf numFmtId="0" fontId="163" fillId="35" borderId="47" applyNumberFormat="0" applyFont="0" applyAlignment="0" applyProtection="0"/>
    <xf numFmtId="0" fontId="147" fillId="35" borderId="47" applyNumberFormat="0" applyFont="0" applyAlignment="0" applyProtection="0"/>
    <xf numFmtId="0" fontId="162" fillId="35" borderId="47" applyNumberFormat="0" applyFont="0" applyAlignment="0" applyProtection="0"/>
    <xf numFmtId="0" fontId="147" fillId="35" borderId="47" applyNumberFormat="0" applyFont="0" applyAlignment="0" applyProtection="0"/>
    <xf numFmtId="0" fontId="161" fillId="35" borderId="47" applyNumberFormat="0" applyFont="0" applyAlignment="0" applyProtection="0"/>
    <xf numFmtId="0" fontId="147" fillId="35" borderId="47" applyNumberFormat="0" applyFont="0" applyAlignment="0" applyProtection="0"/>
    <xf numFmtId="0" fontId="160" fillId="35" borderId="47" applyNumberFormat="0" applyFont="0" applyAlignment="0" applyProtection="0"/>
    <xf numFmtId="0" fontId="147" fillId="35" borderId="47" applyNumberFormat="0" applyFont="0" applyAlignment="0" applyProtection="0"/>
    <xf numFmtId="0" fontId="159" fillId="35" borderId="47" applyNumberFormat="0" applyFont="0" applyAlignment="0" applyProtection="0"/>
    <xf numFmtId="0" fontId="147" fillId="35" borderId="47" applyNumberFormat="0" applyFont="0" applyAlignment="0" applyProtection="0"/>
    <xf numFmtId="0" fontId="203" fillId="35" borderId="47" applyNumberFormat="0" applyFont="0" applyAlignment="0" applyProtection="0"/>
    <xf numFmtId="0" fontId="147" fillId="35" borderId="47" applyNumberFormat="0" applyFont="0" applyAlignment="0" applyProtection="0"/>
    <xf numFmtId="0" fontId="158" fillId="35" borderId="47" applyNumberFormat="0" applyFont="0" applyAlignment="0" applyProtection="0"/>
    <xf numFmtId="0" fontId="147" fillId="35" borderId="47" applyNumberFormat="0" applyFont="0" applyAlignment="0" applyProtection="0"/>
    <xf numFmtId="0" fontId="157" fillId="35" borderId="47" applyNumberFormat="0" applyFont="0" applyAlignment="0" applyProtection="0"/>
    <xf numFmtId="0" fontId="147" fillId="35" borderId="47" applyNumberFormat="0" applyFont="0" applyAlignment="0" applyProtection="0"/>
    <xf numFmtId="0" fontId="156" fillId="35" borderId="47" applyNumberFormat="0" applyFont="0" applyAlignment="0" applyProtection="0"/>
    <xf numFmtId="0" fontId="147" fillId="35" borderId="47" applyNumberFormat="0" applyFont="0" applyAlignment="0" applyProtection="0"/>
    <xf numFmtId="0" fontId="155" fillId="35" borderId="47" applyNumberFormat="0" applyFont="0" applyAlignment="0" applyProtection="0"/>
    <xf numFmtId="0" fontId="147" fillId="35" borderId="47" applyNumberFormat="0" applyFont="0" applyAlignment="0" applyProtection="0"/>
    <xf numFmtId="0" fontId="154" fillId="35" borderId="47" applyNumberFormat="0" applyFont="0" applyAlignment="0" applyProtection="0"/>
    <xf numFmtId="0" fontId="147" fillId="35" borderId="47" applyNumberFormat="0" applyFont="0" applyAlignment="0" applyProtection="0"/>
    <xf numFmtId="0" fontId="153" fillId="35" borderId="47" applyNumberFormat="0" applyFont="0" applyAlignment="0" applyProtection="0"/>
    <xf numFmtId="0" fontId="147" fillId="35" borderId="47" applyNumberFormat="0" applyFont="0" applyAlignment="0" applyProtection="0"/>
    <xf numFmtId="0" fontId="152" fillId="35" borderId="47" applyNumberFormat="0" applyFont="0" applyAlignment="0" applyProtection="0"/>
    <xf numFmtId="0" fontId="147" fillId="35" borderId="47" applyNumberFormat="0" applyFont="0" applyAlignment="0" applyProtection="0"/>
    <xf numFmtId="0" fontId="151" fillId="35" borderId="47" applyNumberFormat="0" applyFont="0" applyAlignment="0" applyProtection="0"/>
    <xf numFmtId="0" fontId="147" fillId="35" borderId="47" applyNumberFormat="0" applyFont="0" applyAlignment="0" applyProtection="0"/>
    <xf numFmtId="0" fontId="150" fillId="35" borderId="47" applyNumberFormat="0" applyFont="0" applyAlignment="0" applyProtection="0"/>
    <xf numFmtId="0" fontId="147" fillId="35" borderId="47" applyNumberFormat="0" applyFont="0" applyAlignment="0" applyProtection="0"/>
    <xf numFmtId="0" fontId="149" fillId="35" borderId="47" applyNumberFormat="0" applyFont="0" applyAlignment="0" applyProtection="0"/>
    <xf numFmtId="0" fontId="147" fillId="35" borderId="47" applyNumberFormat="0" applyFont="0" applyAlignment="0" applyProtection="0"/>
    <xf numFmtId="0" fontId="202" fillId="35" borderId="47" applyNumberFormat="0" applyFont="0" applyAlignment="0" applyProtection="0"/>
    <xf numFmtId="0" fontId="147" fillId="35" borderId="47" applyNumberFormat="0" applyFont="0" applyAlignment="0" applyProtection="0"/>
    <xf numFmtId="0" fontId="148" fillId="35" borderId="47" applyNumberFormat="0" applyFont="0" applyAlignment="0" applyProtection="0"/>
    <xf numFmtId="0" fontId="147" fillId="35" borderId="47" applyNumberFormat="0" applyFont="0" applyAlignment="0" applyProtection="0"/>
    <xf numFmtId="0" fontId="147" fillId="35" borderId="47" applyNumberFormat="0" applyFont="0" applyAlignment="0" applyProtection="0"/>
    <xf numFmtId="0" fontId="146" fillId="35" borderId="47" applyNumberFormat="0" applyFont="0" applyAlignment="0" applyProtection="0"/>
    <xf numFmtId="0" fontId="145" fillId="35" borderId="47" applyNumberFormat="0" applyFont="0" applyAlignment="0" applyProtection="0"/>
    <xf numFmtId="0" fontId="144" fillId="35" borderId="47" applyNumberFormat="0" applyFont="0" applyAlignment="0" applyProtection="0"/>
    <xf numFmtId="0" fontId="143" fillId="35" borderId="47" applyNumberFormat="0" applyFont="0" applyAlignment="0" applyProtection="0"/>
    <xf numFmtId="0" fontId="142" fillId="35" borderId="47" applyNumberFormat="0" applyFont="0" applyAlignment="0" applyProtection="0"/>
    <xf numFmtId="0" fontId="141" fillId="35" borderId="47" applyNumberFormat="0" applyFont="0" applyAlignment="0" applyProtection="0"/>
    <xf numFmtId="0" fontId="140" fillId="35" borderId="47" applyNumberFormat="0" applyFont="0" applyAlignment="0" applyProtection="0"/>
    <xf numFmtId="0" fontId="139" fillId="35" borderId="47" applyNumberFormat="0" applyFont="0" applyAlignment="0" applyProtection="0"/>
    <xf numFmtId="0" fontId="201" fillId="35" borderId="47" applyNumberFormat="0" applyFont="0" applyAlignment="0" applyProtection="0"/>
    <xf numFmtId="0" fontId="147" fillId="35" borderId="47" applyNumberFormat="0" applyFont="0" applyAlignment="0" applyProtection="0"/>
    <xf numFmtId="0" fontId="138" fillId="35" borderId="47" applyNumberFormat="0" applyFont="0" applyAlignment="0" applyProtection="0"/>
    <xf numFmtId="0" fontId="137" fillId="35" borderId="47" applyNumberFormat="0" applyFont="0" applyAlignment="0" applyProtection="0"/>
    <xf numFmtId="0" fontId="136" fillId="35" borderId="47" applyNumberFormat="0" applyFont="0" applyAlignment="0" applyProtection="0"/>
    <xf numFmtId="0" fontId="135" fillId="35" borderId="47" applyNumberFormat="0" applyFont="0" applyAlignment="0" applyProtection="0"/>
    <xf numFmtId="0" fontId="134" fillId="35" borderId="47" applyNumberFormat="0" applyFont="0" applyAlignment="0" applyProtection="0"/>
    <xf numFmtId="0" fontId="133" fillId="35" borderId="47" applyNumberFormat="0" applyFont="0" applyAlignment="0" applyProtection="0"/>
    <xf numFmtId="0" fontId="132" fillId="35" borderId="47" applyNumberFormat="0" applyFont="0" applyAlignment="0" applyProtection="0"/>
    <xf numFmtId="0" fontId="131" fillId="35" borderId="47" applyNumberFormat="0" applyFont="0" applyAlignment="0" applyProtection="0"/>
    <xf numFmtId="0" fontId="130" fillId="35" borderId="47" applyNumberFormat="0" applyFont="0" applyAlignment="0" applyProtection="0"/>
    <xf numFmtId="0" fontId="129" fillId="35" borderId="47" applyNumberFormat="0" applyFont="0" applyAlignment="0" applyProtection="0"/>
    <xf numFmtId="0" fontId="200" fillId="35" borderId="47" applyNumberFormat="0" applyFont="0" applyAlignment="0" applyProtection="0"/>
    <xf numFmtId="0" fontId="147" fillId="35" borderId="47" applyNumberFormat="0" applyFont="0" applyAlignment="0" applyProtection="0"/>
    <xf numFmtId="0" fontId="128" fillId="35" borderId="47" applyNumberFormat="0" applyFont="0" applyAlignment="0" applyProtection="0"/>
    <xf numFmtId="0" fontId="127" fillId="35" borderId="47" applyNumberFormat="0" applyFont="0" applyAlignment="0" applyProtection="0"/>
    <xf numFmtId="0" fontId="126" fillId="35" borderId="47" applyNumberFormat="0" applyFont="0" applyAlignment="0" applyProtection="0"/>
    <xf numFmtId="0" fontId="125" fillId="35" borderId="47" applyNumberFormat="0" applyFont="0" applyAlignment="0" applyProtection="0"/>
    <xf numFmtId="0" fontId="124" fillId="35" borderId="47" applyNumberFormat="0" applyFont="0" applyAlignment="0" applyProtection="0"/>
    <xf numFmtId="0" fontId="123" fillId="35" borderId="47" applyNumberFormat="0" applyFont="0" applyAlignment="0" applyProtection="0"/>
    <xf numFmtId="0" fontId="122" fillId="35" borderId="47" applyNumberFormat="0" applyFont="0" applyAlignment="0" applyProtection="0"/>
    <xf numFmtId="0" fontId="121" fillId="35" borderId="47" applyNumberFormat="0" applyFont="0" applyAlignment="0" applyProtection="0"/>
    <xf numFmtId="0" fontId="120" fillId="35" borderId="47" applyNumberFormat="0" applyFont="0" applyAlignment="0" applyProtection="0"/>
    <xf numFmtId="0" fontId="119" fillId="35" borderId="47" applyNumberFormat="0" applyFont="0" applyAlignment="0" applyProtection="0"/>
    <xf numFmtId="0" fontId="199" fillId="35" borderId="47" applyNumberFormat="0" applyFont="0" applyAlignment="0" applyProtection="0"/>
    <xf numFmtId="0" fontId="147" fillId="35" borderId="47" applyNumberFormat="0" applyFont="0" applyAlignment="0" applyProtection="0"/>
    <xf numFmtId="0" fontId="118" fillId="35" borderId="47" applyNumberFormat="0" applyFont="0" applyAlignment="0" applyProtection="0"/>
    <xf numFmtId="0" fontId="117" fillId="35" borderId="47" applyNumberFormat="0" applyFont="0" applyAlignment="0" applyProtection="0"/>
    <xf numFmtId="0" fontId="116" fillId="35" borderId="47" applyNumberFormat="0" applyFont="0" applyAlignment="0" applyProtection="0"/>
    <xf numFmtId="0" fontId="115" fillId="35" borderId="47" applyNumberFormat="0" applyFont="0" applyAlignment="0" applyProtection="0"/>
    <xf numFmtId="0" fontId="114" fillId="35" borderId="47" applyNumberFormat="0" applyFont="0" applyAlignment="0" applyProtection="0"/>
    <xf numFmtId="0" fontId="113" fillId="35" borderId="47" applyNumberFormat="0" applyFont="0" applyAlignment="0" applyProtection="0"/>
    <xf numFmtId="0" fontId="112" fillId="35" borderId="47" applyNumberFormat="0" applyFont="0" applyAlignment="0" applyProtection="0"/>
    <xf numFmtId="0" fontId="111" fillId="35" borderId="47" applyNumberFormat="0" applyFont="0" applyAlignment="0" applyProtection="0"/>
    <xf numFmtId="0" fontId="110" fillId="35" borderId="47" applyNumberFormat="0" applyFont="0" applyAlignment="0" applyProtection="0"/>
    <xf numFmtId="0" fontId="109" fillId="35" borderId="47" applyNumberFormat="0" applyFont="0" applyAlignment="0" applyProtection="0"/>
    <xf numFmtId="0" fontId="300" fillId="36" borderId="0" applyNumberFormat="0" applyBorder="0" applyAlignment="0" applyProtection="0"/>
    <xf numFmtId="43" fontId="284" fillId="0" borderId="0" applyFont="0" applyFill="0" applyBorder="0" applyAlignment="0" applyProtection="0"/>
    <xf numFmtId="0" fontId="284" fillId="35" borderId="47" applyNumberFormat="0" applyFont="0" applyAlignment="0" applyProtection="0"/>
    <xf numFmtId="0" fontId="303" fillId="0" borderId="0"/>
    <xf numFmtId="43" fontId="303" fillId="0" borderId="0" applyFont="0" applyFill="0" applyBorder="0" applyAlignment="0" applyProtection="0"/>
    <xf numFmtId="0" fontId="304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84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303" fillId="0" borderId="0"/>
    <xf numFmtId="9" fontId="284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84" fillId="0" borderId="0"/>
    <xf numFmtId="0" fontId="284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1" fillId="35" borderId="47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7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3" fillId="0" borderId="0"/>
    <xf numFmtId="0" fontId="334" fillId="37" borderId="0" applyNumberFormat="0" applyBorder="0" applyAlignment="0" applyProtection="0"/>
    <xf numFmtId="0" fontId="334" fillId="38" borderId="0" applyNumberFormat="0" applyBorder="0" applyAlignment="0" applyProtection="0"/>
    <xf numFmtId="0" fontId="334" fillId="39" borderId="0" applyNumberFormat="0" applyBorder="0" applyAlignment="0" applyProtection="0"/>
    <xf numFmtId="0" fontId="334" fillId="40" borderId="0" applyNumberFormat="0" applyBorder="0" applyAlignment="0" applyProtection="0"/>
    <xf numFmtId="0" fontId="334" fillId="41" borderId="0" applyNumberFormat="0" applyBorder="0" applyAlignment="0" applyProtection="0"/>
    <xf numFmtId="0" fontId="334" fillId="42" borderId="0" applyNumberFormat="0" applyBorder="0" applyAlignment="0" applyProtection="0"/>
    <xf numFmtId="0" fontId="334" fillId="43" borderId="0" applyNumberFormat="0" applyBorder="0" applyAlignment="0" applyProtection="0"/>
    <xf numFmtId="0" fontId="334" fillId="44" borderId="0" applyNumberFormat="0" applyBorder="0" applyAlignment="0" applyProtection="0"/>
    <xf numFmtId="0" fontId="334" fillId="45" borderId="0" applyNumberFormat="0" applyBorder="0" applyAlignment="0" applyProtection="0"/>
    <xf numFmtId="0" fontId="334" fillId="40" borderId="0" applyNumberFormat="0" applyBorder="0" applyAlignment="0" applyProtection="0"/>
    <xf numFmtId="0" fontId="334" fillId="43" borderId="0" applyNumberFormat="0" applyBorder="0" applyAlignment="0" applyProtection="0"/>
    <xf numFmtId="0" fontId="334" fillId="46" borderId="0" applyNumberFormat="0" applyBorder="0" applyAlignment="0" applyProtection="0"/>
    <xf numFmtId="0" fontId="335" fillId="47" borderId="0" applyNumberFormat="0" applyBorder="0" applyAlignment="0" applyProtection="0"/>
    <xf numFmtId="0" fontId="335" fillId="44" borderId="0" applyNumberFormat="0" applyBorder="0" applyAlignment="0" applyProtection="0"/>
    <xf numFmtId="0" fontId="335" fillId="45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0" borderId="0" applyNumberFormat="0" applyBorder="0" applyAlignment="0" applyProtection="0"/>
    <xf numFmtId="0" fontId="335" fillId="51" borderId="0" applyNumberFormat="0" applyBorder="0" applyAlignment="0" applyProtection="0"/>
    <xf numFmtId="0" fontId="335" fillId="52" borderId="0" applyNumberFormat="0" applyBorder="0" applyAlignment="0" applyProtection="0"/>
    <xf numFmtId="0" fontId="335" fillId="53" borderId="0" applyNumberFormat="0" applyBorder="0" applyAlignment="0" applyProtection="0"/>
    <xf numFmtId="0" fontId="335" fillId="48" borderId="0" applyNumberFormat="0" applyBorder="0" applyAlignment="0" applyProtection="0"/>
    <xf numFmtId="0" fontId="335" fillId="49" borderId="0" applyNumberFormat="0" applyBorder="0" applyAlignment="0" applyProtection="0"/>
    <xf numFmtId="0" fontId="335" fillId="54" borderId="0" applyNumberFormat="0" applyBorder="0" applyAlignment="0" applyProtection="0"/>
    <xf numFmtId="0" fontId="336" fillId="42" borderId="49" applyNumberFormat="0" applyAlignment="0" applyProtection="0"/>
    <xf numFmtId="0" fontId="337" fillId="55" borderId="50" applyNumberFormat="0" applyAlignment="0" applyProtection="0"/>
    <xf numFmtId="0" fontId="338" fillId="39" borderId="0" applyNumberFormat="0" applyBorder="0" applyAlignment="0" applyProtection="0"/>
    <xf numFmtId="0" fontId="339" fillId="0" borderId="51" applyNumberFormat="0" applyFill="0" applyAlignment="0" applyProtection="0"/>
    <xf numFmtId="0" fontId="340" fillId="56" borderId="52" applyNumberFormat="0" applyAlignment="0" applyProtection="0"/>
    <xf numFmtId="0" fontId="341" fillId="0" borderId="53" applyNumberFormat="0" applyFill="0" applyAlignment="0" applyProtection="0"/>
    <xf numFmtId="0" fontId="342" fillId="0" borderId="54" applyNumberFormat="0" applyFill="0" applyAlignment="0" applyProtection="0"/>
    <xf numFmtId="0" fontId="343" fillId="0" borderId="55" applyNumberFormat="0" applyFill="0" applyAlignment="0" applyProtection="0"/>
    <xf numFmtId="0" fontId="343" fillId="0" borderId="0" applyNumberFormat="0" applyFill="0" applyBorder="0" applyAlignment="0" applyProtection="0"/>
    <xf numFmtId="0" fontId="344" fillId="57" borderId="0" applyNumberFormat="0" applyBorder="0" applyAlignment="0" applyProtection="0"/>
    <xf numFmtId="0" fontId="345" fillId="55" borderId="49" applyNumberFormat="0" applyAlignment="0" applyProtection="0"/>
    <xf numFmtId="9" fontId="333" fillId="0" borderId="0" applyFont="0" applyFill="0" applyBorder="0" applyAlignment="0" applyProtection="0"/>
    <xf numFmtId="0" fontId="346" fillId="0" borderId="56" applyNumberFormat="0" applyFill="0" applyAlignment="0" applyProtection="0"/>
    <xf numFmtId="0" fontId="347" fillId="0" borderId="0" applyNumberFormat="0" applyFill="0" applyBorder="0" applyAlignment="0" applyProtection="0"/>
    <xf numFmtId="0" fontId="348" fillId="0" borderId="0" applyNumberFormat="0" applyFill="0" applyBorder="0" applyAlignment="0" applyProtection="0"/>
    <xf numFmtId="0" fontId="349" fillId="0" borderId="0" applyNumberFormat="0" applyFill="0" applyBorder="0" applyAlignment="0" applyProtection="0"/>
    <xf numFmtId="0" fontId="333" fillId="58" borderId="57" applyNumberFormat="0" applyFont="0" applyAlignment="0" applyProtection="0"/>
    <xf numFmtId="0" fontId="350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7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7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7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7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0" fillId="0" borderId="0"/>
    <xf numFmtId="9" fontId="270" fillId="0" borderId="0" applyFont="0" applyFill="0" applyBorder="0" applyAlignment="0" applyProtection="0"/>
    <xf numFmtId="0" fontId="270" fillId="58" borderId="57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7" applyNumberFormat="0" applyFont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7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56" fillId="0" borderId="0"/>
    <xf numFmtId="9" fontId="356" fillId="0" borderId="0" applyFont="0" applyFill="0" applyBorder="0" applyAlignment="0" applyProtection="0"/>
    <xf numFmtId="0" fontId="356" fillId="58" borderId="57" applyNumberFormat="0" applyFont="0" applyAlignment="0" applyProtection="0"/>
    <xf numFmtId="0" fontId="363" fillId="0" borderId="0"/>
    <xf numFmtId="9" fontId="363" fillId="0" borderId="0" applyFont="0" applyFill="0" applyBorder="0" applyAlignment="0" applyProtection="0"/>
    <xf numFmtId="0" fontId="363" fillId="58" borderId="57" applyNumberFormat="0" applyFont="0" applyAlignment="0" applyProtection="0"/>
    <xf numFmtId="0" fontId="367" fillId="0" borderId="0"/>
    <xf numFmtId="9" fontId="367" fillId="0" borderId="0" applyFont="0" applyFill="0" applyBorder="0" applyAlignment="0" applyProtection="0"/>
    <xf numFmtId="0" fontId="367" fillId="58" borderId="57" applyNumberFormat="0" applyFont="0" applyAlignment="0" applyProtection="0"/>
    <xf numFmtId="0" fontId="369" fillId="0" borderId="0"/>
    <xf numFmtId="9" fontId="369" fillId="0" borderId="0" applyFont="0" applyFill="0" applyBorder="0" applyAlignment="0" applyProtection="0"/>
    <xf numFmtId="0" fontId="369" fillId="58" borderId="57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7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7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79" fillId="0" borderId="0"/>
    <xf numFmtId="9" fontId="379" fillId="0" borderId="0" applyFont="0" applyFill="0" applyBorder="0" applyAlignment="0" applyProtection="0"/>
    <xf numFmtId="0" fontId="379" fillId="58" borderId="57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80" fillId="0" borderId="0"/>
    <xf numFmtId="9" fontId="380" fillId="0" borderId="0" applyFont="0" applyFill="0" applyBorder="0" applyAlignment="0" applyProtection="0"/>
    <xf numFmtId="0" fontId="380" fillId="58" borderId="57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7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7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84" fillId="0" borderId="0"/>
    <xf numFmtId="9" fontId="384" fillId="0" borderId="0" applyFont="0" applyFill="0" applyBorder="0" applyAlignment="0" applyProtection="0"/>
    <xf numFmtId="0" fontId="384" fillId="58" borderId="57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7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7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04" fillId="0" borderId="0"/>
    <xf numFmtId="9" fontId="404" fillId="0" borderId="0" applyFont="0" applyFill="0" applyBorder="0" applyAlignment="0" applyProtection="0"/>
    <xf numFmtId="0" fontId="404" fillId="58" borderId="57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7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7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7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7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72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0" fontId="233" fillId="0" borderId="1" xfId="0" applyNumberFormat="1" applyFont="1" applyFill="1" applyBorder="1" applyAlignment="1">
      <alignment horizontal="left" vertical="center"/>
    </xf>
    <xf numFmtId="4" fontId="228" fillId="2" borderId="1" xfId="0" applyNumberFormat="1" applyFont="1" applyFill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4" fontId="229" fillId="2" borderId="1" xfId="0" applyNumberFormat="1" applyFont="1" applyFill="1" applyBorder="1" applyAlignment="1">
      <alignment horizontal="left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3" fontId="241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0" fontId="212" fillId="0" borderId="1" xfId="0" applyFont="1" applyBorder="1" applyAlignment="1">
      <alignment horizontal="center" vertical="center"/>
    </xf>
    <xf numFmtId="9" fontId="241" fillId="0" borderId="1" xfId="3304" applyFont="1" applyBorder="1" applyAlignment="1">
      <alignment horizontal="center" vertical="center"/>
    </xf>
    <xf numFmtId="4" fontId="229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41" fillId="0" borderId="1" xfId="304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left" vertical="center"/>
    </xf>
    <xf numFmtId="1" fontId="247" fillId="2" borderId="1" xfId="0" applyNumberFormat="1" applyFont="1" applyFill="1" applyBorder="1" applyAlignment="1">
      <alignment horizontal="left" vertical="center"/>
    </xf>
    <xf numFmtId="43" fontId="242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4" fontId="245" fillId="2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6" fillId="0" borderId="0" xfId="0" applyFont="1" applyAlignment="1">
      <alignment horizontal="left" vertical="center"/>
    </xf>
    <xf numFmtId="4" fontId="247" fillId="0" borderId="2" xfId="0" applyNumberFormat="1" applyFont="1" applyFill="1" applyBorder="1" applyAlignment="1">
      <alignment horizontal="left" vertical="center"/>
    </xf>
    <xf numFmtId="3" fontId="247" fillId="0" borderId="0" xfId="3302" applyNumberFormat="1" applyFont="1" applyBorder="1" applyAlignment="1">
      <alignment horizontal="center" vertical="center"/>
    </xf>
    <xf numFmtId="4" fontId="247" fillId="2" borderId="3" xfId="0" applyNumberFormat="1" applyFont="1" applyFill="1" applyBorder="1" applyAlignment="1">
      <alignment horizontal="left" vertical="center"/>
    </xf>
    <xf numFmtId="4" fontId="249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51" fillId="0" borderId="0" xfId="0" applyFont="1" applyAlignment="1">
      <alignment horizontal="left" vertical="center"/>
    </xf>
    <xf numFmtId="0" fontId="209" fillId="0" borderId="0" xfId="0" applyFont="1"/>
    <xf numFmtId="0" fontId="257" fillId="0" borderId="0" xfId="0" applyFont="1" applyAlignment="1">
      <alignment horizontal="left" vertical="center"/>
    </xf>
    <xf numFmtId="0" fontId="258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60" fillId="0" borderId="1" xfId="0" applyNumberFormat="1" applyFont="1" applyFill="1" applyBorder="1" applyAlignment="1">
      <alignment horizontal="left" vertical="center"/>
    </xf>
    <xf numFmtId="0" fontId="261" fillId="0" borderId="1" xfId="0" applyFont="1" applyBorder="1" applyAlignment="1">
      <alignment horizontal="center" vertical="center"/>
    </xf>
    <xf numFmtId="0" fontId="261" fillId="0" borderId="0" xfId="0" applyFont="1"/>
    <xf numFmtId="4" fontId="245" fillId="0" borderId="1" xfId="3302" applyNumberFormat="1" applyFont="1" applyBorder="1" applyAlignment="1">
      <alignment horizontal="center" vertical="center"/>
    </xf>
    <xf numFmtId="43" fontId="261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5" fillId="0" borderId="1" xfId="3040" applyFont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29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56" fillId="0" borderId="1" xfId="3040" applyNumberFormat="1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left" vertical="center"/>
    </xf>
    <xf numFmtId="10" fontId="254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5" fillId="0" borderId="1" xfId="3304" applyNumberFormat="1" applyFont="1" applyBorder="1" applyAlignment="1">
      <alignment horizontal="center" vertical="center"/>
    </xf>
    <xf numFmtId="10" fontId="241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60" fillId="0" borderId="1" xfId="3040" applyFont="1" applyFill="1" applyBorder="1" applyAlignment="1">
      <alignment horizontal="center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9" fontId="241" fillId="0" borderId="1" xfId="3040" applyNumberFormat="1" applyFont="1" applyBorder="1" applyAlignment="1">
      <alignment horizontal="center" vertical="center"/>
    </xf>
    <xf numFmtId="0" fontId="241" fillId="0" borderId="1" xfId="3040" applyNumberFormat="1" applyFont="1" applyBorder="1" applyAlignment="1">
      <alignment horizontal="center" vertical="center"/>
    </xf>
    <xf numFmtId="0" fontId="0" fillId="0" borderId="4" xfId="0" applyBorder="1"/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62" fillId="0" borderId="1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43" fontId="263" fillId="2" borderId="1" xfId="3040" applyFont="1" applyFill="1" applyBorder="1" applyAlignment="1">
      <alignment horizontal="left" vertical="center"/>
    </xf>
    <xf numFmtId="4" fontId="264" fillId="0" borderId="1" xfId="0" applyNumberFormat="1" applyFont="1" applyFill="1" applyBorder="1" applyAlignment="1">
      <alignment horizontal="left" vertical="center"/>
    </xf>
    <xf numFmtId="43" fontId="253" fillId="2" borderId="1" xfId="3040" applyFont="1" applyFill="1" applyBorder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65" fillId="0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164" fontId="254" fillId="2" borderId="1" xfId="0" applyNumberFormat="1" applyFont="1" applyFill="1" applyBorder="1" applyAlignment="1">
      <alignment horizontal="left" vertical="center"/>
    </xf>
    <xf numFmtId="2" fontId="253" fillId="2" borderId="1" xfId="0" applyNumberFormat="1" applyFont="1" applyFill="1" applyBorder="1" applyAlignment="1">
      <alignment horizontal="left" vertical="center"/>
    </xf>
    <xf numFmtId="4" fontId="255" fillId="0" borderId="1" xfId="0" applyNumberFormat="1" applyFont="1" applyFill="1" applyBorder="1" applyAlignment="1">
      <alignment horizontal="left" vertical="center"/>
    </xf>
    <xf numFmtId="164" fontId="255" fillId="2" borderId="1" xfId="0" applyNumberFormat="1" applyFont="1" applyFill="1" applyBorder="1" applyAlignment="1">
      <alignment horizontal="left" vertical="center"/>
    </xf>
    <xf numFmtId="164" fontId="266" fillId="2" borderId="1" xfId="0" applyNumberFormat="1" applyFont="1" applyFill="1" applyBorder="1" applyAlignment="1">
      <alignment horizontal="left" vertical="center"/>
    </xf>
    <xf numFmtId="4" fontId="266" fillId="0" borderId="5" xfId="0" applyNumberFormat="1" applyFont="1" applyFill="1" applyBorder="1" applyAlignment="1">
      <alignment horizontal="left" vertical="center"/>
    </xf>
    <xf numFmtId="10" fontId="266" fillId="0" borderId="5" xfId="3304" applyNumberFormat="1" applyFont="1" applyBorder="1" applyAlignment="1">
      <alignment horizontal="center" vertical="center"/>
    </xf>
    <xf numFmtId="43" fontId="260" fillId="0" borderId="1" xfId="3040" applyFont="1" applyBorder="1" applyAlignment="1">
      <alignment horizontal="center" vertical="center"/>
    </xf>
    <xf numFmtId="0" fontId="267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5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" fontId="254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54" fillId="0" borderId="1" xfId="3040" applyFont="1" applyBorder="1" applyAlignment="1">
      <alignment horizontal="center" vertical="center"/>
    </xf>
    <xf numFmtId="1" fontId="249" fillId="2" borderId="1" xfId="0" applyNumberFormat="1" applyFont="1" applyFill="1" applyBorder="1" applyAlignment="1">
      <alignment horizontal="left" vertical="center"/>
    </xf>
    <xf numFmtId="1" fontId="248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63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8" fillId="0" borderId="2" xfId="0" applyNumberFormat="1" applyFont="1" applyFill="1" applyBorder="1" applyAlignment="1">
      <alignment horizontal="left" vertical="center"/>
    </xf>
    <xf numFmtId="3" fontId="248" fillId="0" borderId="0" xfId="3302" applyNumberFormat="1" applyFont="1" applyBorder="1" applyAlignment="1">
      <alignment horizontal="center" vertical="center"/>
    </xf>
    <xf numFmtId="4" fontId="248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8" fillId="0" borderId="0" xfId="0" applyFont="1" applyAlignment="1">
      <alignment horizontal="left"/>
    </xf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left" vertical="center"/>
    </xf>
    <xf numFmtId="0" fontId="270" fillId="0" borderId="0" xfId="0" applyFont="1" applyAlignment="1">
      <alignment horizontal="left"/>
    </xf>
    <xf numFmtId="0" fontId="270" fillId="0" borderId="0" xfId="0" applyFont="1"/>
    <xf numFmtId="0" fontId="271" fillId="0" borderId="0" xfId="0" applyFont="1" applyAlignment="1">
      <alignment horizontal="left" vertical="center"/>
    </xf>
    <xf numFmtId="0" fontId="272" fillId="0" borderId="0" xfId="0" applyFont="1" applyAlignment="1">
      <alignment horizontal="left"/>
    </xf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5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73" fillId="0" borderId="0" xfId="0" applyFont="1" applyFill="1" applyBorder="1" applyAlignment="1">
      <alignment horizontal="center"/>
    </xf>
    <xf numFmtId="0" fontId="209" fillId="0" borderId="1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209" fillId="0" borderId="18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7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7" fillId="0" borderId="23" xfId="0" applyFont="1" applyBorder="1" applyAlignment="1">
      <alignment horizontal="center" vertical="center"/>
    </xf>
    <xf numFmtId="0" fontId="267" fillId="0" borderId="19" xfId="0" applyFont="1" applyBorder="1" applyAlignment="1">
      <alignment horizontal="center" vertical="center"/>
    </xf>
    <xf numFmtId="0" fontId="225" fillId="0" borderId="19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Fill="1" applyBorder="1" applyAlignment="1">
      <alignment horizontal="center" vertical="center"/>
    </xf>
    <xf numFmtId="0" fontId="239" fillId="0" borderId="23" xfId="0" applyFont="1" applyBorder="1" applyAlignment="1">
      <alignment horizontal="center" vertical="center"/>
    </xf>
    <xf numFmtId="0" fontId="239" fillId="0" borderId="19" xfId="0" applyFont="1" applyBorder="1" applyAlignment="1">
      <alignment horizontal="center" vertical="center"/>
    </xf>
    <xf numFmtId="4" fontId="208" fillId="0" borderId="23" xfId="0" applyNumberFormat="1" applyFont="1" applyFill="1" applyBorder="1" applyAlignment="1">
      <alignment horizontal="left" vertical="center"/>
    </xf>
    <xf numFmtId="4" fontId="208" fillId="0" borderId="19" xfId="0" applyNumberFormat="1" applyFont="1" applyFill="1" applyBorder="1" applyAlignment="1">
      <alignment horizontal="left" vertical="center"/>
    </xf>
    <xf numFmtId="4" fontId="208" fillId="0" borderId="6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3" fillId="4" borderId="19" xfId="0" applyFont="1" applyFill="1" applyBorder="1" applyAlignment="1">
      <alignment horizontal="center" vertical="center"/>
    </xf>
    <xf numFmtId="4" fontId="263" fillId="4" borderId="1" xfId="0" applyNumberFormat="1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left" vertical="center"/>
    </xf>
    <xf numFmtId="43" fontId="253" fillId="4" borderId="1" xfId="3040" applyFont="1" applyFill="1" applyBorder="1" applyAlignment="1">
      <alignment horizontal="left" vertical="center"/>
    </xf>
    <xf numFmtId="10" fontId="254" fillId="4" borderId="1" xfId="3304" applyNumberFormat="1" applyFont="1" applyFill="1" applyBorder="1" applyAlignment="1">
      <alignment horizontal="center" vertical="center"/>
    </xf>
    <xf numFmtId="10" fontId="255" fillId="4" borderId="1" xfId="3304" applyNumberFormat="1" applyFont="1" applyFill="1" applyBorder="1" applyAlignment="1">
      <alignment horizontal="center" vertical="center"/>
    </xf>
    <xf numFmtId="10" fontId="266" fillId="4" borderId="5" xfId="3304" applyNumberFormat="1" applyFont="1" applyFill="1" applyBorder="1" applyAlignment="1">
      <alignment horizontal="center" vertical="center"/>
    </xf>
    <xf numFmtId="0" fontId="267" fillId="4" borderId="19" xfId="0" applyFont="1" applyFill="1" applyBorder="1" applyAlignment="1">
      <alignment horizontal="center" vertical="center"/>
    </xf>
    <xf numFmtId="43" fontId="260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54" fillId="4" borderId="1" xfId="3040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6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5" fillId="3" borderId="18" xfId="0" applyFont="1" applyFill="1" applyBorder="1" applyAlignment="1">
      <alignment horizontal="center"/>
    </xf>
    <xf numFmtId="0" fontId="225" fillId="3" borderId="27" xfId="0" applyFont="1" applyFill="1" applyBorder="1" applyAlignment="1">
      <alignment horizontal="center"/>
    </xf>
    <xf numFmtId="0" fontId="225" fillId="5" borderId="27" xfId="0" applyFont="1" applyFill="1" applyBorder="1" applyAlignment="1">
      <alignment horizontal="center"/>
    </xf>
    <xf numFmtId="0" fontId="225" fillId="5" borderId="20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3" fontId="212" fillId="0" borderId="19" xfId="0" applyNumberFormat="1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43" fontId="212" fillId="0" borderId="4" xfId="3040" applyFont="1" applyBorder="1" applyAlignment="1">
      <alignment vertical="center"/>
    </xf>
    <xf numFmtId="10" fontId="212" fillId="0" borderId="4" xfId="3304" applyNumberFormat="1" applyFont="1" applyBorder="1" applyAlignment="1">
      <alignment vertical="center"/>
    </xf>
    <xf numFmtId="0" fontId="276" fillId="2" borderId="0" xfId="0" applyFont="1" applyFill="1"/>
    <xf numFmtId="0" fontId="279" fillId="2" borderId="0" xfId="0" applyFont="1" applyFill="1"/>
    <xf numFmtId="10" fontId="278" fillId="2" borderId="4" xfId="3304" applyNumberFormat="1" applyFont="1" applyFill="1" applyBorder="1" applyAlignment="1">
      <alignment horizontal="center"/>
    </xf>
    <xf numFmtId="43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43" fontId="227" fillId="0" borderId="4" xfId="0" applyNumberFormat="1" applyFont="1" applyBorder="1" applyAlignment="1">
      <alignment horizontal="center"/>
    </xf>
    <xf numFmtId="164" fontId="247" fillId="2" borderId="1" xfId="0" applyNumberFormat="1" applyFont="1" applyFill="1" applyBorder="1" applyAlignment="1">
      <alignment horizontal="left" vertical="center"/>
    </xf>
    <xf numFmtId="0" fontId="280" fillId="2" borderId="0" xfId="0" applyFont="1" applyFill="1"/>
    <xf numFmtId="0" fontId="280" fillId="2" borderId="4" xfId="0" applyFont="1" applyFill="1" applyBorder="1" applyAlignment="1">
      <alignment horizontal="center"/>
    </xf>
    <xf numFmtId="0" fontId="281" fillId="2" borderId="4" xfId="0" applyFont="1" applyFill="1" applyBorder="1" applyAlignment="1">
      <alignment horizontal="center"/>
    </xf>
    <xf numFmtId="43" fontId="231" fillId="2" borderId="23" xfId="3040" applyFont="1" applyFill="1" applyBorder="1" applyAlignment="1">
      <alignment horizontal="left" vertical="center"/>
    </xf>
    <xf numFmtId="0" fontId="282" fillId="0" borderId="4" xfId="0" applyFont="1" applyBorder="1" applyAlignment="1">
      <alignment horizontal="center"/>
    </xf>
    <xf numFmtId="0" fontId="282" fillId="0" borderId="0" xfId="0" applyFont="1"/>
    <xf numFmtId="0" fontId="280" fillId="2" borderId="28" xfId="0" applyFont="1" applyFill="1" applyBorder="1" applyAlignment="1">
      <alignment horizontal="center"/>
    </xf>
    <xf numFmtId="10" fontId="278" fillId="2" borderId="28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4" xfId="0" applyFont="1" applyBorder="1" applyAlignment="1">
      <alignment horizontal="left" vertical="center"/>
    </xf>
    <xf numFmtId="4" fontId="275" fillId="2" borderId="34" xfId="0" applyNumberFormat="1" applyFont="1" applyFill="1" applyBorder="1" applyAlignment="1">
      <alignment horizontal="left" vertical="center"/>
    </xf>
    <xf numFmtId="10" fontId="277" fillId="2" borderId="35" xfId="3304" applyNumberFormat="1" applyFont="1" applyFill="1" applyBorder="1" applyAlignment="1">
      <alignment horizontal="right" vertical="center"/>
    </xf>
    <xf numFmtId="10" fontId="278" fillId="2" borderId="36" xfId="3304" applyNumberFormat="1" applyFont="1" applyFill="1" applyBorder="1" applyAlignment="1">
      <alignment horizontal="right" vertical="center"/>
    </xf>
    <xf numFmtId="43" fontId="227" fillId="0" borderId="28" xfId="0" applyNumberFormat="1" applyFont="1" applyBorder="1" applyAlignment="1">
      <alignment horizontal="center"/>
    </xf>
    <xf numFmtId="43" fontId="0" fillId="0" borderId="28" xfId="0" applyNumberFormat="1" applyBorder="1" applyAlignment="1">
      <alignment horizontal="center"/>
    </xf>
    <xf numFmtId="0" fontId="227" fillId="0" borderId="28" xfId="0" applyFont="1" applyBorder="1" applyAlignment="1">
      <alignment horizontal="center"/>
    </xf>
    <xf numFmtId="0" fontId="213" fillId="0" borderId="30" xfId="0" applyFont="1" applyBorder="1" applyAlignment="1">
      <alignment horizontal="left" vertical="center"/>
    </xf>
    <xf numFmtId="43" fontId="208" fillId="2" borderId="32" xfId="3040" applyFont="1" applyFill="1" applyBorder="1" applyAlignment="1">
      <alignment horizontal="left" vertical="center"/>
    </xf>
    <xf numFmtId="4" fontId="216" fillId="0" borderId="21" xfId="0" applyNumberFormat="1" applyFont="1" applyFill="1" applyBorder="1" applyAlignment="1">
      <alignment horizontal="left" vertical="center"/>
    </xf>
    <xf numFmtId="43" fontId="215" fillId="2" borderId="33" xfId="3040" applyFont="1" applyFill="1" applyBorder="1" applyAlignment="1">
      <alignment horizontal="left" vertical="center"/>
    </xf>
    <xf numFmtId="4" fontId="231" fillId="0" borderId="21" xfId="0" applyNumberFormat="1" applyFont="1" applyFill="1" applyBorder="1" applyAlignment="1">
      <alignment horizontal="left" vertical="center"/>
    </xf>
    <xf numFmtId="43" fontId="231" fillId="2" borderId="33" xfId="3040" applyFont="1" applyFill="1" applyBorder="1" applyAlignment="1">
      <alignment horizontal="left" vertical="center"/>
    </xf>
    <xf numFmtId="4" fontId="215" fillId="2" borderId="33" xfId="0" applyNumberFormat="1" applyFont="1" applyFill="1" applyBorder="1" applyAlignment="1">
      <alignment horizontal="left" vertical="center"/>
    </xf>
    <xf numFmtId="4" fontId="228" fillId="0" borderId="21" xfId="0" applyNumberFormat="1" applyFont="1" applyFill="1" applyBorder="1" applyAlignment="1">
      <alignment horizontal="left" vertical="center"/>
    </xf>
    <xf numFmtId="2" fontId="215" fillId="2" borderId="33" xfId="0" applyNumberFormat="1" applyFont="1" applyFill="1" applyBorder="1" applyAlignment="1">
      <alignment horizontal="left" vertical="center"/>
    </xf>
    <xf numFmtId="4" fontId="245" fillId="0" borderId="34" xfId="0" applyNumberFormat="1" applyFont="1" applyFill="1" applyBorder="1" applyAlignment="1">
      <alignment horizontal="left" vertical="center"/>
    </xf>
    <xf numFmtId="10" fontId="247" fillId="0" borderId="35" xfId="3304" applyNumberFormat="1" applyFont="1" applyBorder="1" applyAlignment="1">
      <alignment horizontal="center" vertical="center"/>
    </xf>
    <xf numFmtId="164" fontId="247" fillId="2" borderId="36" xfId="0" applyNumberFormat="1" applyFont="1" applyFill="1" applyBorder="1" applyAlignment="1">
      <alignment horizontal="left" vertical="center"/>
    </xf>
    <xf numFmtId="0" fontId="282" fillId="0" borderId="28" xfId="0" applyFont="1" applyBorder="1" applyAlignment="1">
      <alignment horizontal="center"/>
    </xf>
    <xf numFmtId="4" fontId="216" fillId="0" borderId="22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2" xfId="0" applyNumberFormat="1" applyFont="1" applyFill="1" applyBorder="1" applyAlignment="1">
      <alignment horizontal="left" vertical="center"/>
    </xf>
    <xf numFmtId="4" fontId="259" fillId="0" borderId="22" xfId="0" applyNumberFormat="1" applyFont="1" applyFill="1" applyBorder="1" applyAlignment="1">
      <alignment horizontal="left" vertical="center"/>
    </xf>
    <xf numFmtId="43" fontId="259" fillId="0" borderId="22" xfId="3304" applyNumberFormat="1" applyFont="1" applyBorder="1" applyAlignment="1">
      <alignment horizontal="center" vertical="center"/>
    </xf>
    <xf numFmtId="164" fontId="259" fillId="2" borderId="24" xfId="0" applyNumberFormat="1" applyFont="1" applyFill="1" applyBorder="1" applyAlignment="1">
      <alignment horizontal="left" vertical="center"/>
    </xf>
    <xf numFmtId="4" fontId="222" fillId="0" borderId="30" xfId="0" applyNumberFormat="1" applyFont="1" applyFill="1" applyBorder="1" applyAlignment="1">
      <alignment horizontal="left" vertical="center"/>
    </xf>
    <xf numFmtId="164" fontId="222" fillId="2" borderId="32" xfId="0" applyNumberFormat="1" applyFont="1" applyFill="1" applyBorder="1" applyAlignment="1">
      <alignment horizontal="left" vertical="center"/>
    </xf>
    <xf numFmtId="4" fontId="222" fillId="0" borderId="34" xfId="0" applyNumberFormat="1" applyFont="1" applyFill="1" applyBorder="1" applyAlignment="1">
      <alignment horizontal="left" vertical="center"/>
    </xf>
    <xf numFmtId="164" fontId="222" fillId="2" borderId="36" xfId="0" applyNumberFormat="1" applyFont="1" applyFill="1" applyBorder="1" applyAlignment="1">
      <alignment horizontal="left" vertical="center"/>
    </xf>
    <xf numFmtId="0" fontId="283" fillId="0" borderId="30" xfId="0" applyFont="1" applyBorder="1" applyAlignment="1">
      <alignment horizontal="left" vertical="center"/>
    </xf>
    <xf numFmtId="4" fontId="229" fillId="2" borderId="32" xfId="0" applyNumberFormat="1" applyFont="1" applyFill="1" applyBorder="1" applyAlignment="1">
      <alignment horizontal="left" vertical="center"/>
    </xf>
    <xf numFmtId="0" fontId="283" fillId="0" borderId="38" xfId="0" applyFont="1" applyBorder="1" applyAlignment="1">
      <alignment horizontal="left" vertical="center"/>
    </xf>
    <xf numFmtId="10" fontId="265" fillId="0" borderId="35" xfId="3304" applyNumberFormat="1" applyFont="1" applyBorder="1" applyAlignment="1">
      <alignment horizontal="center" vertical="center"/>
    </xf>
    <xf numFmtId="4" fontId="229" fillId="2" borderId="36" xfId="0" applyNumberFormat="1" applyFont="1" applyFill="1" applyBorder="1" applyAlignment="1">
      <alignment horizontal="left" vertical="center"/>
    </xf>
    <xf numFmtId="43" fontId="298" fillId="0" borderId="4" xfId="0" applyNumberFormat="1" applyFont="1" applyBorder="1"/>
    <xf numFmtId="43" fontId="301" fillId="0" borderId="4" xfId="3040" applyFont="1" applyBorder="1"/>
    <xf numFmtId="43" fontId="298" fillId="0" borderId="4" xfId="3040" applyFont="1" applyBorder="1"/>
    <xf numFmtId="10" fontId="0" fillId="0" borderId="0" xfId="3304" applyNumberFormat="1" applyFont="1"/>
    <xf numFmtId="0" fontId="302" fillId="0" borderId="0" xfId="0" applyFont="1"/>
    <xf numFmtId="4" fontId="241" fillId="2" borderId="21" xfId="0" applyNumberFormat="1" applyFont="1" applyFill="1" applyBorder="1" applyAlignment="1">
      <alignment horizontal="left" vertical="center"/>
    </xf>
    <xf numFmtId="4" fontId="241" fillId="2" borderId="30" xfId="0" applyNumberFormat="1" applyFont="1" applyFill="1" applyBorder="1" applyAlignment="1">
      <alignment horizontal="left" vertical="center"/>
    </xf>
    <xf numFmtId="0" fontId="284" fillId="0" borderId="4" xfId="3048" applyBorder="1" applyAlignment="1">
      <alignment horizontal="center"/>
    </xf>
    <xf numFmtId="2" fontId="305" fillId="0" borderId="1" xfId="0" applyNumberFormat="1" applyFont="1" applyBorder="1" applyAlignment="1">
      <alignment vertical="center"/>
    </xf>
    <xf numFmtId="4" fontId="308" fillId="0" borderId="0" xfId="0" applyNumberFormat="1" applyFont="1" applyAlignment="1">
      <alignment horizontal="right" vertical="center" wrapText="1"/>
    </xf>
    <xf numFmtId="0" fontId="309" fillId="0" borderId="1" xfId="0" applyNumberFormat="1" applyFont="1" applyFill="1" applyBorder="1" applyAlignment="1">
      <alignment horizontal="left" vertical="center"/>
    </xf>
    <xf numFmtId="4" fontId="312" fillId="0" borderId="5" xfId="0" applyNumberFormat="1" applyFont="1" applyFill="1" applyBorder="1" applyAlignment="1">
      <alignment horizontal="left" vertical="center"/>
    </xf>
    <xf numFmtId="4" fontId="313" fillId="0" borderId="5" xfId="0" applyNumberFormat="1" applyFont="1" applyFill="1" applyBorder="1" applyAlignment="1">
      <alignment horizontal="left" vertical="center"/>
    </xf>
    <xf numFmtId="4" fontId="314" fillId="2" borderId="30" xfId="0" applyNumberFormat="1" applyFont="1" applyFill="1" applyBorder="1" applyAlignment="1">
      <alignment horizontal="left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4" fillId="2" borderId="2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center" vertical="center"/>
    </xf>
    <xf numFmtId="4" fontId="318" fillId="2" borderId="34" xfId="0" applyNumberFormat="1" applyFont="1" applyFill="1" applyBorder="1" applyAlignment="1">
      <alignment horizontal="left" vertical="center"/>
    </xf>
    <xf numFmtId="0" fontId="321" fillId="0" borderId="30" xfId="0" applyFont="1" applyBorder="1" applyAlignment="1">
      <alignment horizontal="left" vertical="center"/>
    </xf>
    <xf numFmtId="4" fontId="322" fillId="0" borderId="21" xfId="0" applyNumberFormat="1" applyFont="1" applyFill="1" applyBorder="1" applyAlignment="1">
      <alignment horizontal="left" vertical="center"/>
    </xf>
    <xf numFmtId="4" fontId="326" fillId="0" borderId="34" xfId="0" applyNumberFormat="1" applyFont="1" applyFill="1" applyBorder="1" applyAlignment="1">
      <alignment horizontal="left" vertical="center"/>
    </xf>
    <xf numFmtId="10" fontId="310" fillId="0" borderId="35" xfId="3304" applyNumberFormat="1" applyFont="1" applyBorder="1" applyAlignment="1">
      <alignment horizontal="center" vertical="center"/>
    </xf>
    <xf numFmtId="0" fontId="323" fillId="0" borderId="30" xfId="0" applyFont="1" applyBorder="1" applyAlignment="1">
      <alignment horizontal="left" vertical="center"/>
    </xf>
    <xf numFmtId="0" fontId="323" fillId="0" borderId="38" xfId="0" applyFont="1" applyBorder="1" applyAlignment="1">
      <alignment horizontal="left" vertical="center"/>
    </xf>
    <xf numFmtId="10" fontId="327" fillId="0" borderId="35" xfId="3304" applyNumberFormat="1" applyFont="1" applyBorder="1" applyAlignment="1">
      <alignment horizontal="center" vertical="center"/>
    </xf>
    <xf numFmtId="4" fontId="328" fillId="0" borderId="30" xfId="0" applyNumberFormat="1" applyFont="1" applyFill="1" applyBorder="1" applyAlignment="1">
      <alignment horizontal="left" vertical="center"/>
    </xf>
    <xf numFmtId="10" fontId="328" fillId="0" borderId="31" xfId="3304" applyNumberFormat="1" applyFont="1" applyBorder="1" applyAlignment="1">
      <alignment horizontal="center" vertical="center"/>
    </xf>
    <xf numFmtId="4" fontId="328" fillId="0" borderId="21" xfId="0" applyNumberFormat="1" applyFont="1" applyFill="1" applyBorder="1" applyAlignment="1">
      <alignment horizontal="left" vertical="center"/>
    </xf>
    <xf numFmtId="4" fontId="328" fillId="0" borderId="34" xfId="0" applyNumberFormat="1" applyFont="1" applyFill="1" applyBorder="1" applyAlignment="1">
      <alignment horizontal="left" vertical="center"/>
    </xf>
    <xf numFmtId="10" fontId="328" fillId="0" borderId="35" xfId="3304" applyNumberFormat="1" applyFont="1" applyBorder="1" applyAlignment="1">
      <alignment horizontal="center" vertical="center"/>
    </xf>
    <xf numFmtId="0" fontId="321" fillId="0" borderId="24" xfId="0" applyFont="1" applyBorder="1" applyAlignment="1">
      <alignment horizontal="left" vertical="center"/>
    </xf>
    <xf numFmtId="43" fontId="313" fillId="2" borderId="29" xfId="3040" applyFont="1" applyFill="1" applyBorder="1" applyAlignment="1">
      <alignment horizontal="left" vertical="center"/>
    </xf>
    <xf numFmtId="4" fontId="322" fillId="0" borderId="1" xfId="0" applyNumberFormat="1" applyFont="1" applyFill="1" applyBorder="1" applyAlignment="1">
      <alignment horizontal="left" vertical="center"/>
    </xf>
    <xf numFmtId="43" fontId="324" fillId="2" borderId="1" xfId="3040" applyFont="1" applyFill="1" applyBorder="1" applyAlignment="1">
      <alignment horizontal="left" vertical="center"/>
    </xf>
    <xf numFmtId="4" fontId="326" fillId="0" borderId="1" xfId="0" applyNumberFormat="1" applyFont="1" applyFill="1" applyBorder="1" applyAlignment="1">
      <alignment horizontal="left" vertical="center"/>
    </xf>
    <xf numFmtId="4" fontId="322" fillId="0" borderId="5" xfId="0" applyNumberFormat="1" applyFont="1" applyFill="1" applyBorder="1" applyAlignment="1">
      <alignment horizontal="left" vertical="center"/>
    </xf>
    <xf numFmtId="0" fontId="332" fillId="0" borderId="4" xfId="0" applyFont="1" applyBorder="1" applyAlignment="1">
      <alignment horizontal="center"/>
    </xf>
    <xf numFmtId="43" fontId="332" fillId="0" borderId="4" xfId="0" applyNumberFormat="1" applyFont="1" applyBorder="1" applyAlignment="1">
      <alignment horizontal="center"/>
    </xf>
    <xf numFmtId="0" fontId="332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43" fontId="302" fillId="0" borderId="0" xfId="3040" applyFont="1"/>
    <xf numFmtId="0" fontId="0" fillId="0" borderId="19" xfId="0" applyBorder="1" applyAlignment="1">
      <alignment horizontal="center" vertical="center"/>
    </xf>
    <xf numFmtId="0" fontId="239" fillId="0" borderId="23" xfId="0" applyFont="1" applyBorder="1" applyAlignment="1">
      <alignment horizontal="center" vertical="center"/>
    </xf>
    <xf numFmtId="0" fontId="239" fillId="0" borderId="19" xfId="0" applyFont="1" applyBorder="1" applyAlignment="1">
      <alignment horizontal="center" vertical="center"/>
    </xf>
    <xf numFmtId="0" fontId="0" fillId="0" borderId="58" xfId="0" applyFill="1" applyBorder="1"/>
    <xf numFmtId="10" fontId="0" fillId="0" borderId="4" xfId="3304" applyNumberFormat="1" applyFont="1" applyBorder="1"/>
    <xf numFmtId="43" fontId="354" fillId="0" borderId="4" xfId="7176" applyNumberFormat="1" applyFont="1" applyBorder="1"/>
    <xf numFmtId="43" fontId="354" fillId="0" borderId="4" xfId="7176" applyNumberFormat="1" applyFont="1" applyBorder="1"/>
    <xf numFmtId="2" fontId="355" fillId="0" borderId="1" xfId="0" applyNumberFormat="1" applyFont="1" applyBorder="1" applyAlignment="1">
      <alignment vertical="center"/>
    </xf>
    <xf numFmtId="0" fontId="355" fillId="0" borderId="1" xfId="0" applyFont="1" applyBorder="1" applyAlignment="1">
      <alignment vertical="center"/>
    </xf>
    <xf numFmtId="0" fontId="354" fillId="0" borderId="4" xfId="3834" applyFont="1" applyBorder="1"/>
    <xf numFmtId="0" fontId="354" fillId="0" borderId="4" xfId="3834" applyFont="1" applyBorder="1" applyAlignment="1">
      <alignment horizontal="center"/>
    </xf>
    <xf numFmtId="0" fontId="354" fillId="0" borderId="4" xfId="3048" applyFont="1" applyBorder="1"/>
    <xf numFmtId="43" fontId="354" fillId="0" borderId="4" xfId="3040" applyNumberFormat="1" applyFont="1" applyBorder="1"/>
    <xf numFmtId="43" fontId="354" fillId="0" borderId="4" xfId="0" applyNumberFormat="1" applyFont="1" applyBorder="1"/>
    <xf numFmtId="2" fontId="0" fillId="0" borderId="0" xfId="0" applyNumberFormat="1" applyFont="1"/>
    <xf numFmtId="43" fontId="354" fillId="0" borderId="4" xfId="3040" applyFont="1" applyBorder="1"/>
    <xf numFmtId="4" fontId="313" fillId="0" borderId="5" xfId="0" applyNumberFormat="1" applyFont="1" applyFill="1" applyBorder="1" applyAlignment="1">
      <alignment horizontal="center" vertical="center"/>
    </xf>
    <xf numFmtId="10" fontId="319" fillId="2" borderId="35" xfId="3304" applyNumberFormat="1" applyFont="1" applyFill="1" applyBorder="1" applyAlignment="1">
      <alignment horizontal="center" vertical="center"/>
    </xf>
    <xf numFmtId="43" fontId="311" fillId="0" borderId="31" xfId="3040" applyFont="1" applyBorder="1" applyAlignment="1">
      <alignment horizontal="center" vertical="center"/>
    </xf>
    <xf numFmtId="43" fontId="323" fillId="0" borderId="1" xfId="3040" applyFont="1" applyBorder="1" applyAlignment="1">
      <alignment horizontal="center" vertical="center"/>
    </xf>
    <xf numFmtId="0" fontId="354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5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7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0" fontId="225" fillId="60" borderId="16" xfId="0" applyFont="1" applyFill="1" applyBorder="1" applyAlignment="1">
      <alignment horizontal="center"/>
    </xf>
    <xf numFmtId="0" fontId="209" fillId="60" borderId="1" xfId="0" applyFont="1" applyFill="1" applyBorder="1" applyAlignment="1">
      <alignment horizontal="center"/>
    </xf>
    <xf numFmtId="0" fontId="305" fillId="0" borderId="1" xfId="0" applyFont="1" applyBorder="1" applyAlignment="1">
      <alignment horizontal="center" vertical="center"/>
    </xf>
    <xf numFmtId="43" fontId="206" fillId="0" borderId="0" xfId="3040" applyFont="1"/>
    <xf numFmtId="0" fontId="357" fillId="0" borderId="0" xfId="0" applyFont="1"/>
    <xf numFmtId="10" fontId="359" fillId="0" borderId="1" xfId="3304" applyNumberFormat="1" applyFont="1" applyBorder="1" applyAlignment="1">
      <alignment horizontal="center" vertical="center"/>
    </xf>
    <xf numFmtId="4" fontId="359" fillId="0" borderId="21" xfId="0" applyNumberFormat="1" applyFont="1" applyFill="1" applyBorder="1" applyAlignment="1">
      <alignment horizontal="left" vertical="center"/>
    </xf>
    <xf numFmtId="0" fontId="362" fillId="0" borderId="0" xfId="0" applyFont="1"/>
    <xf numFmtId="0" fontId="209" fillId="0" borderId="20" xfId="0" applyFont="1" applyFill="1" applyBorder="1" applyAlignment="1">
      <alignment horizontal="center"/>
    </xf>
    <xf numFmtId="4" fontId="364" fillId="2" borderId="1" xfId="0" applyNumberFormat="1" applyFont="1" applyFill="1" applyBorder="1" applyAlignment="1">
      <alignment horizontal="left" vertical="center"/>
    </xf>
    <xf numFmtId="0" fontId="209" fillId="0" borderId="59" xfId="0" applyFont="1" applyFill="1" applyBorder="1" applyAlignment="1">
      <alignment horizontal="center"/>
    </xf>
    <xf numFmtId="0" fontId="206" fillId="0" borderId="0" xfId="0" applyFont="1"/>
    <xf numFmtId="43" fontId="317" fillId="2" borderId="1" xfId="3040" applyFont="1" applyFill="1" applyBorder="1" applyAlignment="1">
      <alignment horizontal="center" vertical="center"/>
    </xf>
    <xf numFmtId="43" fontId="311" fillId="0" borderId="1" xfId="3040" applyFont="1" applyBorder="1" applyAlignment="1">
      <alignment horizontal="center" vertical="center"/>
    </xf>
    <xf numFmtId="10" fontId="324" fillId="0" borderId="1" xfId="3304" applyNumberFormat="1" applyFont="1" applyBorder="1" applyAlignment="1">
      <alignment horizontal="center" vertical="center"/>
    </xf>
    <xf numFmtId="4" fontId="324" fillId="0" borderId="1" xfId="3304" applyNumberFormat="1" applyFont="1" applyBorder="1" applyAlignment="1">
      <alignment horizontal="center" vertical="center"/>
    </xf>
    <xf numFmtId="43" fontId="327" fillId="0" borderId="31" xfId="3040" applyFont="1" applyBorder="1" applyAlignment="1">
      <alignment horizontal="center" vertical="center"/>
    </xf>
    <xf numFmtId="4" fontId="215" fillId="0" borderId="22" xfId="3304" applyNumberFormat="1" applyFont="1" applyBorder="1" applyAlignment="1">
      <alignment horizontal="center" vertical="center"/>
    </xf>
    <xf numFmtId="4" fontId="323" fillId="0" borderId="1" xfId="0" applyNumberFormat="1" applyFont="1" applyBorder="1" applyAlignment="1">
      <alignment horizontal="center" vertical="center"/>
    </xf>
    <xf numFmtId="10" fontId="310" fillId="0" borderId="1" xfId="3304" applyNumberFormat="1" applyFont="1" applyBorder="1" applyAlignment="1">
      <alignment horizontal="center" vertical="center"/>
    </xf>
    <xf numFmtId="4" fontId="324" fillId="0" borderId="5" xfId="3304" applyNumberFormat="1" applyFont="1" applyBorder="1" applyAlignment="1">
      <alignment horizontal="center" vertical="center"/>
    </xf>
    <xf numFmtId="10" fontId="320" fillId="2" borderId="36" xfId="3304" applyNumberFormat="1" applyFont="1" applyFill="1" applyBorder="1" applyAlignment="1">
      <alignment horizontal="center" vertical="center"/>
    </xf>
    <xf numFmtId="2" fontId="368" fillId="0" borderId="4" xfId="0" applyNumberFormat="1" applyFont="1" applyBorder="1"/>
    <xf numFmtId="10" fontId="253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305" fillId="59" borderId="1" xfId="0" applyNumberFormat="1" applyFont="1" applyFill="1" applyBorder="1" applyAlignment="1">
      <alignment vertical="center"/>
    </xf>
    <xf numFmtId="0" fontId="225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72" fillId="0" borderId="0" xfId="0" applyFont="1"/>
    <xf numFmtId="9" fontId="0" fillId="0" borderId="0" xfId="3304" applyFont="1"/>
    <xf numFmtId="0" fontId="373" fillId="0" borderId="0" xfId="0" applyFont="1"/>
    <xf numFmtId="43" fontId="374" fillId="0" borderId="4" xfId="0" applyNumberFormat="1" applyFont="1" applyBorder="1"/>
    <xf numFmtId="0" fontId="375" fillId="0" borderId="0" xfId="0" applyFont="1"/>
    <xf numFmtId="0" fontId="375" fillId="0" borderId="4" xfId="0" applyFont="1" applyBorder="1"/>
    <xf numFmtId="0" fontId="376" fillId="0" borderId="4" xfId="0" applyFont="1" applyBorder="1" applyAlignment="1">
      <alignment vertical="center"/>
    </xf>
    <xf numFmtId="0" fontId="375" fillId="0" borderId="4" xfId="0" applyFont="1" applyBorder="1" applyAlignment="1">
      <alignment vertical="center"/>
    </xf>
    <xf numFmtId="2" fontId="302" fillId="0" borderId="0" xfId="0" applyNumberFormat="1" applyFont="1"/>
    <xf numFmtId="10" fontId="247" fillId="0" borderId="1" xfId="3304" applyNumberFormat="1" applyFont="1" applyBorder="1" applyAlignment="1">
      <alignment horizontal="center" vertical="center"/>
    </xf>
    <xf numFmtId="0" fontId="370" fillId="0" borderId="0" xfId="0" applyFont="1"/>
    <xf numFmtId="0" fontId="374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0" fontId="209" fillId="0" borderId="21" xfId="0" applyFont="1" applyFill="1" applyBorder="1" applyAlignment="1">
      <alignment horizontal="center"/>
    </xf>
    <xf numFmtId="0" fontId="209" fillId="0" borderId="61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377" fillId="0" borderId="0" xfId="0" applyFont="1"/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5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0" fontId="378" fillId="0" borderId="1" xfId="0" applyFont="1" applyBorder="1" applyAlignment="1">
      <alignment horizontal="center" vertical="center"/>
    </xf>
    <xf numFmtId="2" fontId="378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8" xfId="20369" applyFont="1" applyFill="1" applyBorder="1" applyAlignment="1">
      <alignment horizontal="center"/>
    </xf>
    <xf numFmtId="0" fontId="209" fillId="0" borderId="20" xfId="20369" applyFont="1" applyFill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7" fillId="0" borderId="0" xfId="0" applyNumberFormat="1" applyFont="1"/>
    <xf numFmtId="43" fontId="247" fillId="0" borderId="35" xfId="3304" applyNumberFormat="1" applyFont="1" applyBorder="1" applyAlignment="1">
      <alignment horizontal="center" vertical="center"/>
    </xf>
    <xf numFmtId="4" fontId="313" fillId="59" borderId="5" xfId="0" applyNumberFormat="1" applyFont="1" applyFill="1" applyBorder="1" applyAlignment="1">
      <alignment horizontal="left" vertical="center"/>
    </xf>
    <xf numFmtId="4" fontId="315" fillId="59" borderId="31" xfId="0" applyNumberFormat="1" applyFont="1" applyFill="1" applyBorder="1" applyAlignment="1">
      <alignment horizontal="center" vertical="center"/>
    </xf>
    <xf numFmtId="10" fontId="319" fillId="59" borderId="35" xfId="3304" applyNumberFormat="1" applyFont="1" applyFill="1" applyBorder="1" applyAlignment="1">
      <alignment horizontal="center" vertical="center"/>
    </xf>
    <xf numFmtId="10" fontId="310" fillId="59" borderId="35" xfId="3304" applyNumberFormat="1" applyFont="1" applyFill="1" applyBorder="1" applyAlignment="1">
      <alignment horizontal="center" vertical="center"/>
    </xf>
    <xf numFmtId="10" fontId="327" fillId="59" borderId="35" xfId="3304" applyNumberFormat="1" applyFont="1" applyFill="1" applyBorder="1" applyAlignment="1">
      <alignment horizontal="center" vertical="center"/>
    </xf>
    <xf numFmtId="10" fontId="328" fillId="59" borderId="31" xfId="3304" applyNumberFormat="1" applyFont="1" applyFill="1" applyBorder="1" applyAlignment="1">
      <alignment horizontal="center" vertical="center"/>
    </xf>
    <xf numFmtId="10" fontId="359" fillId="59" borderId="1" xfId="3304" applyNumberFormat="1" applyFont="1" applyFill="1" applyBorder="1" applyAlignment="1">
      <alignment horizontal="center" vertical="center"/>
    </xf>
    <xf numFmtId="10" fontId="328" fillId="59" borderId="35" xfId="3304" applyNumberFormat="1" applyFont="1" applyFill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8" xfId="20369" applyFont="1" applyFill="1" applyBorder="1" applyAlignment="1">
      <alignment horizontal="center"/>
    </xf>
    <xf numFmtId="0" fontId="209" fillId="0" borderId="20" xfId="20369" applyFont="1" applyFill="1" applyBorder="1" applyAlignment="1">
      <alignment horizontal="center"/>
    </xf>
    <xf numFmtId="0" fontId="225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2" fontId="212" fillId="59" borderId="1" xfId="0" applyNumberFormat="1" applyFont="1" applyFill="1" applyBorder="1" applyAlignment="1">
      <alignment vertical="center"/>
    </xf>
    <xf numFmtId="0" fontId="209" fillId="0" borderId="10" xfId="20374" applyFont="1" applyFill="1" applyBorder="1" applyAlignment="1">
      <alignment horizontal="center"/>
    </xf>
    <xf numFmtId="0" fontId="209" fillId="0" borderId="60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8" xfId="20374" applyFont="1" applyFill="1" applyBorder="1" applyAlignment="1">
      <alignment horizontal="center"/>
    </xf>
    <xf numFmtId="0" fontId="209" fillId="0" borderId="20" xfId="20374" applyFont="1" applyFill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306" fillId="0" borderId="19" xfId="0" applyFont="1" applyBorder="1" applyAlignment="1">
      <alignment horizontal="center" vertical="center"/>
    </xf>
    <xf numFmtId="43" fontId="364" fillId="2" borderId="33" xfId="3040" applyFont="1" applyFill="1" applyBorder="1" applyAlignment="1">
      <alignment horizontal="left" vertical="center"/>
    </xf>
    <xf numFmtId="43" fontId="364" fillId="2" borderId="23" xfId="3040" applyFont="1" applyFill="1" applyBorder="1" applyAlignment="1">
      <alignment horizontal="left" vertical="center"/>
    </xf>
    <xf numFmtId="0" fontId="371" fillId="0" borderId="0" xfId="0" applyFont="1" applyAlignment="1">
      <alignment horizontal="right" vertical="center"/>
    </xf>
    <xf numFmtId="0" fontId="370" fillId="0" borderId="0" xfId="0" applyFont="1" applyAlignment="1">
      <alignment vertical="center"/>
    </xf>
    <xf numFmtId="43" fontId="316" fillId="59" borderId="1" xfId="304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165" fontId="267" fillId="0" borderId="19" xfId="0" applyNumberFormat="1" applyFont="1" applyBorder="1" applyAlignment="1">
      <alignment horizontal="center" vertical="center"/>
    </xf>
    <xf numFmtId="43" fontId="354" fillId="0" borderId="4" xfId="20378" applyFont="1" applyBorder="1"/>
    <xf numFmtId="43" fontId="354" fillId="0" borderId="4" xfId="20378" applyFont="1" applyBorder="1"/>
    <xf numFmtId="43" fontId="383" fillId="0" borderId="28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8" xfId="0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15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26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59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60" xfId="26960" applyFont="1" applyFill="1" applyBorder="1" applyAlignment="1">
      <alignment horizontal="center"/>
    </xf>
    <xf numFmtId="0" fontId="209" fillId="0" borderId="6" xfId="26960" applyFont="1" applyFill="1" applyBorder="1" applyAlignment="1">
      <alignment horizontal="center"/>
    </xf>
    <xf numFmtId="0" fontId="209" fillId="0" borderId="61" xfId="26960" applyFont="1" applyFill="1" applyBorder="1" applyAlignment="1">
      <alignment horizontal="center"/>
    </xf>
    <xf numFmtId="0" fontId="209" fillId="0" borderId="21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63" xfId="26960" applyFont="1" applyFill="1" applyBorder="1" applyAlignment="1">
      <alignment horizontal="center"/>
    </xf>
    <xf numFmtId="0" fontId="209" fillId="0" borderId="0" xfId="26960" applyFont="1"/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0" fontId="209" fillId="0" borderId="10" xfId="26960" applyFont="1" applyFill="1" applyBorder="1" applyAlignment="1">
      <alignment horizontal="center"/>
    </xf>
    <xf numFmtId="0" fontId="209" fillId="0" borderId="9" xfId="26960" applyFont="1" applyFill="1" applyBorder="1" applyAlignment="1">
      <alignment horizontal="center"/>
    </xf>
    <xf numFmtId="0" fontId="209" fillId="0" borderId="11" xfId="26960" applyFont="1" applyFill="1" applyBorder="1" applyAlignment="1">
      <alignment horizontal="center"/>
    </xf>
    <xf numFmtId="0" fontId="209" fillId="0" borderId="12" xfId="26960" applyFont="1" applyFill="1" applyBorder="1" applyAlignment="1">
      <alignment horizontal="center"/>
    </xf>
    <xf numFmtId="0" fontId="209" fillId="0" borderId="13" xfId="26960" applyFont="1" applyFill="1" applyBorder="1" applyAlignment="1">
      <alignment horizontal="center"/>
    </xf>
    <xf numFmtId="0" fontId="209" fillId="0" borderId="17" xfId="26960" applyFont="1" applyFill="1" applyBorder="1" applyAlignment="1">
      <alignment horizontal="center"/>
    </xf>
    <xf numFmtId="0" fontId="209" fillId="0" borderId="18" xfId="26960" applyFont="1" applyFill="1" applyBorder="1" applyAlignment="1">
      <alignment horizontal="center"/>
    </xf>
    <xf numFmtId="0" fontId="209" fillId="0" borderId="20" xfId="26960" applyFont="1" applyFill="1" applyBorder="1" applyAlignment="1">
      <alignment horizontal="center"/>
    </xf>
    <xf numFmtId="0" fontId="209" fillId="60" borderId="10" xfId="26960" applyFont="1" applyFill="1" applyBorder="1" applyAlignment="1">
      <alignment horizontal="center"/>
    </xf>
    <xf numFmtId="4" fontId="388" fillId="59" borderId="5" xfId="0" applyNumberFormat="1" applyFont="1" applyFill="1" applyBorder="1" applyAlignment="1">
      <alignment horizontal="left" vertical="center"/>
    </xf>
    <xf numFmtId="0" fontId="382" fillId="59" borderId="0" xfId="0" applyFont="1" applyFill="1"/>
    <xf numFmtId="10" fontId="386" fillId="59" borderId="31" xfId="3304" applyNumberFormat="1" applyFont="1" applyFill="1" applyBorder="1" applyAlignment="1">
      <alignment horizontal="center" vertical="center"/>
    </xf>
    <xf numFmtId="10" fontId="387" fillId="59" borderId="1" xfId="3304" applyNumberFormat="1" applyFont="1" applyFill="1" applyBorder="1" applyAlignment="1">
      <alignment horizontal="center" vertical="center"/>
    </xf>
    <xf numFmtId="10" fontId="386" fillId="59" borderId="35" xfId="3304" applyNumberFormat="1" applyFont="1" applyFill="1" applyBorder="1" applyAlignment="1">
      <alignment horizontal="center" vertical="center"/>
    </xf>
    <xf numFmtId="10" fontId="385" fillId="59" borderId="35" xfId="3304" applyNumberFormat="1" applyFont="1" applyFill="1" applyBorder="1" applyAlignment="1">
      <alignment horizontal="center" vertical="center"/>
    </xf>
    <xf numFmtId="10" fontId="394" fillId="59" borderId="35" xfId="3304" applyNumberFormat="1" applyFont="1" applyFill="1" applyBorder="1" applyAlignment="1">
      <alignment horizontal="center" vertical="center"/>
    </xf>
    <xf numFmtId="4" fontId="366" fillId="59" borderId="31" xfId="0" applyNumberFormat="1" applyFont="1" applyFill="1" applyBorder="1" applyAlignment="1">
      <alignment horizontal="center" vertical="center"/>
    </xf>
    <xf numFmtId="10" fontId="396" fillId="59" borderId="35" xfId="3304" applyNumberFormat="1" applyFont="1" applyFill="1" applyBorder="1" applyAlignment="1">
      <alignment horizontal="center" vertical="center"/>
    </xf>
    <xf numFmtId="4" fontId="393" fillId="0" borderId="21" xfId="0" applyNumberFormat="1" applyFont="1" applyFill="1" applyBorder="1" applyAlignment="1">
      <alignment horizontal="left" vertical="center"/>
    </xf>
    <xf numFmtId="4" fontId="393" fillId="0" borderId="1" xfId="3302" applyNumberFormat="1" applyFont="1" applyBorder="1" applyAlignment="1">
      <alignment horizontal="center" vertical="center"/>
    </xf>
    <xf numFmtId="4" fontId="393" fillId="0" borderId="1" xfId="0" applyNumberFormat="1" applyFont="1" applyFill="1" applyBorder="1" applyAlignment="1">
      <alignment horizontal="left" vertical="center"/>
    </xf>
    <xf numFmtId="43" fontId="280" fillId="2" borderId="0" xfId="0" applyNumberFormat="1" applyFont="1" applyFill="1"/>
    <xf numFmtId="4" fontId="364" fillId="2" borderId="33" xfId="0" applyNumberFormat="1" applyFont="1" applyFill="1" applyBorder="1" applyAlignment="1">
      <alignment horizontal="left" vertical="center"/>
    </xf>
    <xf numFmtId="43" fontId="395" fillId="59" borderId="1" xfId="3040" applyFont="1" applyFill="1" applyBorder="1" applyAlignment="1">
      <alignment horizontal="center" vertical="center"/>
    </xf>
    <xf numFmtId="43" fontId="315" fillId="2" borderId="33" xfId="3040" applyFont="1" applyFill="1" applyBorder="1" applyAlignment="1">
      <alignment horizontal="center" vertical="center"/>
    </xf>
    <xf numFmtId="43" fontId="311" fillId="59" borderId="31" xfId="3040" applyFont="1" applyFill="1" applyBorder="1" applyAlignment="1">
      <alignment horizontal="center" vertical="center"/>
    </xf>
    <xf numFmtId="43" fontId="389" fillId="59" borderId="31" xfId="3040" applyFont="1" applyFill="1" applyBorder="1" applyAlignment="1">
      <alignment horizontal="center" vertical="center"/>
    </xf>
    <xf numFmtId="43" fontId="313" fillId="2" borderId="32" xfId="3040" applyFont="1" applyFill="1" applyBorder="1" applyAlignment="1">
      <alignment horizontal="center" vertical="center"/>
    </xf>
    <xf numFmtId="43" fontId="323" fillId="59" borderId="1" xfId="3040" applyFont="1" applyFill="1" applyBorder="1" applyAlignment="1">
      <alignment horizontal="center" vertical="center"/>
    </xf>
    <xf numFmtId="43" fontId="324" fillId="2" borderId="33" xfId="3040" applyFont="1" applyFill="1" applyBorder="1" applyAlignment="1">
      <alignment horizontal="center" vertical="center"/>
    </xf>
    <xf numFmtId="4" fontId="393" fillId="59" borderId="1" xfId="3302" applyNumberFormat="1" applyFont="1" applyFill="1" applyBorder="1" applyAlignment="1">
      <alignment horizontal="center" vertical="center"/>
    </xf>
    <xf numFmtId="43" fontId="393" fillId="2" borderId="33" xfId="3040" applyFont="1" applyFill="1" applyBorder="1" applyAlignment="1">
      <alignment horizontal="center" vertical="center"/>
    </xf>
    <xf numFmtId="4" fontId="323" fillId="59" borderId="1" xfId="0" applyNumberFormat="1" applyFont="1" applyFill="1" applyBorder="1" applyAlignment="1">
      <alignment horizontal="center" vertical="center"/>
    </xf>
    <xf numFmtId="4" fontId="395" fillId="59" borderId="1" xfId="0" applyNumberFormat="1" applyFont="1" applyFill="1" applyBorder="1" applyAlignment="1">
      <alignment horizontal="center" vertical="center"/>
    </xf>
    <xf numFmtId="4" fontId="324" fillId="2" borderId="33" xfId="0" applyNumberFormat="1" applyFont="1" applyFill="1" applyBorder="1" applyAlignment="1">
      <alignment horizontal="center" vertical="center"/>
    </xf>
    <xf numFmtId="10" fontId="324" fillId="59" borderId="1" xfId="3304" applyNumberFormat="1" applyFont="1" applyFill="1" applyBorder="1" applyAlignment="1">
      <alignment horizontal="center" vertical="center"/>
    </xf>
    <xf numFmtId="4" fontId="325" fillId="0" borderId="0" xfId="0" applyNumberFormat="1" applyFont="1" applyAlignment="1">
      <alignment horizontal="center"/>
    </xf>
    <xf numFmtId="10" fontId="366" fillId="59" borderId="1" xfId="3304" applyNumberFormat="1" applyFont="1" applyFill="1" applyBorder="1" applyAlignment="1">
      <alignment horizontal="center" vertical="center"/>
    </xf>
    <xf numFmtId="43" fontId="324" fillId="0" borderId="1" xfId="3040" applyFont="1" applyBorder="1" applyAlignment="1">
      <alignment horizontal="center" vertical="center"/>
    </xf>
    <xf numFmtId="4" fontId="324" fillId="59" borderId="1" xfId="3304" applyNumberFormat="1" applyFont="1" applyFill="1" applyBorder="1" applyAlignment="1">
      <alignment horizontal="center" vertical="center"/>
    </xf>
    <xf numFmtId="4" fontId="366" fillId="59" borderId="1" xfId="3304" applyNumberFormat="1" applyFont="1" applyFill="1" applyBorder="1" applyAlignment="1">
      <alignment horizontal="center" vertical="center"/>
    </xf>
    <xf numFmtId="2" fontId="324" fillId="2" borderId="33" xfId="0" applyNumberFormat="1" applyFont="1" applyFill="1" applyBorder="1" applyAlignment="1">
      <alignment horizontal="center" vertical="center"/>
    </xf>
    <xf numFmtId="164" fontId="310" fillId="2" borderId="36" xfId="0" applyNumberFormat="1" applyFont="1" applyFill="1" applyBorder="1" applyAlignment="1">
      <alignment horizontal="center" vertical="center"/>
    </xf>
    <xf numFmtId="4" fontId="327" fillId="59" borderId="31" xfId="3302" applyNumberFormat="1" applyFont="1" applyFill="1" applyBorder="1" applyAlignment="1">
      <alignment horizontal="center" vertical="center"/>
    </xf>
    <xf numFmtId="4" fontId="331" fillId="0" borderId="31" xfId="3302" applyNumberFormat="1" applyFont="1" applyBorder="1" applyAlignment="1">
      <alignment horizontal="center" vertical="center"/>
    </xf>
    <xf numFmtId="4" fontId="331" fillId="59" borderId="31" xfId="3302" applyNumberFormat="1" applyFont="1" applyFill="1" applyBorder="1" applyAlignment="1">
      <alignment horizontal="center" vertical="center"/>
    </xf>
    <xf numFmtId="4" fontId="396" fillId="59" borderId="31" xfId="3302" applyNumberFormat="1" applyFont="1" applyFill="1" applyBorder="1" applyAlignment="1">
      <alignment horizontal="center" vertical="center"/>
    </xf>
    <xf numFmtId="4" fontId="324" fillId="2" borderId="32" xfId="0" applyNumberFormat="1" applyFont="1" applyFill="1" applyBorder="1" applyAlignment="1">
      <alignment horizontal="center" vertical="center"/>
    </xf>
    <xf numFmtId="4" fontId="324" fillId="2" borderId="36" xfId="0" applyNumberFormat="1" applyFont="1" applyFill="1" applyBorder="1" applyAlignment="1">
      <alignment horizontal="center" vertical="center"/>
    </xf>
    <xf numFmtId="4" fontId="329" fillId="0" borderId="31" xfId="0" applyNumberFormat="1" applyFont="1" applyBorder="1" applyAlignment="1">
      <alignment horizontal="center" vertical="center"/>
    </xf>
    <xf numFmtId="4" fontId="322" fillId="2" borderId="32" xfId="0" applyNumberFormat="1" applyFont="1" applyFill="1" applyBorder="1" applyAlignment="1">
      <alignment horizontal="center" vertical="center"/>
    </xf>
    <xf numFmtId="43" fontId="358" fillId="0" borderId="1" xfId="3040" applyFont="1" applyBorder="1" applyAlignment="1">
      <alignment horizontal="center" vertical="center"/>
    </xf>
    <xf numFmtId="4" fontId="329" fillId="0" borderId="1" xfId="0" applyNumberFormat="1" applyFont="1" applyBorder="1" applyAlignment="1">
      <alignment horizontal="center" vertical="center"/>
    </xf>
    <xf numFmtId="4" fontId="322" fillId="2" borderId="33" xfId="0" applyNumberFormat="1" applyFont="1" applyFill="1" applyBorder="1" applyAlignment="1">
      <alignment horizontal="center" vertical="center"/>
    </xf>
    <xf numFmtId="4" fontId="326" fillId="2" borderId="36" xfId="0" applyNumberFormat="1" applyFont="1" applyFill="1" applyBorder="1" applyAlignment="1">
      <alignment horizontal="center" vertical="center"/>
    </xf>
    <xf numFmtId="4" fontId="215" fillId="59" borderId="22" xfId="3304" applyNumberFormat="1" applyFont="1" applyFill="1" applyBorder="1" applyAlignment="1">
      <alignment horizontal="center" vertical="center"/>
    </xf>
    <xf numFmtId="4" fontId="364" fillId="59" borderId="22" xfId="3304" applyNumberFormat="1" applyFont="1" applyFill="1" applyBorder="1" applyAlignment="1">
      <alignment horizontal="center" vertical="center"/>
    </xf>
    <xf numFmtId="2" fontId="215" fillId="2" borderId="2" xfId="0" applyNumberFormat="1" applyFont="1" applyFill="1" applyBorder="1" applyAlignment="1">
      <alignment horizontal="center" vertical="center"/>
    </xf>
    <xf numFmtId="4" fontId="397" fillId="0" borderId="1" xfId="3302" applyNumberFormat="1" applyFont="1" applyBorder="1" applyAlignment="1">
      <alignment horizontal="center" vertical="center"/>
    </xf>
    <xf numFmtId="4" fontId="398" fillId="0" borderId="1" xfId="0" applyNumberFormat="1" applyFont="1" applyBorder="1" applyAlignment="1">
      <alignment horizontal="center" vertical="center"/>
    </xf>
    <xf numFmtId="4" fontId="364" fillId="2" borderId="1" xfId="0" applyNumberFormat="1" applyFont="1" applyFill="1" applyBorder="1" applyAlignment="1">
      <alignment horizontal="center" vertical="center"/>
    </xf>
    <xf numFmtId="43" fontId="330" fillId="59" borderId="37" xfId="3040" applyFont="1" applyFill="1" applyBorder="1" applyAlignment="1">
      <alignment horizontal="center" vertical="center"/>
    </xf>
    <xf numFmtId="43" fontId="330" fillId="0" borderId="37" xfId="3040" applyFont="1" applyBorder="1" applyAlignment="1">
      <alignment horizontal="center" vertical="center"/>
    </xf>
    <xf numFmtId="43" fontId="391" fillId="59" borderId="37" xfId="3040" applyFont="1" applyFill="1" applyBorder="1" applyAlignment="1">
      <alignment horizontal="center" vertical="center"/>
    </xf>
    <xf numFmtId="43" fontId="313" fillId="2" borderId="29" xfId="3040" applyFont="1" applyFill="1" applyBorder="1" applyAlignment="1">
      <alignment horizontal="center" vertical="center"/>
    </xf>
    <xf numFmtId="43" fontId="324" fillId="2" borderId="1" xfId="3040" applyFont="1" applyFill="1" applyBorder="1" applyAlignment="1">
      <alignment horizontal="center" vertical="center"/>
    </xf>
    <xf numFmtId="43" fontId="393" fillId="2" borderId="23" xfId="3040" applyFont="1" applyFill="1" applyBorder="1" applyAlignment="1">
      <alignment horizontal="center" vertical="center"/>
    </xf>
    <xf numFmtId="4" fontId="324" fillId="2" borderId="1" xfId="0" applyNumberFormat="1" applyFont="1" applyFill="1" applyBorder="1" applyAlignment="1">
      <alignment horizontal="center" vertical="center"/>
    </xf>
    <xf numFmtId="10" fontId="310" fillId="59" borderId="1" xfId="3304" applyNumberFormat="1" applyFont="1" applyFill="1" applyBorder="1" applyAlignment="1">
      <alignment horizontal="center" vertical="center"/>
    </xf>
    <xf numFmtId="10" fontId="385" fillId="59" borderId="1" xfId="3304" applyNumberFormat="1" applyFont="1" applyFill="1" applyBorder="1" applyAlignment="1">
      <alignment horizontal="center" vertical="center"/>
    </xf>
    <xf numFmtId="164" fontId="310" fillId="2" borderId="1" xfId="0" applyNumberFormat="1" applyFont="1" applyFill="1" applyBorder="1" applyAlignment="1">
      <alignment horizontal="center" vertical="center"/>
    </xf>
    <xf numFmtId="4" fontId="324" fillId="59" borderId="5" xfId="3304" applyNumberFormat="1" applyFont="1" applyFill="1" applyBorder="1" applyAlignment="1">
      <alignment horizontal="center" vertical="center"/>
    </xf>
    <xf numFmtId="4" fontId="366" fillId="59" borderId="5" xfId="3304" applyNumberFormat="1" applyFont="1" applyFill="1" applyBorder="1" applyAlignment="1">
      <alignment horizontal="center" vertical="center"/>
    </xf>
    <xf numFmtId="2" fontId="324" fillId="2" borderId="5" xfId="0" applyNumberFormat="1" applyFont="1" applyFill="1" applyBorder="1" applyAlignment="1">
      <alignment horizontal="center" vertical="center"/>
    </xf>
    <xf numFmtId="43" fontId="360" fillId="0" borderId="1" xfId="3040" applyFont="1" applyBorder="1" applyAlignment="1">
      <alignment horizontal="center" vertical="center"/>
    </xf>
    <xf numFmtId="4" fontId="361" fillId="2" borderId="33" xfId="0" applyNumberFormat="1" applyFont="1" applyFill="1" applyBorder="1" applyAlignment="1">
      <alignment horizontal="center" vertical="center"/>
    </xf>
    <xf numFmtId="4" fontId="390" fillId="59" borderId="22" xfId="3304" applyNumberFormat="1" applyFont="1" applyFill="1" applyBorder="1" applyAlignment="1">
      <alignment horizontal="center" vertical="center"/>
    </xf>
    <xf numFmtId="2" fontId="215" fillId="2" borderId="22" xfId="0" applyNumberFormat="1" applyFont="1" applyFill="1" applyBorder="1" applyAlignment="1">
      <alignment horizontal="center" vertical="center"/>
    </xf>
    <xf numFmtId="10" fontId="222" fillId="59" borderId="31" xfId="3304" applyNumberFormat="1" applyFont="1" applyFill="1" applyBorder="1" applyAlignment="1">
      <alignment horizontal="center" vertical="center"/>
    </xf>
    <xf numFmtId="10" fontId="222" fillId="0" borderId="31" xfId="3304" applyNumberFormat="1" applyFont="1" applyBorder="1" applyAlignment="1">
      <alignment horizontal="center" vertical="center"/>
    </xf>
    <xf numFmtId="10" fontId="392" fillId="59" borderId="31" xfId="3304" applyNumberFormat="1" applyFont="1" applyFill="1" applyBorder="1" applyAlignment="1">
      <alignment horizontal="center" vertical="center"/>
    </xf>
    <xf numFmtId="164" fontId="222" fillId="2" borderId="32" xfId="0" applyNumberFormat="1" applyFont="1" applyFill="1" applyBorder="1" applyAlignment="1">
      <alignment horizontal="center" vertical="center"/>
    </xf>
    <xf numFmtId="10" fontId="222" fillId="59" borderId="35" xfId="3304" applyNumberFormat="1" applyFont="1" applyFill="1" applyBorder="1" applyAlignment="1">
      <alignment horizontal="center" vertical="center"/>
    </xf>
    <xf numFmtId="10" fontId="222" fillId="0" borderId="35" xfId="3304" applyNumberFormat="1" applyFont="1" applyBorder="1" applyAlignment="1">
      <alignment horizontal="center" vertical="center"/>
    </xf>
    <xf numFmtId="10" fontId="392" fillId="59" borderId="35" xfId="3304" applyNumberFormat="1" applyFont="1" applyFill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9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43" fontId="354" fillId="0" borderId="4" xfId="26964" applyNumberFormat="1" applyFont="1" applyBorder="1"/>
    <xf numFmtId="43" fontId="354" fillId="0" borderId="4" xfId="33283" applyNumberFormat="1" applyFont="1" applyBorder="1"/>
    <xf numFmtId="43" fontId="354" fillId="0" borderId="4" xfId="33283" applyNumberFormat="1" applyFont="1" applyBorder="1"/>
    <xf numFmtId="0" fontId="217" fillId="0" borderId="0" xfId="0" applyFont="1" applyAlignment="1">
      <alignment horizontal="center"/>
    </xf>
    <xf numFmtId="43" fontId="217" fillId="0" borderId="0" xfId="3040" applyFont="1"/>
    <xf numFmtId="43" fontId="383" fillId="0" borderId="0" xfId="3040" applyFont="1"/>
    <xf numFmtId="0" fontId="306" fillId="0" borderId="19" xfId="0" applyFont="1" applyBorder="1" applyAlignment="1">
      <alignment horizontal="center" vertical="center"/>
    </xf>
    <xf numFmtId="0" fontId="239" fillId="0" borderId="23" xfId="0" applyFont="1" applyBorder="1" applyAlignment="1">
      <alignment horizontal="center" vertical="center"/>
    </xf>
    <xf numFmtId="0" fontId="239" fillId="0" borderId="19" xfId="0" applyFont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63" fillId="0" borderId="1" xfId="3040" applyFont="1" applyBorder="1" applyAlignment="1">
      <alignment horizontal="center" vertical="center"/>
    </xf>
    <xf numFmtId="43" fontId="351" fillId="0" borderId="1" xfId="3040" applyFont="1" applyBorder="1" applyAlignment="1">
      <alignment horizontal="center" vertical="center"/>
    </xf>
    <xf numFmtId="43" fontId="225" fillId="2" borderId="1" xfId="3040" applyFont="1" applyFill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center" vertical="center"/>
    </xf>
    <xf numFmtId="43" fontId="240" fillId="2" borderId="1" xfId="3040" applyFont="1" applyFill="1" applyBorder="1" applyAlignment="1">
      <alignment horizontal="center" vertical="center"/>
    </xf>
    <xf numFmtId="43" fontId="253" fillId="2" borderId="1" xfId="3040" applyFont="1" applyFill="1" applyBorder="1" applyAlignment="1">
      <alignment horizontal="center" vertical="center"/>
    </xf>
    <xf numFmtId="4" fontId="253" fillId="2" borderId="1" xfId="0" applyNumberFormat="1" applyFont="1" applyFill="1" applyBorder="1" applyAlignment="1">
      <alignment horizontal="center" vertical="center"/>
    </xf>
    <xf numFmtId="164" fontId="254" fillId="2" borderId="1" xfId="0" applyNumberFormat="1" applyFont="1" applyFill="1" applyBorder="1" applyAlignment="1">
      <alignment horizontal="center" vertical="center"/>
    </xf>
    <xf numFmtId="2" fontId="253" fillId="2" borderId="1" xfId="0" applyNumberFormat="1" applyFont="1" applyFill="1" applyBorder="1" applyAlignment="1">
      <alignment horizontal="center" vertical="center"/>
    </xf>
    <xf numFmtId="164" fontId="255" fillId="2" borderId="1" xfId="0" applyNumberFormat="1" applyFont="1" applyFill="1" applyBorder="1" applyAlignment="1">
      <alignment horizontal="center" vertical="center"/>
    </xf>
    <xf numFmtId="164" fontId="266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" fontId="399" fillId="0" borderId="1" xfId="3302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3" fontId="10" fillId="0" borderId="4" xfId="3835" applyFont="1" applyBorder="1" applyAlignment="1">
      <alignment horizontal="center"/>
    </xf>
    <xf numFmtId="0" fontId="307" fillId="0" borderId="0" xfId="0" applyFont="1" applyAlignment="1">
      <alignment horizontal="center" vertical="center" wrapText="1"/>
    </xf>
    <xf numFmtId="4" fontId="308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166" fontId="217" fillId="0" borderId="4" xfId="3040" applyNumberFormat="1" applyFont="1" applyBorder="1" applyAlignment="1">
      <alignment vertical="center"/>
    </xf>
    <xf numFmtId="4" fontId="317" fillId="2" borderId="1" xfId="3040" applyNumberFormat="1" applyFont="1" applyFill="1" applyBorder="1" applyAlignment="1">
      <alignment horizontal="center" vertical="center"/>
    </xf>
    <xf numFmtId="4" fontId="317" fillId="0" borderId="1" xfId="3040" applyNumberFormat="1" applyFont="1" applyFill="1" applyBorder="1" applyAlignment="1">
      <alignment horizontal="center" vertical="center"/>
    </xf>
    <xf numFmtId="0" fontId="0" fillId="64" borderId="58" xfId="0" applyFill="1" applyBorder="1"/>
    <xf numFmtId="9" fontId="0" fillId="64" borderId="0" xfId="3304" applyFont="1" applyFill="1"/>
    <xf numFmtId="0" fontId="0" fillId="64" borderId="0" xfId="0" applyFill="1"/>
    <xf numFmtId="0" fontId="354" fillId="64" borderId="58" xfId="3048" applyFont="1" applyFill="1" applyBorder="1" applyAlignment="1">
      <alignment horizontal="center"/>
    </xf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9" fontId="0" fillId="64" borderId="0" xfId="3304" applyFon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302" fillId="64" borderId="0" xfId="0" applyNumberFormat="1" applyFont="1" applyFill="1" applyAlignment="1">
      <alignment horizontal="center"/>
    </xf>
    <xf numFmtId="0" fontId="5" fillId="64" borderId="0" xfId="20372" applyFill="1"/>
    <xf numFmtId="0" fontId="0" fillId="64" borderId="58" xfId="0" applyFill="1" applyBorder="1" applyAlignment="1">
      <alignment horizontal="center"/>
    </xf>
    <xf numFmtId="4" fontId="0" fillId="64" borderId="0" xfId="0" applyNumberFormat="1" applyFill="1"/>
    <xf numFmtId="4" fontId="302" fillId="64" borderId="0" xfId="0" applyNumberFormat="1" applyFont="1" applyFill="1"/>
    <xf numFmtId="10" fontId="400" fillId="0" borderId="0" xfId="3304" applyNumberFormat="1" applyFont="1"/>
    <xf numFmtId="43" fontId="225" fillId="4" borderId="1" xfId="3040" applyFont="1" applyFill="1" applyBorder="1" applyAlignment="1">
      <alignment horizontal="center" vertical="center"/>
    </xf>
    <xf numFmtId="10" fontId="225" fillId="4" borderId="1" xfId="3304" applyNumberFormat="1" applyFont="1" applyFill="1" applyBorder="1" applyAlignment="1">
      <alignment horizontal="center" vertical="center"/>
    </xf>
    <xf numFmtId="43" fontId="225" fillId="4" borderId="1" xfId="3304" applyNumberFormat="1" applyFont="1" applyFill="1" applyBorder="1" applyAlignment="1">
      <alignment horizontal="center" vertical="center"/>
    </xf>
    <xf numFmtId="43" fontId="351" fillId="2" borderId="1" xfId="3040" applyFont="1" applyFill="1" applyBorder="1" applyAlignment="1">
      <alignment horizontal="left" vertical="center"/>
    </xf>
    <xf numFmtId="43" fontId="225" fillId="4" borderId="1" xfId="3040" applyFont="1" applyFill="1" applyBorder="1" applyAlignment="1">
      <alignment horizontal="left" vertical="center"/>
    </xf>
    <xf numFmtId="0" fontId="401" fillId="0" borderId="0" xfId="0" applyFont="1" applyAlignment="1">
      <alignment horizontal="left" vertical="center"/>
    </xf>
    <xf numFmtId="0" fontId="401" fillId="0" borderId="0" xfId="0" applyFont="1" applyAlignment="1">
      <alignment horizontal="left"/>
    </xf>
    <xf numFmtId="10" fontId="222" fillId="2" borderId="36" xfId="3304" applyNumberFormat="1" applyFont="1" applyFill="1" applyBorder="1" applyAlignment="1">
      <alignment horizontal="center" vertical="center"/>
    </xf>
    <xf numFmtId="2" fontId="402" fillId="0" borderId="1" xfId="0" applyNumberFormat="1" applyFont="1" applyBorder="1" applyAlignment="1">
      <alignment vertical="center"/>
    </xf>
    <xf numFmtId="43" fontId="403" fillId="59" borderId="1" xfId="3040" applyFont="1" applyFill="1" applyBorder="1" applyAlignment="1">
      <alignment horizontal="center" vertical="center"/>
    </xf>
    <xf numFmtId="4" fontId="327" fillId="0" borderId="35" xfId="3304" applyNumberFormat="1" applyFont="1" applyBorder="1" applyAlignment="1">
      <alignment horizontal="center" vertical="center"/>
    </xf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8" xfId="33546" applyFont="1" applyFill="1" applyBorder="1" applyAlignment="1">
      <alignment horizontal="center"/>
    </xf>
    <xf numFmtId="0" fontId="209" fillId="0" borderId="20" xfId="33546" applyFont="1" applyFill="1" applyBorder="1" applyAlignment="1">
      <alignment horizontal="center"/>
    </xf>
    <xf numFmtId="0" fontId="209" fillId="63" borderId="10" xfId="33546" applyFont="1" applyFill="1" applyBorder="1" applyAlignment="1">
      <alignment horizontal="center"/>
    </xf>
    <xf numFmtId="43" fontId="354" fillId="0" borderId="4" xfId="33550" applyFont="1" applyBorder="1"/>
    <xf numFmtId="43" fontId="354" fillId="0" borderId="4" xfId="33552" applyNumberFormat="1" applyFont="1" applyBorder="1"/>
    <xf numFmtId="43" fontId="354" fillId="0" borderId="4" xfId="33552" applyNumberFormat="1" applyFont="1" applyBorder="1"/>
    <xf numFmtId="43" fontId="354" fillId="0" borderId="4" xfId="40133" applyFont="1" applyBorder="1"/>
    <xf numFmtId="43" fontId="354" fillId="0" borderId="4" xfId="40135" applyNumberFormat="1" applyFont="1" applyBorder="1"/>
    <xf numFmtId="43" fontId="354" fillId="0" borderId="4" xfId="40135" applyNumberFormat="1" applyFont="1" applyBorder="1"/>
    <xf numFmtId="0" fontId="405" fillId="0" borderId="0" xfId="0" applyFont="1"/>
    <xf numFmtId="43" fontId="406" fillId="59" borderId="1" xfId="3040" applyFont="1" applyFill="1" applyBorder="1" applyAlignment="1">
      <alignment horizontal="center" vertical="center"/>
    </xf>
    <xf numFmtId="4" fontId="364" fillId="2" borderId="23" xfId="3040" applyNumberFormat="1" applyFont="1" applyFill="1" applyBorder="1" applyAlignment="1">
      <alignment horizontal="center" vertical="center"/>
    </xf>
    <xf numFmtId="43" fontId="409" fillId="0" borderId="0" xfId="0" applyNumberFormat="1" applyFont="1"/>
    <xf numFmtId="4" fontId="364" fillId="0" borderId="1" xfId="3302" applyNumberFormat="1" applyFont="1" applyBorder="1" applyAlignment="1">
      <alignment horizontal="center" vertical="center"/>
    </xf>
    <xf numFmtId="43" fontId="381" fillId="0" borderId="1" xfId="3040" applyFont="1" applyBorder="1" applyAlignment="1">
      <alignment horizontal="center" vertical="center"/>
    </xf>
    <xf numFmtId="4" fontId="365" fillId="0" borderId="1" xfId="0" applyNumberFormat="1" applyFont="1" applyBorder="1" applyAlignment="1">
      <alignment horizontal="center" vertical="center"/>
    </xf>
    <xf numFmtId="10" fontId="365" fillId="2" borderId="35" xfId="3304" applyNumberFormat="1" applyFont="1" applyFill="1" applyBorder="1" applyAlignment="1">
      <alignment horizontal="center" vertical="center"/>
    </xf>
    <xf numFmtId="10" fontId="277" fillId="2" borderId="35" xfId="3304" applyNumberFormat="1" applyFont="1" applyFill="1" applyBorder="1" applyAlignment="1">
      <alignment horizontal="center" vertical="center"/>
    </xf>
    <xf numFmtId="43" fontId="220" fillId="0" borderId="31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2" fillId="0" borderId="1" xfId="3040" applyFont="1" applyBorder="1" applyAlignment="1">
      <alignment horizontal="center" vertical="center"/>
    </xf>
    <xf numFmtId="43" fontId="277" fillId="2" borderId="35" xfId="3304" applyNumberFormat="1" applyFont="1" applyFill="1" applyBorder="1" applyAlignment="1">
      <alignment horizontal="center" vertical="center"/>
    </xf>
    <xf numFmtId="43" fontId="229" fillId="0" borderId="1" xfId="3304" applyNumberFormat="1" applyFont="1" applyBorder="1" applyAlignment="1">
      <alignment horizontal="center" vertical="center"/>
    </xf>
    <xf numFmtId="4" fontId="265" fillId="0" borderId="31" xfId="3302" applyNumberFormat="1" applyFont="1" applyBorder="1" applyAlignment="1">
      <alignment horizontal="center" vertical="center"/>
    </xf>
    <xf numFmtId="43" fontId="265" fillId="0" borderId="31" xfId="3040" applyFont="1" applyBorder="1" applyAlignment="1">
      <alignment horizontal="center" vertical="center"/>
    </xf>
    <xf numFmtId="4" fontId="265" fillId="0" borderId="35" xfId="3302" applyNumberFormat="1" applyFont="1" applyBorder="1" applyAlignment="1">
      <alignment horizontal="center" vertical="center"/>
    </xf>
    <xf numFmtId="4" fontId="229" fillId="0" borderId="35" xfId="3302" applyNumberFormat="1" applyFont="1" applyBorder="1" applyAlignment="1">
      <alignment horizontal="center" vertical="center"/>
    </xf>
    <xf numFmtId="43" fontId="252" fillId="0" borderId="37" xfId="3040" applyFont="1" applyBorder="1" applyAlignment="1">
      <alignment horizontal="center" vertical="center"/>
    </xf>
    <xf numFmtId="43" fontId="330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410" fillId="4" borderId="1" xfId="3040" applyFont="1" applyFill="1" applyBorder="1" applyAlignment="1">
      <alignment horizontal="center" vertical="center"/>
    </xf>
    <xf numFmtId="43" fontId="410" fillId="4" borderId="1" xfId="3040" applyNumberFormat="1" applyFont="1" applyFill="1" applyBorder="1" applyAlignment="1">
      <alignment horizontal="left" vertical="center"/>
    </xf>
    <xf numFmtId="43" fontId="410" fillId="4" borderId="1" xfId="3040" applyFont="1" applyFill="1" applyBorder="1" applyAlignment="1">
      <alignment horizontal="left" vertical="center"/>
    </xf>
    <xf numFmtId="4" fontId="411" fillId="0" borderId="4" xfId="3040" applyNumberFormat="1" applyFont="1" applyBorder="1" applyAlignment="1">
      <alignment horizontal="center"/>
    </xf>
    <xf numFmtId="4" fontId="217" fillId="0" borderId="0" xfId="0" applyNumberFormat="1" applyFont="1" applyAlignment="1">
      <alignment horizontal="center"/>
    </xf>
    <xf numFmtId="4" fontId="327" fillId="0" borderId="35" xfId="3302" applyNumberFormat="1" applyFont="1" applyBorder="1" applyAlignment="1">
      <alignment horizontal="center" vertical="center"/>
    </xf>
    <xf numFmtId="0" fontId="209" fillId="0" borderId="10" xfId="33546" applyFont="1" applyFill="1" applyBorder="1" applyAlignment="1">
      <alignment horizontal="center"/>
    </xf>
    <xf numFmtId="0" fontId="209" fillId="0" borderId="61" xfId="33546" applyFont="1" applyFill="1" applyBorder="1" applyAlignment="1">
      <alignment horizontal="center"/>
    </xf>
    <xf numFmtId="0" fontId="209" fillId="0" borderId="21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8" xfId="33546" applyFont="1" applyFill="1" applyBorder="1" applyAlignment="1">
      <alignment horizontal="center"/>
    </xf>
    <xf numFmtId="0" fontId="209" fillId="60" borderId="10" xfId="33546" applyFont="1" applyFill="1" applyBorder="1" applyAlignment="1">
      <alignment horizontal="center"/>
    </xf>
    <xf numFmtId="0" fontId="233" fillId="0" borderId="2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25" fillId="4" borderId="23" xfId="3040" applyFont="1" applyFill="1" applyBorder="1" applyAlignment="1">
      <alignment horizontal="center" vertical="center"/>
    </xf>
    <xf numFmtId="43" fontId="225" fillId="4" borderId="19" xfId="3040" applyFont="1" applyFill="1" applyBorder="1" applyAlignment="1">
      <alignment horizontal="center" vertical="center"/>
    </xf>
    <xf numFmtId="10" fontId="256" fillId="4" borderId="23" xfId="3304" applyNumberFormat="1" applyFont="1" applyFill="1" applyBorder="1" applyAlignment="1">
      <alignment horizontal="center" vertical="center"/>
    </xf>
    <xf numFmtId="10" fontId="256" fillId="4" borderId="19" xfId="3304" applyNumberFormat="1" applyFont="1" applyFill="1" applyBorder="1" applyAlignment="1">
      <alignment horizontal="center" vertical="center"/>
    </xf>
    <xf numFmtId="43" fontId="256" fillId="4" borderId="23" xfId="3040" applyFont="1" applyFill="1" applyBorder="1" applyAlignment="1">
      <alignment horizontal="center" vertical="center"/>
    </xf>
    <xf numFmtId="43" fontId="256" fillId="4" borderId="19" xfId="3040" applyFont="1" applyFill="1" applyBorder="1" applyAlignment="1">
      <alignment horizontal="center" vertical="center"/>
    </xf>
    <xf numFmtId="43" fontId="248" fillId="4" borderId="23" xfId="3040" applyFont="1" applyFill="1" applyBorder="1" applyAlignment="1">
      <alignment horizontal="center" vertical="center"/>
    </xf>
    <xf numFmtId="43" fontId="248" fillId="4" borderId="19" xfId="3040" applyFont="1" applyFill="1" applyBorder="1" applyAlignment="1">
      <alignment horizontal="center" vertical="center"/>
    </xf>
    <xf numFmtId="0" fontId="210" fillId="0" borderId="23" xfId="0" applyFont="1" applyFill="1" applyBorder="1" applyAlignment="1">
      <alignment horizontal="center" vertical="center"/>
    </xf>
    <xf numFmtId="43" fontId="256" fillId="4" borderId="23" xfId="3040" applyFont="1" applyFill="1" applyBorder="1" applyAlignment="1">
      <alignment vertical="center"/>
    </xf>
    <xf numFmtId="43" fontId="256" fillId="4" borderId="19" xfId="304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43" fontId="225" fillId="4" borderId="23" xfId="3040" applyFont="1" applyFill="1" applyBorder="1" applyAlignment="1">
      <alignment vertical="center"/>
    </xf>
    <xf numFmtId="43" fontId="225" fillId="4" borderId="19" xfId="3040" applyFont="1" applyFill="1" applyBorder="1" applyAlignment="1">
      <alignment vertical="center"/>
    </xf>
    <xf numFmtId="10" fontId="256" fillId="4" borderId="23" xfId="3304" applyNumberFormat="1" applyFont="1" applyFill="1" applyBorder="1" applyAlignment="1">
      <alignment vertical="center"/>
    </xf>
    <xf numFmtId="10" fontId="256" fillId="4" borderId="19" xfId="3304" applyNumberFormat="1" applyFont="1" applyFill="1" applyBorder="1" applyAlignment="1">
      <alignment vertical="center"/>
    </xf>
    <xf numFmtId="0" fontId="220" fillId="0" borderId="19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9" fillId="0" borderId="23" xfId="0" applyFont="1" applyBorder="1" applyAlignment="1">
      <alignment horizontal="center" vertical="center"/>
    </xf>
    <xf numFmtId="0" fontId="239" fillId="0" borderId="19" xfId="0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0" fontId="310" fillId="0" borderId="23" xfId="0" applyFont="1" applyFill="1" applyBorder="1" applyAlignment="1">
      <alignment horizontal="center" vertical="center"/>
    </xf>
    <xf numFmtId="0" fontId="311" fillId="0" borderId="19" xfId="0" applyFont="1" applyBorder="1" applyAlignment="1">
      <alignment horizontal="center" vertical="center"/>
    </xf>
    <xf numFmtId="0" fontId="311" fillId="0" borderId="6" xfId="0" applyFont="1" applyBorder="1" applyAlignment="1">
      <alignment horizontal="center" vertical="center"/>
    </xf>
    <xf numFmtId="0" fontId="220" fillId="0" borderId="23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34" fillId="0" borderId="1" xfId="0" applyFont="1" applyBorder="1" applyAlignment="1">
      <alignment horizontal="center" vertical="center"/>
    </xf>
    <xf numFmtId="3" fontId="305" fillId="0" borderId="23" xfId="0" applyNumberFormat="1" applyFont="1" applyBorder="1" applyAlignment="1">
      <alignment horizontal="center" vertical="center"/>
    </xf>
    <xf numFmtId="0" fontId="306" fillId="0" borderId="19" xfId="0" applyFont="1" applyBorder="1" applyAlignment="1">
      <alignment horizontal="center" vertical="center"/>
    </xf>
    <xf numFmtId="0" fontId="306" fillId="0" borderId="6" xfId="0" applyFont="1" applyBorder="1" applyAlignment="1">
      <alignment horizontal="center" vertical="center"/>
    </xf>
    <xf numFmtId="3" fontId="212" fillId="0" borderId="23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5" fillId="59" borderId="23" xfId="0" applyNumberFormat="1" applyFont="1" applyFill="1" applyBorder="1" applyAlignment="1">
      <alignment horizontal="center" vertical="center"/>
    </xf>
    <xf numFmtId="0" fontId="306" fillId="59" borderId="19" xfId="0" applyFont="1" applyFill="1" applyBorder="1" applyAlignment="1">
      <alignment horizontal="center" vertical="center"/>
    </xf>
    <xf numFmtId="0" fontId="306" fillId="59" borderId="6" xfId="0" applyFont="1" applyFill="1" applyBorder="1" applyAlignment="1">
      <alignment horizontal="center" vertical="center"/>
    </xf>
    <xf numFmtId="3" fontId="378" fillId="0" borderId="23" xfId="0" applyNumberFormat="1" applyFont="1" applyBorder="1" applyAlignment="1">
      <alignment horizontal="center" vertical="center"/>
    </xf>
    <xf numFmtId="0" fontId="382" fillId="0" borderId="19" xfId="0" applyFont="1" applyBorder="1" applyAlignment="1">
      <alignment horizontal="center" vertical="center"/>
    </xf>
    <xf numFmtId="0" fontId="382" fillId="0" borderId="6" xfId="0" applyFont="1" applyBorder="1" applyAlignment="1">
      <alignment horizontal="center" vertical="center"/>
    </xf>
    <xf numFmtId="3" fontId="212" fillId="0" borderId="19" xfId="0" applyNumberFormat="1" applyFont="1" applyBorder="1" applyAlignment="1">
      <alignment horizontal="center" vertical="center"/>
    </xf>
    <xf numFmtId="3" fontId="212" fillId="0" borderId="6" xfId="0" applyNumberFormat="1" applyFont="1" applyBorder="1" applyAlignment="1">
      <alignment horizontal="center" vertical="center"/>
    </xf>
    <xf numFmtId="0" fontId="212" fillId="0" borderId="23" xfId="0" applyFont="1" applyBorder="1" applyAlignment="1">
      <alignment horizontal="center" vertical="center"/>
    </xf>
    <xf numFmtId="0" fontId="378" fillId="0" borderId="2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8" xfId="0" applyBorder="1" applyAlignment="1">
      <alignment horizontal="center"/>
    </xf>
    <xf numFmtId="0" fontId="284" fillId="0" borderId="4" xfId="3048" applyBorder="1" applyAlignment="1">
      <alignment horizontal="center"/>
    </xf>
    <xf numFmtId="0" fontId="354" fillId="0" borderId="62" xfId="3834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62" xfId="0" applyBorder="1" applyAlignment="1">
      <alignment horizontal="center"/>
    </xf>
    <xf numFmtId="0" fontId="210" fillId="0" borderId="19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  <xf numFmtId="4" fontId="212" fillId="0" borderId="0" xfId="0" applyNumberFormat="1" applyFont="1"/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sqref="A1:Q54"/>
    </sheetView>
  </sheetViews>
  <sheetFormatPr defaultColWidth="9.109375" defaultRowHeight="13.2"/>
  <cols>
    <col min="1" max="1" width="41.44140625" style="134" customWidth="1"/>
    <col min="2" max="17" width="11.44140625" style="135" customWidth="1"/>
    <col min="18" max="18" width="13.6640625" style="135" customWidth="1"/>
    <col min="19" max="19" width="12.5546875" style="12" bestFit="1" customWidth="1"/>
    <col min="20" max="16384" width="9.109375" style="12"/>
  </cols>
  <sheetData>
    <row r="1" spans="1:19" ht="15" customHeight="1">
      <c r="A1" s="30" t="s">
        <v>77</v>
      </c>
      <c r="B1" s="717" t="s">
        <v>128</v>
      </c>
      <c r="C1" s="718"/>
      <c r="D1" s="719"/>
      <c r="E1" s="177"/>
      <c r="F1" s="717" t="s">
        <v>136</v>
      </c>
      <c r="G1" s="718"/>
      <c r="H1" s="719"/>
      <c r="I1" s="177"/>
      <c r="J1" s="717" t="s">
        <v>137</v>
      </c>
      <c r="K1" s="718"/>
      <c r="L1" s="719"/>
      <c r="M1" s="177"/>
      <c r="N1" s="717" t="s">
        <v>138</v>
      </c>
      <c r="O1" s="718"/>
      <c r="P1" s="719"/>
      <c r="Q1" s="177"/>
      <c r="R1" s="169"/>
      <c r="S1" s="19"/>
    </row>
    <row r="2" spans="1:19" ht="15" customHeight="1">
      <c r="A2" s="100" t="s">
        <v>0</v>
      </c>
      <c r="B2" s="175" t="s">
        <v>1</v>
      </c>
      <c r="C2" s="175" t="s">
        <v>2</v>
      </c>
      <c r="D2" s="175" t="s">
        <v>3</v>
      </c>
      <c r="E2" s="178" t="s">
        <v>113</v>
      </c>
      <c r="F2" s="175" t="s">
        <v>4</v>
      </c>
      <c r="G2" s="175" t="s">
        <v>5</v>
      </c>
      <c r="H2" s="175" t="s">
        <v>6</v>
      </c>
      <c r="I2" s="178" t="s">
        <v>124</v>
      </c>
      <c r="J2" s="175" t="s">
        <v>7</v>
      </c>
      <c r="K2" s="175" t="s">
        <v>8</v>
      </c>
      <c r="L2" s="175" t="s">
        <v>9</v>
      </c>
      <c r="M2" s="178" t="s">
        <v>125</v>
      </c>
      <c r="N2" s="175" t="s">
        <v>10</v>
      </c>
      <c r="O2" s="175" t="s">
        <v>11</v>
      </c>
      <c r="P2" s="175" t="s">
        <v>12</v>
      </c>
      <c r="Q2" s="178" t="s">
        <v>126</v>
      </c>
      <c r="R2" s="101" t="s">
        <v>127</v>
      </c>
      <c r="S2" s="19"/>
    </row>
    <row r="3" spans="1:19" ht="15" customHeight="1">
      <c r="A3" s="101"/>
      <c r="B3" s="175"/>
      <c r="C3" s="175"/>
      <c r="D3" s="175"/>
      <c r="E3" s="178"/>
      <c r="F3" s="175"/>
      <c r="G3" s="175"/>
      <c r="H3" s="175"/>
      <c r="I3" s="178"/>
      <c r="J3" s="175"/>
      <c r="K3" s="175"/>
      <c r="L3" s="175"/>
      <c r="M3" s="178"/>
      <c r="N3" s="175"/>
      <c r="O3" s="175"/>
      <c r="P3" s="175"/>
      <c r="Q3" s="178"/>
      <c r="R3" s="101"/>
      <c r="S3" s="19"/>
    </row>
    <row r="4" spans="1:19" ht="15" customHeight="1">
      <c r="A4" s="102" t="s">
        <v>36</v>
      </c>
      <c r="B4" s="595">
        <f>'Target 2022'!C3</f>
        <v>43800</v>
      </c>
      <c r="C4" s="595">
        <f>'Target 2022'!D3</f>
        <v>48666.666666666664</v>
      </c>
      <c r="D4" s="595">
        <f>'Target 2022'!E3</f>
        <v>53533.333333333336</v>
      </c>
      <c r="E4" s="192">
        <f>SUM(B4:D4)</f>
        <v>146000</v>
      </c>
      <c r="F4" s="595">
        <f>'Target 2022'!F3</f>
        <v>46500</v>
      </c>
      <c r="G4" s="595">
        <f>'Target 2022'!G3</f>
        <v>51666.666666666664</v>
      </c>
      <c r="H4" s="595">
        <f>'Target 2022'!H3</f>
        <v>56833.333333333336</v>
      </c>
      <c r="I4" s="192">
        <f>SUM(F4:H4)</f>
        <v>155000</v>
      </c>
      <c r="J4" s="595">
        <f>'Target 2022'!I3</f>
        <v>45000</v>
      </c>
      <c r="K4" s="595">
        <f>'Target 2022'!J3</f>
        <v>50000</v>
      </c>
      <c r="L4" s="595">
        <f>'Target 2022'!K3</f>
        <v>55000.000000000007</v>
      </c>
      <c r="M4" s="192">
        <f>SUM(J4:L4)</f>
        <v>150000</v>
      </c>
      <c r="N4" s="595">
        <f>'Target 2022'!L3</f>
        <v>47500</v>
      </c>
      <c r="O4" s="595">
        <f>'Target 2022'!M3</f>
        <v>52500</v>
      </c>
      <c r="P4" s="595">
        <f>'Target 2022'!N3</f>
        <v>50000</v>
      </c>
      <c r="Q4" s="192">
        <f>SUM(N4:P4)</f>
        <v>150000</v>
      </c>
      <c r="R4" s="656">
        <f>E4+I4+M4+Q4</f>
        <v>601000</v>
      </c>
      <c r="S4" s="19"/>
    </row>
    <row r="5" spans="1:19" ht="15" customHeight="1">
      <c r="A5" s="104" t="s">
        <v>35</v>
      </c>
      <c r="B5" s="596">
        <f>B4</f>
        <v>43800</v>
      </c>
      <c r="C5" s="596">
        <f>C4+B5</f>
        <v>92466.666666666657</v>
      </c>
      <c r="D5" s="596">
        <f>D4+C5</f>
        <v>146000</v>
      </c>
      <c r="E5" s="613"/>
      <c r="F5" s="596">
        <f>F4</f>
        <v>46500</v>
      </c>
      <c r="G5" s="596">
        <f>G4+F5</f>
        <v>98166.666666666657</v>
      </c>
      <c r="H5" s="596">
        <f>H4+G5</f>
        <v>155000</v>
      </c>
      <c r="I5" s="613"/>
      <c r="J5" s="596">
        <f>J4</f>
        <v>45000</v>
      </c>
      <c r="K5" s="596">
        <f>K4+J5</f>
        <v>95000</v>
      </c>
      <c r="L5" s="596">
        <f>L4+K5</f>
        <v>150000</v>
      </c>
      <c r="M5" s="613"/>
      <c r="N5" s="596">
        <f>N4</f>
        <v>47500</v>
      </c>
      <c r="O5" s="596">
        <f>O4+N5</f>
        <v>100000</v>
      </c>
      <c r="P5" s="596">
        <f>P4+O5</f>
        <v>150000</v>
      </c>
      <c r="Q5" s="613"/>
      <c r="R5" s="360">
        <f>R6/R4</f>
        <v>1.0799448181364393</v>
      </c>
      <c r="S5" s="19"/>
    </row>
    <row r="6" spans="1:19" ht="15" customHeight="1">
      <c r="A6" s="106" t="s">
        <v>37</v>
      </c>
      <c r="B6" s="204">
        <f>SUMIF(I!A:A,$A$1,I!I:I)</f>
        <v>44007.332000000002</v>
      </c>
      <c r="C6" s="203">
        <f>SUMIF(II!A:A,$A$1,II!I:I)</f>
        <v>55204.183599999997</v>
      </c>
      <c r="D6" s="203">
        <f>SUMIF(III!A:A,$A$1,III!I:I)</f>
        <v>62605.121099999997</v>
      </c>
      <c r="E6" s="653">
        <f>SUM(B6:D6)</f>
        <v>161816.6367</v>
      </c>
      <c r="F6" s="203">
        <f>SUMIF(IV!A:A,$A$1,IV!I:I)</f>
        <v>58160.781300000002</v>
      </c>
      <c r="G6" s="203">
        <f>SUMIF(V!A:A,$A$1,V!I:I)</f>
        <v>46990.832000000002</v>
      </c>
      <c r="H6" s="203">
        <f>SUMIF(VI!A:A,$A$1,VI!I:I)</f>
        <v>50618.316400000003</v>
      </c>
      <c r="I6" s="653">
        <f>SUM(F6:H6)</f>
        <v>155769.92970000001</v>
      </c>
      <c r="J6" s="203">
        <f>SUMIF(VII!A:A,$A$1,VII!I:I)</f>
        <v>45845.101600000002</v>
      </c>
      <c r="K6" s="203">
        <f>SUMIF(VIII!A:A,$A$1,VIII!I:I)</f>
        <v>51814.257000000005</v>
      </c>
      <c r="L6" s="203">
        <f>SUMIF(IX!A:A,$A$1,IX!I:I)</f>
        <v>55510.156300000002</v>
      </c>
      <c r="M6" s="653">
        <f>SUM(J6:L6)</f>
        <v>153169.51490000001</v>
      </c>
      <c r="N6" s="203">
        <f>SUMIF(X!A:A,$A$1,X!I:I)</f>
        <v>63571.417999999998</v>
      </c>
      <c r="O6" s="203">
        <f>SUMIF(XI!A:A,$A$1,XI!I:I)</f>
        <v>64521.879399999998</v>
      </c>
      <c r="P6" s="203">
        <f>SUMIF(XII!A:A,$A$1,XII!I:I)</f>
        <v>50197.457000000002</v>
      </c>
      <c r="Q6" s="653">
        <f>SUM(N6:P6)</f>
        <v>178290.75440000001</v>
      </c>
      <c r="R6" s="103">
        <f>E6+I6+M6+Q6</f>
        <v>649046.83570000005</v>
      </c>
      <c r="S6" s="383"/>
    </row>
    <row r="7" spans="1:19" s="14" customFormat="1" ht="15" customHeight="1">
      <c r="A7" s="104" t="s">
        <v>38</v>
      </c>
      <c r="B7" s="596">
        <f>B6</f>
        <v>44007.332000000002</v>
      </c>
      <c r="C7" s="596">
        <f>C6+B7</f>
        <v>99211.515599999999</v>
      </c>
      <c r="D7" s="596">
        <f>D6+C7</f>
        <v>161816.6367</v>
      </c>
      <c r="E7" s="613"/>
      <c r="F7" s="596">
        <f>F6</f>
        <v>58160.781300000002</v>
      </c>
      <c r="G7" s="596">
        <f>G6+F7</f>
        <v>105151.6133</v>
      </c>
      <c r="H7" s="596">
        <f>H6+G7</f>
        <v>155769.92970000001</v>
      </c>
      <c r="I7" s="613"/>
      <c r="J7" s="596">
        <f>J6</f>
        <v>45845.101600000002</v>
      </c>
      <c r="K7" s="596">
        <f>K6+J7</f>
        <v>97659.358600000007</v>
      </c>
      <c r="L7" s="596">
        <f>L6+K7</f>
        <v>153169.51490000001</v>
      </c>
      <c r="M7" s="613">
        <f>SUM(E6,I6,M6)/3</f>
        <v>156918.69376666666</v>
      </c>
      <c r="N7" s="596">
        <f>N6</f>
        <v>63571.417999999998</v>
      </c>
      <c r="O7" s="596">
        <f>O6+N7</f>
        <v>128093.2974</v>
      </c>
      <c r="P7" s="596">
        <f>P6+O7</f>
        <v>178290.75440000001</v>
      </c>
      <c r="Q7" s="613"/>
      <c r="R7" s="105"/>
      <c r="S7" s="19"/>
    </row>
    <row r="8" spans="1:19" s="14" customFormat="1" ht="15" customHeight="1">
      <c r="A8" s="107" t="s">
        <v>39</v>
      </c>
      <c r="B8" s="84">
        <f t="shared" ref="B8:D9" si="0">B6/B4</f>
        <v>1.0047336073059361</v>
      </c>
      <c r="C8" s="84">
        <f t="shared" si="0"/>
        <v>1.1343325397260273</v>
      </c>
      <c r="D8" s="84">
        <f t="shared" si="0"/>
        <v>1.1694605435865504</v>
      </c>
      <c r="E8" s="181"/>
      <c r="F8" s="84">
        <f t="shared" ref="F8:H9" si="1">F6/F4</f>
        <v>1.2507694903225808</v>
      </c>
      <c r="G8" s="84">
        <f t="shared" si="1"/>
        <v>0.90949997419354844</v>
      </c>
      <c r="H8" s="84">
        <f t="shared" si="1"/>
        <v>0.89064486334310855</v>
      </c>
      <c r="I8" s="181"/>
      <c r="J8" s="84">
        <f t="shared" ref="J8:L9" si="2">J6/J4</f>
        <v>1.0187800355555556</v>
      </c>
      <c r="K8" s="84">
        <f t="shared" si="2"/>
        <v>1.0362851400000002</v>
      </c>
      <c r="L8" s="84">
        <f t="shared" si="2"/>
        <v>1.009275569090909</v>
      </c>
      <c r="M8" s="181"/>
      <c r="N8" s="84">
        <f t="shared" ref="N8:P9" si="3">N6/N4</f>
        <v>1.3383456421052631</v>
      </c>
      <c r="O8" s="84">
        <f t="shared" si="3"/>
        <v>1.2289881790476189</v>
      </c>
      <c r="P8" s="84">
        <f t="shared" si="3"/>
        <v>1.00394914</v>
      </c>
      <c r="Q8" s="181"/>
      <c r="R8" s="108"/>
      <c r="S8" s="19"/>
    </row>
    <row r="9" spans="1:19" s="22" customFormat="1" ht="15" customHeight="1">
      <c r="A9" s="107" t="s">
        <v>40</v>
      </c>
      <c r="B9" s="84">
        <f t="shared" si="0"/>
        <v>1.0047336073059361</v>
      </c>
      <c r="C9" s="84">
        <f t="shared" si="0"/>
        <v>1.0729435717375633</v>
      </c>
      <c r="D9" s="84">
        <f t="shared" si="0"/>
        <v>1.1083331280821918</v>
      </c>
      <c r="E9" s="181"/>
      <c r="F9" s="84">
        <f t="shared" si="1"/>
        <v>1.2507694903225808</v>
      </c>
      <c r="G9" s="84">
        <f t="shared" si="1"/>
        <v>1.0711539555178269</v>
      </c>
      <c r="H9" s="84">
        <f t="shared" si="1"/>
        <v>1.0049672883870968</v>
      </c>
      <c r="I9" s="181"/>
      <c r="J9" s="84">
        <f t="shared" si="2"/>
        <v>1.0187800355555556</v>
      </c>
      <c r="K9" s="84">
        <f>K7/K5</f>
        <v>1.0279932484210528</v>
      </c>
      <c r="L9" s="84">
        <f t="shared" si="2"/>
        <v>1.0211300993333334</v>
      </c>
      <c r="M9" s="181"/>
      <c r="N9" s="84">
        <f t="shared" si="3"/>
        <v>1.3383456421052631</v>
      </c>
      <c r="O9" s="84">
        <f t="shared" si="3"/>
        <v>1.2809329739999999</v>
      </c>
      <c r="P9" s="84">
        <f t="shared" si="3"/>
        <v>1.1886050293333335</v>
      </c>
      <c r="Q9" s="181"/>
      <c r="R9" s="109"/>
      <c r="S9" s="20"/>
    </row>
    <row r="10" spans="1:19" ht="15" customHeight="1">
      <c r="A10" s="104" t="s">
        <v>48</v>
      </c>
      <c r="B10" s="596">
        <f>B7-B5</f>
        <v>207.33200000000215</v>
      </c>
      <c r="C10" s="596">
        <f>C7-C5</f>
        <v>6744.8489333333418</v>
      </c>
      <c r="D10" s="596">
        <f>D7-D5</f>
        <v>15816.636700000003</v>
      </c>
      <c r="E10" s="613"/>
      <c r="F10" s="596">
        <f>F7-F5</f>
        <v>11660.781300000002</v>
      </c>
      <c r="G10" s="596">
        <f>G7-G5</f>
        <v>6984.9466333333403</v>
      </c>
      <c r="H10" s="596">
        <f>H7-H5</f>
        <v>769.92970000000787</v>
      </c>
      <c r="I10" s="613"/>
      <c r="J10" s="596">
        <f>J7-J5</f>
        <v>845.10160000000178</v>
      </c>
      <c r="K10" s="596">
        <f>K7-K5</f>
        <v>2659.3586000000068</v>
      </c>
      <c r="L10" s="596">
        <f>L7-L5</f>
        <v>3169.5149000000092</v>
      </c>
      <c r="M10" s="613"/>
      <c r="N10" s="596">
        <f>N7-N5</f>
        <v>16071.417999999998</v>
      </c>
      <c r="O10" s="596">
        <f>O7-O5</f>
        <v>28093.297399999996</v>
      </c>
      <c r="P10" s="596">
        <f>P7-P5</f>
        <v>28290.754400000005</v>
      </c>
      <c r="Q10" s="613"/>
      <c r="R10" s="105"/>
      <c r="S10" s="42"/>
    </row>
    <row r="11" spans="1:19" ht="15" customHeight="1">
      <c r="A11" s="106" t="s">
        <v>201</v>
      </c>
      <c r="B11" s="204">
        <f>SUMIF(I!A:A,$A$1,I!G:G)</f>
        <v>146185.85939999999</v>
      </c>
      <c r="C11" s="203">
        <f>SUMIF(II!A:A,$A$1,II!G:G)</f>
        <v>130162.3906</v>
      </c>
      <c r="D11" s="203">
        <f>SUMIF(III!A:A,$A$1,III!G:G)</f>
        <v>163730.4063</v>
      </c>
      <c r="E11" s="653">
        <f>SUM(B11:D11)</f>
        <v>440078.65630000003</v>
      </c>
      <c r="F11" s="203">
        <f>SUMIF(IV!A:A,$A$1,IV!G:G)</f>
        <v>148352.0938</v>
      </c>
      <c r="G11" s="203">
        <f>SUMIF(V!A:A,$A$1,V!G:G)</f>
        <v>117113.8125</v>
      </c>
      <c r="H11" s="203">
        <f>SUMIF(VI!A:A,$A$1,VI!G:G)</f>
        <v>138156.4375</v>
      </c>
      <c r="I11" s="653">
        <f>SUM(F11:H11)</f>
        <v>403622.34380000003</v>
      </c>
      <c r="J11" s="203">
        <f>SUMIF(VII!A:A,$A$1,VII!G:G)</f>
        <v>120626.36719999999</v>
      </c>
      <c r="K11" s="203">
        <f>SUMIF(VIII!A:A,$A$1,VIII!G:G)</f>
        <v>139229.20310000001</v>
      </c>
      <c r="L11" s="203">
        <f>SUMIF(IX!A:A,$A$1,IX!G:G)</f>
        <v>120934.63280000001</v>
      </c>
      <c r="M11" s="653">
        <f>SUM(J11:L11)</f>
        <v>380790.20310000004</v>
      </c>
      <c r="N11" s="203">
        <f>SUMIF(X!A:A,$A$1,X!G:G)</f>
        <v>146331.54689999999</v>
      </c>
      <c r="O11" s="203">
        <f>SUMIF(XI!A:A,$A$1,XI!G:G)</f>
        <v>199976.70310000001</v>
      </c>
      <c r="P11" s="203">
        <f>SUMIF(XII!A:A,$A$1,XII!G:G)</f>
        <v>159160.54689999999</v>
      </c>
      <c r="Q11" s="653">
        <f>SUM(N11:P11)</f>
        <v>505468.79689999996</v>
      </c>
      <c r="R11" s="103">
        <f>E11+I11+M11+Q11</f>
        <v>1729960.0001000001</v>
      </c>
      <c r="S11" s="19"/>
    </row>
    <row r="12" spans="1:19" customFormat="1">
      <c r="A12" s="104" t="s">
        <v>202</v>
      </c>
      <c r="B12" s="596">
        <f>B11</f>
        <v>146185.85939999999</v>
      </c>
      <c r="C12" s="596">
        <f>C11+B12</f>
        <v>276348.25</v>
      </c>
      <c r="D12" s="596">
        <f>D11+C12</f>
        <v>440078.65630000003</v>
      </c>
      <c r="E12" s="613"/>
      <c r="F12" s="596">
        <f>F11</f>
        <v>148352.0938</v>
      </c>
      <c r="G12" s="596">
        <f>G11+F12</f>
        <v>265465.90630000003</v>
      </c>
      <c r="H12" s="596">
        <f>H11+G12</f>
        <v>403622.34380000003</v>
      </c>
      <c r="I12" s="613"/>
      <c r="J12" s="596">
        <f>J11</f>
        <v>120626.36719999999</v>
      </c>
      <c r="K12" s="596">
        <f>K11+J12</f>
        <v>259855.57030000002</v>
      </c>
      <c r="L12" s="596">
        <f>L11+K12</f>
        <v>380790.20310000004</v>
      </c>
      <c r="M12" s="613"/>
      <c r="N12" s="596">
        <f>N11</f>
        <v>146331.54689999999</v>
      </c>
      <c r="O12" s="596">
        <f>O11+N12</f>
        <v>346308.25</v>
      </c>
      <c r="P12" s="596">
        <f>P11+O12</f>
        <v>505468.79689999996</v>
      </c>
      <c r="Q12" s="613"/>
      <c r="R12" s="105"/>
    </row>
    <row r="13" spans="1:19" ht="15" customHeight="1">
      <c r="A13" s="111" t="s">
        <v>32</v>
      </c>
      <c r="B13" s="86">
        <f t="shared" ref="B13:D14" si="4">B6/B11</f>
        <v>0.30103685938313129</v>
      </c>
      <c r="C13" s="86">
        <f t="shared" si="4"/>
        <v>0.4241177758454599</v>
      </c>
      <c r="D13" s="86">
        <f t="shared" si="4"/>
        <v>0.38236710281711428</v>
      </c>
      <c r="E13" s="182"/>
      <c r="F13" s="86">
        <f t="shared" ref="F13:H14" si="5">F6/F11</f>
        <v>0.39204557084586295</v>
      </c>
      <c r="G13" s="86">
        <f t="shared" si="5"/>
        <v>0.40124073323972781</v>
      </c>
      <c r="H13" s="86">
        <f t="shared" si="5"/>
        <v>0.36638405937472152</v>
      </c>
      <c r="I13" s="182"/>
      <c r="J13" s="86">
        <f t="shared" ref="J13:L14" si="6">J6/J11</f>
        <v>0.38005871074595377</v>
      </c>
      <c r="K13" s="86">
        <f t="shared" si="6"/>
        <v>0.37215078335817897</v>
      </c>
      <c r="L13" s="86">
        <f t="shared" si="6"/>
        <v>0.45900959067533548</v>
      </c>
      <c r="M13" s="182"/>
      <c r="N13" s="86">
        <f t="shared" ref="N13:P14" si="7">N6/N11</f>
        <v>0.43443412816132815</v>
      </c>
      <c r="O13" s="86">
        <f t="shared" si="7"/>
        <v>0.32264698037218514</v>
      </c>
      <c r="P13" s="86">
        <f t="shared" si="7"/>
        <v>0.31538881951404008</v>
      </c>
      <c r="Q13" s="182"/>
      <c r="R13" s="112"/>
      <c r="S13" s="19"/>
    </row>
    <row r="14" spans="1:19" s="14" customFormat="1" ht="15" customHeight="1">
      <c r="A14" s="111" t="s">
        <v>33</v>
      </c>
      <c r="B14" s="86">
        <f t="shared" si="4"/>
        <v>0.30103685938313129</v>
      </c>
      <c r="C14" s="86">
        <f t="shared" si="4"/>
        <v>0.35900902430176418</v>
      </c>
      <c r="D14" s="86">
        <f t="shared" si="4"/>
        <v>0.36769935188515523</v>
      </c>
      <c r="E14" s="182"/>
      <c r="F14" s="86">
        <f t="shared" si="5"/>
        <v>0.39204557084586295</v>
      </c>
      <c r="G14" s="86">
        <f t="shared" si="5"/>
        <v>0.39610213893594814</v>
      </c>
      <c r="H14" s="86">
        <f t="shared" si="5"/>
        <v>0.38592989732299354</v>
      </c>
      <c r="I14" s="182"/>
      <c r="J14" s="86">
        <f t="shared" si="6"/>
        <v>0.38005871074595377</v>
      </c>
      <c r="K14" s="86">
        <f t="shared" si="6"/>
        <v>0.37582168620535433</v>
      </c>
      <c r="L14" s="86">
        <f t="shared" si="6"/>
        <v>0.40224121748157443</v>
      </c>
      <c r="M14" s="182"/>
      <c r="N14" s="86">
        <f t="shared" si="7"/>
        <v>0.43443412816132815</v>
      </c>
      <c r="O14" s="86">
        <f t="shared" si="7"/>
        <v>0.3698823155382524</v>
      </c>
      <c r="P14" s="86">
        <f t="shared" si="7"/>
        <v>0.35272356175780395</v>
      </c>
      <c r="Q14" s="182"/>
      <c r="R14" s="112"/>
      <c r="S14" s="19"/>
    </row>
    <row r="15" spans="1:19" s="66" customFormat="1" ht="15" customHeight="1">
      <c r="A15" s="114"/>
      <c r="B15" s="115"/>
      <c r="C15" s="115"/>
      <c r="D15" s="115"/>
      <c r="E15" s="183"/>
      <c r="F15" s="115"/>
      <c r="G15" s="115"/>
      <c r="H15" s="115"/>
      <c r="I15" s="183"/>
      <c r="J15" s="115"/>
      <c r="K15" s="115"/>
      <c r="L15" s="115"/>
      <c r="M15" s="183"/>
      <c r="N15" s="115"/>
      <c r="O15" s="115"/>
      <c r="P15" s="115"/>
      <c r="Q15" s="183"/>
      <c r="R15" s="113"/>
      <c r="S15" s="65"/>
    </row>
    <row r="16" spans="1:19" s="14" customFormat="1" ht="15" customHeight="1">
      <c r="A16" s="165" t="s">
        <v>26</v>
      </c>
      <c r="B16" s="165"/>
      <c r="C16" s="166"/>
      <c r="D16" s="166"/>
      <c r="E16" s="184"/>
      <c r="F16" s="166"/>
      <c r="G16" s="450"/>
      <c r="H16" s="166"/>
      <c r="I16" s="184"/>
      <c r="J16" s="166"/>
      <c r="K16" s="166"/>
      <c r="L16" s="166"/>
      <c r="M16" s="184"/>
      <c r="N16" s="166"/>
      <c r="O16" s="166"/>
      <c r="P16" s="166"/>
      <c r="Q16" s="184"/>
      <c r="R16" s="117"/>
      <c r="S16" s="19"/>
    </row>
    <row r="17" spans="1:19" s="14" customFormat="1" ht="15" customHeight="1">
      <c r="A17" s="68" t="s">
        <v>75</v>
      </c>
      <c r="B17" s="116">
        <v>4500</v>
      </c>
      <c r="C17" s="116">
        <v>4500</v>
      </c>
      <c r="D17" s="116">
        <v>4500</v>
      </c>
      <c r="E17" s="185"/>
      <c r="F17" s="116">
        <v>5300</v>
      </c>
      <c r="G17" s="116">
        <v>5300</v>
      </c>
      <c r="H17" s="116">
        <v>5300</v>
      </c>
      <c r="I17" s="185"/>
      <c r="J17" s="116">
        <v>5300</v>
      </c>
      <c r="K17" s="116">
        <v>5300</v>
      </c>
      <c r="L17" s="116">
        <v>5300</v>
      </c>
      <c r="M17" s="185"/>
      <c r="N17" s="116">
        <v>5300</v>
      </c>
      <c r="O17" s="116">
        <v>5300</v>
      </c>
      <c r="P17" s="116">
        <v>5300</v>
      </c>
      <c r="Q17" s="185"/>
      <c r="R17" s="117"/>
      <c r="S17" s="19"/>
    </row>
    <row r="18" spans="1:19" ht="15" customHeight="1">
      <c r="A18" s="18" t="s">
        <v>50</v>
      </c>
      <c r="B18" s="73">
        <f>B5</f>
        <v>43800</v>
      </c>
      <c r="C18" s="73">
        <f>C5</f>
        <v>92466.666666666657</v>
      </c>
      <c r="D18" s="73">
        <f>D5</f>
        <v>146000</v>
      </c>
      <c r="E18" s="186"/>
      <c r="F18" s="73">
        <f>F5</f>
        <v>46500</v>
      </c>
      <c r="G18" s="73">
        <f>G5</f>
        <v>98166.666666666657</v>
      </c>
      <c r="H18" s="73">
        <f>H5</f>
        <v>155000</v>
      </c>
      <c r="I18" s="186"/>
      <c r="J18" s="73">
        <f>J5</f>
        <v>45000</v>
      </c>
      <c r="K18" s="73">
        <f>K5</f>
        <v>95000</v>
      </c>
      <c r="L18" s="73">
        <f>L5</f>
        <v>150000</v>
      </c>
      <c r="M18" s="186"/>
      <c r="N18" s="73">
        <f>N5</f>
        <v>47500</v>
      </c>
      <c r="O18" s="73">
        <f>O5</f>
        <v>100000</v>
      </c>
      <c r="P18" s="73">
        <f>P5</f>
        <v>150000</v>
      </c>
      <c r="Q18" s="186"/>
      <c r="R18" s="119"/>
      <c r="S18" s="19"/>
    </row>
    <row r="19" spans="1:19" ht="15" customHeight="1">
      <c r="A19" s="38" t="s">
        <v>51</v>
      </c>
      <c r="B19" s="76">
        <f>B7</f>
        <v>44007.332000000002</v>
      </c>
      <c r="C19" s="76">
        <f>C7</f>
        <v>99211.515599999999</v>
      </c>
      <c r="D19" s="76">
        <f>D7</f>
        <v>161816.6367</v>
      </c>
      <c r="E19" s="187"/>
      <c r="F19" s="76">
        <f>F7</f>
        <v>58160.781300000002</v>
      </c>
      <c r="G19" s="76">
        <f>G7</f>
        <v>105151.6133</v>
      </c>
      <c r="H19" s="76">
        <f>H7</f>
        <v>155769.92970000001</v>
      </c>
      <c r="I19" s="187"/>
      <c r="J19" s="76">
        <f>J7</f>
        <v>45845.101600000002</v>
      </c>
      <c r="K19" s="76">
        <f>K7</f>
        <v>97659.358600000007</v>
      </c>
      <c r="L19" s="76">
        <f>L7</f>
        <v>153169.51490000001</v>
      </c>
      <c r="M19" s="187"/>
      <c r="N19" s="76">
        <f>N7</f>
        <v>63571.417999999998</v>
      </c>
      <c r="O19" s="76">
        <f>O7</f>
        <v>128093.2974</v>
      </c>
      <c r="P19" s="76">
        <f>P7</f>
        <v>178290.75440000001</v>
      </c>
      <c r="Q19" s="187"/>
      <c r="R19" s="119"/>
      <c r="S19" s="19"/>
    </row>
    <row r="20" spans="1:19" ht="15" customHeight="1">
      <c r="A20" s="38" t="s">
        <v>52</v>
      </c>
      <c r="B20" s="121">
        <f>B19/B18</f>
        <v>1.0047336073059361</v>
      </c>
      <c r="C20" s="121">
        <f>C19/C18</f>
        <v>1.0729435717375633</v>
      </c>
      <c r="D20" s="121">
        <f>D19/D18</f>
        <v>1.1083331280821918</v>
      </c>
      <c r="E20" s="188"/>
      <c r="F20" s="121">
        <f>F19/F18</f>
        <v>1.2507694903225808</v>
      </c>
      <c r="G20" s="121">
        <f>G19/G18</f>
        <v>1.0711539555178269</v>
      </c>
      <c r="H20" s="121">
        <f>H19/H18</f>
        <v>1.0049672883870968</v>
      </c>
      <c r="I20" s="188"/>
      <c r="J20" s="121">
        <f>J19/J18</f>
        <v>1.0187800355555556</v>
      </c>
      <c r="K20" s="121">
        <f>K19/K18</f>
        <v>1.0279932484210528</v>
      </c>
      <c r="L20" s="121">
        <f>L19/L18</f>
        <v>1.0211300993333334</v>
      </c>
      <c r="M20" s="188"/>
      <c r="N20" s="121">
        <f>N19/N18</f>
        <v>1.3383456421052631</v>
      </c>
      <c r="O20" s="121">
        <f>O19/O18</f>
        <v>1.2809329739999999</v>
      </c>
      <c r="P20" s="121">
        <f>P19/P18</f>
        <v>1.1886050293333335</v>
      </c>
      <c r="Q20" s="188"/>
      <c r="R20" s="119"/>
      <c r="S20" s="19"/>
    </row>
    <row r="21" spans="1:19" ht="15" customHeight="1">
      <c r="A21" s="37" t="s">
        <v>60</v>
      </c>
      <c r="B21" s="80">
        <f>B17*0.35</f>
        <v>1575</v>
      </c>
      <c r="C21" s="80">
        <f>C17*0.35</f>
        <v>1575</v>
      </c>
      <c r="D21" s="80">
        <f>D17*0.35</f>
        <v>1575</v>
      </c>
      <c r="E21" s="189"/>
      <c r="F21" s="80">
        <f>F17*0.35</f>
        <v>1854.9999999999998</v>
      </c>
      <c r="G21" s="80">
        <f>G17*0.35</f>
        <v>1854.9999999999998</v>
      </c>
      <c r="H21" s="80">
        <f>H17*0.35</f>
        <v>1854.9999999999998</v>
      </c>
      <c r="I21" s="189"/>
      <c r="J21" s="80">
        <f>J17*0.35</f>
        <v>1854.9999999999998</v>
      </c>
      <c r="K21" s="80">
        <f>K17*0.35</f>
        <v>1854.9999999999998</v>
      </c>
      <c r="L21" s="80">
        <f>L17*0.35</f>
        <v>1854.9999999999998</v>
      </c>
      <c r="M21" s="189"/>
      <c r="N21" s="80">
        <f>N17*0.35</f>
        <v>1854.9999999999998</v>
      </c>
      <c r="O21" s="80">
        <f>O17*0.35</f>
        <v>1854.9999999999998</v>
      </c>
      <c r="P21" s="80">
        <f>P17*0.35</f>
        <v>1854.9999999999998</v>
      </c>
      <c r="Q21" s="189"/>
      <c r="R21" s="122"/>
      <c r="S21" s="19"/>
    </row>
    <row r="22" spans="1:19" ht="15" customHeight="1">
      <c r="A22" s="38" t="s">
        <v>53</v>
      </c>
      <c r="B22" s="76">
        <f>IF(B20&lt;80%,0,IF(B20&lt;90%,0.5,IF(B20&lt;95%,0.75,1)))</f>
        <v>1</v>
      </c>
      <c r="C22" s="76">
        <f>IF(C20&lt;80%,0,IF(C20&lt;90%,0.5,IF(C20&lt;95%,0.75,1)))</f>
        <v>1</v>
      </c>
      <c r="D22" s="76">
        <f>IF(D20&lt;80%,0,IF(D20&lt;90%,0.5,IF(D20&lt;95%,0.75,1)))</f>
        <v>1</v>
      </c>
      <c r="E22" s="187"/>
      <c r="F22" s="76">
        <f>IF(F20&lt;80%,0,IF(F20&lt;90%,0.5,IF(F20&lt;95%,0.75,1)))</f>
        <v>1</v>
      </c>
      <c r="G22" s="76">
        <f>IF(G20&lt;80%,0,IF(G20&lt;90%,0.5,IF(G20&lt;95%,0.75,1)))</f>
        <v>1</v>
      </c>
      <c r="H22" s="76">
        <f>IF(H20&lt;80%,0,IF(H20&lt;90%,0.5,IF(H20&lt;95%,0.75,1)))</f>
        <v>1</v>
      </c>
      <c r="I22" s="187"/>
      <c r="J22" s="76">
        <f>IF(J20&lt;80%,0,IF(J20&lt;90%,0.5,IF(J20&lt;95%,0.75,1)))</f>
        <v>1</v>
      </c>
      <c r="K22" s="76">
        <f>IF(K20&lt;80%,0,IF(K20&lt;90%,0.5,IF(K20&lt;95%,0.75,1)))</f>
        <v>1</v>
      </c>
      <c r="L22" s="76">
        <f>IF(L20&lt;80%,0,IF(L20&lt;90%,0.5,IF(L20&lt;95%,0.75,1)))</f>
        <v>1</v>
      </c>
      <c r="M22" s="187"/>
      <c r="N22" s="76">
        <f>IF(N20&lt;80%,0,IF(N20&lt;90%,0.5,IF(N20&lt;95%,0.75,1)))</f>
        <v>1</v>
      </c>
      <c r="O22" s="76">
        <f>IF(O20&lt;80%,0,IF(O20&lt;90%,0.5,IF(O20&lt;95%,0.75,1)))</f>
        <v>1</v>
      </c>
      <c r="P22" s="76">
        <f>IF(P20&lt;80%,0,IF(P20&lt;90%,0.5,IF(P20&lt;95%,0.75,1)))</f>
        <v>1</v>
      </c>
      <c r="Q22" s="187"/>
      <c r="R22" s="119"/>
      <c r="S22" s="19"/>
    </row>
    <row r="23" spans="1:19" s="62" customFormat="1" ht="15" customHeight="1">
      <c r="A23" s="54" t="s">
        <v>54</v>
      </c>
      <c r="B23" s="75">
        <f>B22*B21</f>
        <v>1575</v>
      </c>
      <c r="C23" s="75">
        <f>C22*C21</f>
        <v>1575</v>
      </c>
      <c r="D23" s="75">
        <f>D22*D21</f>
        <v>1575</v>
      </c>
      <c r="E23" s="190"/>
      <c r="F23" s="75">
        <f>F22*F21</f>
        <v>1854.9999999999998</v>
      </c>
      <c r="G23" s="75">
        <f>G22*G21</f>
        <v>1854.9999999999998</v>
      </c>
      <c r="H23" s="75">
        <f>H22*H21</f>
        <v>1854.9999999999998</v>
      </c>
      <c r="I23" s="190"/>
      <c r="J23" s="75">
        <f>J22*J21</f>
        <v>1854.9999999999998</v>
      </c>
      <c r="K23" s="75">
        <f>K22*K21</f>
        <v>1854.9999999999998</v>
      </c>
      <c r="L23" s="75">
        <f>L22*L21</f>
        <v>1854.9999999999998</v>
      </c>
      <c r="M23" s="190"/>
      <c r="N23" s="75">
        <f>N22*N21</f>
        <v>1854.9999999999998</v>
      </c>
      <c r="O23" s="75">
        <f>O22*O21</f>
        <v>1854.9999999999998</v>
      </c>
      <c r="P23" s="75">
        <f>P22*P21</f>
        <v>1854.9999999999998</v>
      </c>
      <c r="Q23" s="190"/>
      <c r="R23" s="123"/>
      <c r="S23" s="56"/>
    </row>
    <row r="24" spans="1:19" ht="15" customHeight="1">
      <c r="A24" s="18" t="s">
        <v>34</v>
      </c>
      <c r="B24" s="73"/>
      <c r="C24" s="73"/>
      <c r="D24" s="73"/>
      <c r="E24" s="186"/>
      <c r="F24" s="73"/>
      <c r="G24" s="73"/>
      <c r="H24" s="73"/>
      <c r="I24" s="186"/>
      <c r="J24" s="73"/>
      <c r="K24" s="73"/>
      <c r="L24" s="73"/>
      <c r="M24" s="186"/>
      <c r="N24" s="73"/>
      <c r="O24" s="73"/>
      <c r="P24" s="73"/>
      <c r="Q24" s="186"/>
      <c r="R24" s="124"/>
      <c r="S24" s="19"/>
    </row>
    <row r="25" spans="1:19" ht="15" customHeight="1">
      <c r="A25" s="48" t="s">
        <v>59</v>
      </c>
      <c r="B25" s="125">
        <f>B17*0.05</f>
        <v>225</v>
      </c>
      <c r="C25" s="125">
        <f>C17*0.05</f>
        <v>225</v>
      </c>
      <c r="D25" s="125">
        <f>D17*0.05</f>
        <v>225</v>
      </c>
      <c r="E25" s="191"/>
      <c r="F25" s="125">
        <f>F17*0.05</f>
        <v>265</v>
      </c>
      <c r="G25" s="125">
        <f>G17*0.05</f>
        <v>265</v>
      </c>
      <c r="H25" s="125">
        <f>H17*0.05</f>
        <v>265</v>
      </c>
      <c r="I25" s="191"/>
      <c r="J25" s="125">
        <f>J17*0.05</f>
        <v>265</v>
      </c>
      <c r="K25" s="125">
        <f>K17*0.05</f>
        <v>265</v>
      </c>
      <c r="L25" s="125">
        <f>L17*0.05</f>
        <v>265</v>
      </c>
      <c r="M25" s="191"/>
      <c r="N25" s="125">
        <f>N17*0.05</f>
        <v>265</v>
      </c>
      <c r="O25" s="125">
        <f>O17*0.05</f>
        <v>265</v>
      </c>
      <c r="P25" s="125">
        <f>P17*0.05</f>
        <v>265</v>
      </c>
      <c r="Q25" s="191"/>
      <c r="R25" s="122"/>
      <c r="S25" s="19"/>
    </row>
    <row r="26" spans="1:19" ht="15" customHeight="1">
      <c r="A26" s="38" t="s">
        <v>62</v>
      </c>
      <c r="B26" s="76">
        <v>1</v>
      </c>
      <c r="C26" s="76">
        <v>1</v>
      </c>
      <c r="D26" s="76">
        <v>1</v>
      </c>
      <c r="E26" s="187"/>
      <c r="F26" s="76">
        <v>1</v>
      </c>
      <c r="G26" s="76">
        <v>1</v>
      </c>
      <c r="H26" s="76">
        <v>1</v>
      </c>
      <c r="I26" s="187"/>
      <c r="J26" s="76">
        <v>1</v>
      </c>
      <c r="K26" s="76">
        <v>1</v>
      </c>
      <c r="L26" s="76">
        <v>1</v>
      </c>
      <c r="M26" s="187"/>
      <c r="N26" s="76">
        <v>1</v>
      </c>
      <c r="O26" s="76">
        <v>1</v>
      </c>
      <c r="P26" s="76">
        <v>1</v>
      </c>
      <c r="Q26" s="187"/>
      <c r="R26" s="119"/>
      <c r="S26" s="19"/>
    </row>
    <row r="27" spans="1:19" s="20" customFormat="1" ht="15" customHeight="1">
      <c r="A27" s="61" t="s">
        <v>63</v>
      </c>
      <c r="B27" s="75">
        <f>B26*B25</f>
        <v>225</v>
      </c>
      <c r="C27" s="75">
        <f>C26*C25</f>
        <v>225</v>
      </c>
      <c r="D27" s="75">
        <f>D26*D25</f>
        <v>225</v>
      </c>
      <c r="E27" s="190"/>
      <c r="F27" s="75">
        <f>F26*F25</f>
        <v>265</v>
      </c>
      <c r="G27" s="75">
        <f>G26*G25</f>
        <v>265</v>
      </c>
      <c r="H27" s="75">
        <f>H26*H25</f>
        <v>265</v>
      </c>
      <c r="I27" s="190"/>
      <c r="J27" s="75">
        <f>J26*J25</f>
        <v>265</v>
      </c>
      <c r="K27" s="75">
        <f>K26*K25</f>
        <v>265</v>
      </c>
      <c r="L27" s="75">
        <f>L26*L25</f>
        <v>265</v>
      </c>
      <c r="M27" s="190"/>
      <c r="N27" s="75">
        <f>N26*N25</f>
        <v>265</v>
      </c>
      <c r="O27" s="75">
        <f>O26*O25</f>
        <v>265</v>
      </c>
      <c r="P27" s="75">
        <f>P26*P25</f>
        <v>265</v>
      </c>
      <c r="Q27" s="190"/>
      <c r="R27" s="126"/>
      <c r="S27" s="13"/>
    </row>
    <row r="28" spans="1:19" s="41" customFormat="1" ht="15" customHeight="1">
      <c r="A28" s="51" t="s">
        <v>67</v>
      </c>
      <c r="B28" s="78">
        <f>B23+B27</f>
        <v>1800</v>
      </c>
      <c r="C28" s="78">
        <f>C23+C27</f>
        <v>1800</v>
      </c>
      <c r="D28" s="78">
        <f>D23+D27</f>
        <v>1800</v>
      </c>
      <c r="E28" s="192"/>
      <c r="F28" s="78">
        <f>F23+F27</f>
        <v>2120</v>
      </c>
      <c r="G28" s="78">
        <f>G23+G27</f>
        <v>2120</v>
      </c>
      <c r="H28" s="78">
        <f>H23+H27</f>
        <v>2120</v>
      </c>
      <c r="I28" s="192"/>
      <c r="J28" s="78">
        <f>J23+J27</f>
        <v>2120</v>
      </c>
      <c r="K28" s="78">
        <f>K23+K27</f>
        <v>2120</v>
      </c>
      <c r="L28" s="78">
        <f>L23+L27</f>
        <v>2120</v>
      </c>
      <c r="M28" s="192"/>
      <c r="N28" s="78">
        <f>N23+N27</f>
        <v>2120</v>
      </c>
      <c r="O28" s="78">
        <f>O23+O27</f>
        <v>2120</v>
      </c>
      <c r="P28" s="78">
        <f>P23+P27</f>
        <v>2120</v>
      </c>
      <c r="Q28" s="192"/>
      <c r="R28" s="127"/>
      <c r="S28" s="15"/>
    </row>
    <row r="29" spans="1:19" s="11" customFormat="1" ht="15" customHeight="1">
      <c r="A29" s="118" t="s">
        <v>123</v>
      </c>
      <c r="B29" s="720">
        <f>D5</f>
        <v>146000</v>
      </c>
      <c r="C29" s="721"/>
      <c r="D29" s="721"/>
      <c r="E29" s="719"/>
      <c r="F29" s="720">
        <f>H5</f>
        <v>155000</v>
      </c>
      <c r="G29" s="721"/>
      <c r="H29" s="721"/>
      <c r="I29" s="719"/>
      <c r="J29" s="720">
        <f>L5</f>
        <v>150000</v>
      </c>
      <c r="K29" s="721"/>
      <c r="L29" s="721"/>
      <c r="M29" s="719"/>
      <c r="N29" s="720">
        <f>P5</f>
        <v>150000</v>
      </c>
      <c r="O29" s="721"/>
      <c r="P29" s="721"/>
      <c r="Q29" s="719"/>
      <c r="R29" s="122"/>
      <c r="S29" s="32"/>
    </row>
    <row r="30" spans="1:19" s="11" customFormat="1" ht="15" customHeight="1">
      <c r="A30" s="120" t="s">
        <v>69</v>
      </c>
      <c r="B30" s="720">
        <f>D7</f>
        <v>161816.6367</v>
      </c>
      <c r="C30" s="721"/>
      <c r="D30" s="721"/>
      <c r="E30" s="719"/>
      <c r="F30" s="720">
        <f>H7</f>
        <v>155769.92970000001</v>
      </c>
      <c r="G30" s="721"/>
      <c r="H30" s="721"/>
      <c r="I30" s="719"/>
      <c r="J30" s="720">
        <f>L7</f>
        <v>153169.51490000001</v>
      </c>
      <c r="K30" s="721"/>
      <c r="L30" s="721"/>
      <c r="M30" s="719"/>
      <c r="N30" s="720">
        <f>P7</f>
        <v>178290.75440000001</v>
      </c>
      <c r="O30" s="721"/>
      <c r="P30" s="721"/>
      <c r="Q30" s="719"/>
      <c r="R30" s="122"/>
      <c r="S30" s="32"/>
    </row>
    <row r="31" spans="1:19" s="63" customFormat="1" ht="15" customHeight="1">
      <c r="A31" s="120" t="s">
        <v>68</v>
      </c>
      <c r="B31" s="722">
        <f>B30/B29</f>
        <v>1.1083331280821918</v>
      </c>
      <c r="C31" s="723"/>
      <c r="D31" s="723"/>
      <c r="E31" s="719"/>
      <c r="F31" s="722">
        <f>F30/F29</f>
        <v>1.0049672883870968</v>
      </c>
      <c r="G31" s="723"/>
      <c r="H31" s="723"/>
      <c r="I31" s="719"/>
      <c r="J31" s="722">
        <f>J30/J29</f>
        <v>1.0211300993333334</v>
      </c>
      <c r="K31" s="723"/>
      <c r="L31" s="723"/>
      <c r="M31" s="719"/>
      <c r="N31" s="722">
        <f>N30/N29</f>
        <v>1.1886050293333335</v>
      </c>
      <c r="O31" s="723"/>
      <c r="P31" s="723"/>
      <c r="Q31" s="719"/>
      <c r="R31" s="128"/>
      <c r="S31" s="43"/>
    </row>
    <row r="32" spans="1:19" s="17" customFormat="1" ht="15" customHeight="1">
      <c r="A32" s="120" t="s">
        <v>65</v>
      </c>
      <c r="B32" s="724">
        <f>D17</f>
        <v>4500</v>
      </c>
      <c r="C32" s="725"/>
      <c r="D32" s="725"/>
      <c r="E32" s="719"/>
      <c r="F32" s="724">
        <f>H17</f>
        <v>5300</v>
      </c>
      <c r="G32" s="725"/>
      <c r="H32" s="725"/>
      <c r="I32" s="719"/>
      <c r="J32" s="724">
        <f>L17</f>
        <v>5300</v>
      </c>
      <c r="K32" s="725"/>
      <c r="L32" s="725"/>
      <c r="M32" s="719"/>
      <c r="N32" s="724">
        <f>P17</f>
        <v>5300</v>
      </c>
      <c r="O32" s="725"/>
      <c r="P32" s="725"/>
      <c r="Q32" s="719"/>
      <c r="R32" s="122"/>
      <c r="S32" s="32"/>
    </row>
    <row r="33" spans="1:19" s="13" customFormat="1" ht="15" customHeight="1">
      <c r="A33" s="82" t="s">
        <v>66</v>
      </c>
      <c r="B33" s="724">
        <f>IF(B31&lt;100%,0,IF(B31&lt;105%,0.5,IF(B31&lt;110%,0.7,1)))</f>
        <v>1</v>
      </c>
      <c r="C33" s="725"/>
      <c r="D33" s="725"/>
      <c r="E33" s="719"/>
      <c r="F33" s="724">
        <f>IF(F31&lt;100%,0,IF(F31&lt;105%,0.5,IF(F31&lt;110%,0.7,1)))</f>
        <v>0.5</v>
      </c>
      <c r="G33" s="725"/>
      <c r="H33" s="725"/>
      <c r="I33" s="719"/>
      <c r="J33" s="724">
        <f>IF(J31&lt;100%,0,IF(J31&lt;105%,0.5,IF(J31&lt;110%,0.7,1)))</f>
        <v>0.5</v>
      </c>
      <c r="K33" s="725"/>
      <c r="L33" s="725"/>
      <c r="M33" s="719"/>
      <c r="N33" s="724">
        <f>IF(N31&lt;100%,0,IF(N31&lt;105%,0.5,IF(N31&lt;110%,0.7,1)))</f>
        <v>1</v>
      </c>
      <c r="O33" s="725"/>
      <c r="P33" s="725"/>
      <c r="Q33" s="719"/>
      <c r="R33" s="129"/>
      <c r="S33" s="32"/>
    </row>
    <row r="34" spans="1:19" s="57" customFormat="1" ht="15" customHeight="1">
      <c r="A34" s="51" t="s">
        <v>64</v>
      </c>
      <c r="B34" s="726">
        <f>B33*B32</f>
        <v>4500</v>
      </c>
      <c r="C34" s="727"/>
      <c r="D34" s="727"/>
      <c r="E34" s="719"/>
      <c r="F34" s="726">
        <f>F33*F32</f>
        <v>2650</v>
      </c>
      <c r="G34" s="727"/>
      <c r="H34" s="727"/>
      <c r="I34" s="719"/>
      <c r="J34" s="726">
        <f>J33*J32</f>
        <v>2650</v>
      </c>
      <c r="K34" s="727"/>
      <c r="L34" s="727"/>
      <c r="M34" s="719"/>
      <c r="N34" s="726">
        <f>N33*N32</f>
        <v>5300</v>
      </c>
      <c r="O34" s="727"/>
      <c r="P34" s="727"/>
      <c r="Q34" s="719"/>
      <c r="R34" s="130"/>
    </row>
    <row r="35" spans="1:19" s="57" customFormat="1" ht="15" customHeight="1" thickBot="1">
      <c r="A35" s="131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3"/>
    </row>
    <row r="36" spans="1:19" ht="13.8" thickBot="1">
      <c r="A36" s="385" t="s">
        <v>94</v>
      </c>
      <c r="B36" s="386" t="s">
        <v>1</v>
      </c>
      <c r="C36" s="386" t="s">
        <v>2</v>
      </c>
      <c r="D36" s="386" t="s">
        <v>3</v>
      </c>
      <c r="E36" s="334" t="s">
        <v>96</v>
      </c>
      <c r="F36" s="386" t="s">
        <v>4</v>
      </c>
      <c r="G36" s="386" t="s">
        <v>5</v>
      </c>
      <c r="H36" s="363" t="s">
        <v>6</v>
      </c>
      <c r="I36" s="334" t="s">
        <v>96</v>
      </c>
      <c r="J36" s="386" t="s">
        <v>7</v>
      </c>
      <c r="K36" s="386" t="s">
        <v>8</v>
      </c>
      <c r="L36" s="386" t="s">
        <v>9</v>
      </c>
      <c r="M36" s="334" t="s">
        <v>96</v>
      </c>
      <c r="N36" s="386" t="s">
        <v>95</v>
      </c>
      <c r="O36" s="386" t="s">
        <v>11</v>
      </c>
      <c r="P36" s="386" t="s">
        <v>12</v>
      </c>
      <c r="Q36" s="334" t="s">
        <v>96</v>
      </c>
      <c r="R36" s="334" t="s">
        <v>96</v>
      </c>
    </row>
    <row r="37" spans="1:19" ht="13.8" thickTop="1">
      <c r="A37" s="387" t="s">
        <v>97</v>
      </c>
      <c r="B37" s="151">
        <v>1</v>
      </c>
      <c r="C37" s="151">
        <v>4</v>
      </c>
      <c r="D37" s="151">
        <v>3</v>
      </c>
      <c r="E37" s="335">
        <f>SUM(B37:D37)</f>
        <v>8</v>
      </c>
      <c r="F37" s="151">
        <v>1</v>
      </c>
      <c r="G37" s="151">
        <v>1</v>
      </c>
      <c r="H37" s="151">
        <v>1</v>
      </c>
      <c r="I37" s="335">
        <f>SUM(F37:H37)</f>
        <v>3</v>
      </c>
      <c r="J37" s="665">
        <v>3</v>
      </c>
      <c r="K37" s="665">
        <v>2</v>
      </c>
      <c r="L37" s="151">
        <v>2</v>
      </c>
      <c r="M37" s="335">
        <f>SUM(J37:L37)</f>
        <v>7</v>
      </c>
      <c r="N37" s="151">
        <v>4</v>
      </c>
      <c r="O37" s="151">
        <v>2</v>
      </c>
      <c r="P37" s="151">
        <v>0</v>
      </c>
      <c r="Q37" s="335">
        <f>SUM(N37:P37)</f>
        <v>6</v>
      </c>
      <c r="R37" s="335">
        <f>I37+M37+Q37+E37</f>
        <v>24</v>
      </c>
      <c r="S37" s="64"/>
    </row>
    <row r="38" spans="1:19">
      <c r="A38" s="388" t="s">
        <v>98</v>
      </c>
      <c r="B38" s="152">
        <v>414</v>
      </c>
      <c r="C38" s="152">
        <v>420</v>
      </c>
      <c r="D38" s="152">
        <v>428</v>
      </c>
      <c r="E38" s="196"/>
      <c r="F38" s="152">
        <v>435</v>
      </c>
      <c r="G38" s="152">
        <v>440</v>
      </c>
      <c r="H38" s="152">
        <v>445</v>
      </c>
      <c r="I38" s="196"/>
      <c r="J38" s="664">
        <v>452</v>
      </c>
      <c r="K38" s="664">
        <v>457</v>
      </c>
      <c r="L38" s="152">
        <v>461</v>
      </c>
      <c r="M38" s="196"/>
      <c r="N38" s="152">
        <v>464</v>
      </c>
      <c r="O38" s="152">
        <v>470</v>
      </c>
      <c r="P38" s="152">
        <v>475</v>
      </c>
      <c r="Q38" s="196"/>
      <c r="R38" s="196"/>
      <c r="S38" s="64"/>
    </row>
    <row r="39" spans="1:19">
      <c r="A39" s="388" t="s">
        <v>99</v>
      </c>
      <c r="B39" s="152">
        <v>5</v>
      </c>
      <c r="C39" s="152">
        <v>5</v>
      </c>
      <c r="D39" s="152">
        <v>2</v>
      </c>
      <c r="E39" s="196"/>
      <c r="F39" s="152">
        <v>7</v>
      </c>
      <c r="G39" s="152">
        <v>4</v>
      </c>
      <c r="H39" s="152">
        <v>3</v>
      </c>
      <c r="I39" s="196"/>
      <c r="J39" s="664">
        <v>2</v>
      </c>
      <c r="K39" s="664">
        <v>2</v>
      </c>
      <c r="L39" s="152">
        <v>3</v>
      </c>
      <c r="M39" s="196"/>
      <c r="N39" s="152">
        <v>3</v>
      </c>
      <c r="O39" s="152">
        <v>3</v>
      </c>
      <c r="P39" s="152">
        <v>4</v>
      </c>
      <c r="Q39" s="196"/>
      <c r="R39" s="196"/>
      <c r="S39" s="64"/>
    </row>
    <row r="40" spans="1:19">
      <c r="A40" s="388" t="s">
        <v>133</v>
      </c>
      <c r="B40" s="152">
        <v>796</v>
      </c>
      <c r="C40" s="152">
        <v>796</v>
      </c>
      <c r="D40" s="152">
        <v>794</v>
      </c>
      <c r="E40" s="196"/>
      <c r="F40" s="152">
        <v>904</v>
      </c>
      <c r="G40" s="152">
        <v>901</v>
      </c>
      <c r="H40" s="152">
        <v>898</v>
      </c>
      <c r="I40" s="196"/>
      <c r="J40" s="664">
        <v>893</v>
      </c>
      <c r="K40" s="664">
        <v>889</v>
      </c>
      <c r="L40" s="152">
        <v>887</v>
      </c>
      <c r="M40" s="196"/>
      <c r="N40" s="152">
        <v>886</v>
      </c>
      <c r="O40" s="152">
        <v>882</v>
      </c>
      <c r="P40" s="152">
        <v>880</v>
      </c>
      <c r="Q40" s="196"/>
      <c r="R40" s="196"/>
      <c r="S40" s="64"/>
    </row>
    <row r="41" spans="1:19">
      <c r="A41" s="388" t="s">
        <v>100</v>
      </c>
      <c r="B41" s="389">
        <f>SUM(B38:B40)</f>
        <v>1215</v>
      </c>
      <c r="C41" s="389">
        <f t="shared" ref="C41:D41" si="8">SUM(C38:C40)</f>
        <v>1221</v>
      </c>
      <c r="D41" s="389">
        <f t="shared" si="8"/>
        <v>1224</v>
      </c>
      <c r="E41" s="197"/>
      <c r="F41" s="389">
        <f t="shared" ref="F41:G41" si="9">SUM(F38:F40)</f>
        <v>1346</v>
      </c>
      <c r="G41" s="389">
        <f t="shared" si="9"/>
        <v>1345</v>
      </c>
      <c r="H41" s="389">
        <f t="shared" ref="H41" si="10">SUM(H38:H40)</f>
        <v>1346</v>
      </c>
      <c r="I41" s="197"/>
      <c r="J41" s="672">
        <v>1347</v>
      </c>
      <c r="K41" s="672">
        <v>1348</v>
      </c>
      <c r="L41" s="389">
        <f t="shared" ref="L41" si="11">SUM(L38:L40)</f>
        <v>1351</v>
      </c>
      <c r="M41" s="197"/>
      <c r="N41" s="389">
        <f t="shared" ref="N41" si="12">SUM(N38:N40)</f>
        <v>1353</v>
      </c>
      <c r="O41" s="389">
        <f t="shared" ref="O41" si="13">SUM(O38:O40)</f>
        <v>1355</v>
      </c>
      <c r="P41" s="389">
        <f t="shared" ref="P41" si="14">SUM(P38:P40)</f>
        <v>1359</v>
      </c>
      <c r="Q41" s="197"/>
      <c r="R41" s="197"/>
      <c r="S41" s="64"/>
    </row>
    <row r="42" spans="1:19" ht="13.8" thickBot="1">
      <c r="A42" s="390" t="s">
        <v>101</v>
      </c>
      <c r="B42" s="153">
        <v>4</v>
      </c>
      <c r="C42" s="153">
        <v>4</v>
      </c>
      <c r="D42" s="153">
        <v>2</v>
      </c>
      <c r="E42" s="335">
        <f t="shared" ref="E42:E43" si="15">SUM(B42:D42)</f>
        <v>10</v>
      </c>
      <c r="F42" s="153">
        <v>1</v>
      </c>
      <c r="G42" s="153">
        <v>2</v>
      </c>
      <c r="H42" s="153">
        <v>5</v>
      </c>
      <c r="I42" s="335">
        <f t="shared" ref="I42:I43" si="16">SUM(F42:H42)</f>
        <v>8</v>
      </c>
      <c r="J42" s="666">
        <v>2</v>
      </c>
      <c r="K42" s="666">
        <v>3</v>
      </c>
      <c r="L42" s="153">
        <v>2</v>
      </c>
      <c r="M42" s="335">
        <f>SUM(J42:L42)</f>
        <v>7</v>
      </c>
      <c r="N42" s="153">
        <v>3</v>
      </c>
      <c r="O42" s="153">
        <v>2</v>
      </c>
      <c r="P42" s="153">
        <v>1</v>
      </c>
      <c r="Q42" s="335">
        <f t="shared" ref="Q42:Q43" si="17">SUM(N42:P42)</f>
        <v>6</v>
      </c>
      <c r="R42" s="335">
        <f>I42+M42+Q42+E42</f>
        <v>31</v>
      </c>
      <c r="S42" s="64"/>
    </row>
    <row r="43" spans="1:19" ht="13.8" thickTop="1">
      <c r="A43" s="391" t="s">
        <v>134</v>
      </c>
      <c r="B43" s="154">
        <v>19</v>
      </c>
      <c r="C43" s="154">
        <v>37</v>
      </c>
      <c r="D43" s="154">
        <v>29</v>
      </c>
      <c r="E43" s="335">
        <f t="shared" si="15"/>
        <v>85</v>
      </c>
      <c r="F43" s="154">
        <v>17</v>
      </c>
      <c r="G43" s="154">
        <v>18</v>
      </c>
      <c r="H43" s="154">
        <v>17</v>
      </c>
      <c r="I43" s="335">
        <f t="shared" si="16"/>
        <v>52</v>
      </c>
      <c r="J43" s="667">
        <v>21</v>
      </c>
      <c r="K43" s="667">
        <v>22</v>
      </c>
      <c r="L43" s="154">
        <v>17</v>
      </c>
      <c r="M43" s="335">
        <f>SUM(J43:L43)</f>
        <v>60</v>
      </c>
      <c r="N43" s="154">
        <v>16</v>
      </c>
      <c r="O43" s="154">
        <v>13</v>
      </c>
      <c r="P43" s="154">
        <v>15</v>
      </c>
      <c r="Q43" s="335">
        <f t="shared" si="17"/>
        <v>44</v>
      </c>
      <c r="R43" s="335">
        <f>I43+M43+Q43+E43</f>
        <v>241</v>
      </c>
      <c r="S43" s="64"/>
    </row>
    <row r="44" spans="1:19">
      <c r="A44" s="388" t="s">
        <v>102</v>
      </c>
      <c r="B44" s="152">
        <v>3</v>
      </c>
      <c r="C44" s="152">
        <v>5</v>
      </c>
      <c r="D44" s="152">
        <v>1</v>
      </c>
      <c r="E44" s="198"/>
      <c r="F44" s="152">
        <v>3</v>
      </c>
      <c r="G44" s="152">
        <v>1</v>
      </c>
      <c r="H44" s="152">
        <v>2</v>
      </c>
      <c r="I44" s="198"/>
      <c r="J44" s="664">
        <v>1</v>
      </c>
      <c r="K44" s="664">
        <v>1</v>
      </c>
      <c r="L44" s="152">
        <v>5</v>
      </c>
      <c r="M44" s="198"/>
      <c r="N44" s="152">
        <v>1</v>
      </c>
      <c r="O44" s="152">
        <v>1</v>
      </c>
      <c r="P44" s="152">
        <v>3</v>
      </c>
      <c r="Q44" s="198"/>
      <c r="R44" s="198"/>
      <c r="S44" s="64"/>
    </row>
    <row r="45" spans="1:19">
      <c r="A45" s="388" t="s">
        <v>103</v>
      </c>
      <c r="B45" s="152">
        <v>7</v>
      </c>
      <c r="C45" s="152">
        <v>17</v>
      </c>
      <c r="D45" s="152">
        <v>19</v>
      </c>
      <c r="E45" s="335">
        <f t="shared" ref="E45:E49" si="18">SUM(B45:D45)</f>
        <v>43</v>
      </c>
      <c r="F45" s="152">
        <v>7</v>
      </c>
      <c r="G45" s="152">
        <v>12</v>
      </c>
      <c r="H45" s="152">
        <v>12</v>
      </c>
      <c r="I45" s="335">
        <f t="shared" ref="I45:I49" si="19">SUM(F45:H45)</f>
        <v>31</v>
      </c>
      <c r="J45" s="664">
        <v>14</v>
      </c>
      <c r="K45" s="664">
        <v>19</v>
      </c>
      <c r="L45" s="152">
        <v>8</v>
      </c>
      <c r="M45" s="335">
        <f>SUM(J45:L45)</f>
        <v>41</v>
      </c>
      <c r="N45" s="152">
        <v>8</v>
      </c>
      <c r="O45" s="152">
        <v>9</v>
      </c>
      <c r="P45" s="152">
        <v>6</v>
      </c>
      <c r="Q45" s="335">
        <f t="shared" ref="Q45:Q49" si="20">SUM(N45:P45)</f>
        <v>23</v>
      </c>
      <c r="R45" s="335">
        <f>I45+M45+Q45+E45</f>
        <v>138</v>
      </c>
      <c r="S45" s="64"/>
    </row>
    <row r="46" spans="1:19" ht="13.8" thickBot="1">
      <c r="A46" s="392" t="s">
        <v>104</v>
      </c>
      <c r="B46" s="155">
        <v>11</v>
      </c>
      <c r="C46" s="155">
        <v>18</v>
      </c>
      <c r="D46" s="155">
        <v>14</v>
      </c>
      <c r="E46" s="335">
        <f t="shared" si="18"/>
        <v>43</v>
      </c>
      <c r="F46" s="155">
        <v>8</v>
      </c>
      <c r="G46" s="155">
        <v>8</v>
      </c>
      <c r="H46" s="155">
        <v>4</v>
      </c>
      <c r="I46" s="335">
        <f t="shared" si="19"/>
        <v>20</v>
      </c>
      <c r="J46" s="668">
        <v>8</v>
      </c>
      <c r="K46" s="668">
        <v>3</v>
      </c>
      <c r="L46" s="155">
        <v>5</v>
      </c>
      <c r="M46" s="335">
        <f>SUM(J46:L46)</f>
        <v>16</v>
      </c>
      <c r="N46" s="155">
        <v>10</v>
      </c>
      <c r="O46" s="155">
        <v>7</v>
      </c>
      <c r="P46" s="155">
        <v>6</v>
      </c>
      <c r="Q46" s="335">
        <f t="shared" si="20"/>
        <v>23</v>
      </c>
      <c r="R46" s="335">
        <f>I46+M46+Q46+E46</f>
        <v>102</v>
      </c>
      <c r="S46" s="64"/>
    </row>
    <row r="47" spans="1:19" ht="13.8" thickTop="1">
      <c r="A47" s="387" t="s">
        <v>184</v>
      </c>
      <c r="B47" s="151">
        <v>10</v>
      </c>
      <c r="C47" s="151">
        <v>10</v>
      </c>
      <c r="D47" s="151">
        <v>6</v>
      </c>
      <c r="E47" s="335">
        <f t="shared" si="18"/>
        <v>26</v>
      </c>
      <c r="F47" s="151">
        <v>7</v>
      </c>
      <c r="G47" s="151">
        <v>6</v>
      </c>
      <c r="H47" s="151">
        <v>3</v>
      </c>
      <c r="I47" s="335">
        <f t="shared" si="19"/>
        <v>16</v>
      </c>
      <c r="J47" s="665">
        <v>8</v>
      </c>
      <c r="K47" s="665">
        <v>3</v>
      </c>
      <c r="L47" s="151">
        <v>6</v>
      </c>
      <c r="M47" s="335">
        <f>SUM(J47:L47)</f>
        <v>17</v>
      </c>
      <c r="N47" s="151">
        <v>12</v>
      </c>
      <c r="O47" s="151">
        <v>3</v>
      </c>
      <c r="P47" s="151">
        <v>8</v>
      </c>
      <c r="Q47" s="335">
        <f t="shared" si="20"/>
        <v>23</v>
      </c>
      <c r="R47" s="335">
        <f>I47+M47+Q47+E47</f>
        <v>82</v>
      </c>
      <c r="S47" s="64"/>
    </row>
    <row r="48" spans="1:19" ht="13.8" thickBot="1">
      <c r="A48" s="390" t="s">
        <v>105</v>
      </c>
      <c r="B48" s="153">
        <v>0</v>
      </c>
      <c r="C48" s="153">
        <v>0</v>
      </c>
      <c r="D48" s="153">
        <v>0</v>
      </c>
      <c r="E48" s="335">
        <f t="shared" si="18"/>
        <v>0</v>
      </c>
      <c r="F48" s="153">
        <v>0</v>
      </c>
      <c r="G48" s="153">
        <v>0</v>
      </c>
      <c r="H48" s="153">
        <v>0</v>
      </c>
      <c r="I48" s="335">
        <f t="shared" si="19"/>
        <v>0</v>
      </c>
      <c r="J48" s="666">
        <v>0</v>
      </c>
      <c r="K48" s="666">
        <v>0</v>
      </c>
      <c r="L48" s="153">
        <v>0</v>
      </c>
      <c r="M48" s="335">
        <f>SUM(J48:L48)</f>
        <v>0</v>
      </c>
      <c r="N48" s="153">
        <v>0</v>
      </c>
      <c r="O48" s="153">
        <v>0</v>
      </c>
      <c r="P48" s="153">
        <v>0</v>
      </c>
      <c r="Q48" s="335">
        <f t="shared" si="20"/>
        <v>0</v>
      </c>
      <c r="R48" s="335">
        <f>I48+M48+Q48+E48</f>
        <v>0</v>
      </c>
      <c r="S48" s="64"/>
    </row>
    <row r="49" spans="1:19" ht="14.4" thickTop="1" thickBot="1">
      <c r="A49" s="390" t="s">
        <v>106</v>
      </c>
      <c r="B49" s="153">
        <v>0</v>
      </c>
      <c r="C49" s="153">
        <v>0</v>
      </c>
      <c r="D49" s="153">
        <v>0</v>
      </c>
      <c r="E49" s="335">
        <f t="shared" si="18"/>
        <v>0</v>
      </c>
      <c r="F49" s="153">
        <v>0</v>
      </c>
      <c r="G49" s="153">
        <v>0</v>
      </c>
      <c r="H49" s="153">
        <v>0</v>
      </c>
      <c r="I49" s="335">
        <f t="shared" si="19"/>
        <v>0</v>
      </c>
      <c r="J49" s="666">
        <v>0</v>
      </c>
      <c r="K49" s="666">
        <v>0</v>
      </c>
      <c r="L49" s="153">
        <v>0</v>
      </c>
      <c r="M49" s="335">
        <f>SUM(J49:L49)</f>
        <v>0</v>
      </c>
      <c r="N49" s="153">
        <v>0</v>
      </c>
      <c r="O49" s="153">
        <v>0</v>
      </c>
      <c r="P49" s="153">
        <v>0</v>
      </c>
      <c r="Q49" s="335">
        <f t="shared" si="20"/>
        <v>0</v>
      </c>
      <c r="R49" s="335">
        <f>I49+M49+Q49+E49</f>
        <v>0</v>
      </c>
      <c r="S49" s="64"/>
    </row>
    <row r="50" spans="1:19" ht="13.8" thickTop="1">
      <c r="A50" s="393" t="s">
        <v>107</v>
      </c>
      <c r="B50" s="158">
        <v>8</v>
      </c>
      <c r="C50" s="158">
        <v>8</v>
      </c>
      <c r="D50" s="158">
        <v>2</v>
      </c>
      <c r="E50" s="150"/>
      <c r="F50" s="158">
        <v>10</v>
      </c>
      <c r="G50" s="158">
        <v>5</v>
      </c>
      <c r="H50" s="158">
        <v>4</v>
      </c>
      <c r="I50" s="150"/>
      <c r="J50" s="669">
        <v>3</v>
      </c>
      <c r="K50" s="669">
        <v>3</v>
      </c>
      <c r="L50" s="194">
        <v>4</v>
      </c>
      <c r="M50" s="150"/>
      <c r="N50" s="158">
        <v>3</v>
      </c>
      <c r="O50" s="158">
        <v>1</v>
      </c>
      <c r="P50" s="158">
        <v>3</v>
      </c>
      <c r="Q50" s="150"/>
      <c r="R50" s="150"/>
      <c r="S50" s="64"/>
    </row>
    <row r="51" spans="1:19">
      <c r="A51" s="394" t="s">
        <v>108</v>
      </c>
      <c r="B51" s="159">
        <v>13</v>
      </c>
      <c r="C51" s="159">
        <v>15</v>
      </c>
      <c r="D51" s="159">
        <v>6</v>
      </c>
      <c r="E51" s="335">
        <f t="shared" ref="E51:E53" si="21">SUM(B51:D51)</f>
        <v>34</v>
      </c>
      <c r="F51" s="159">
        <v>15</v>
      </c>
      <c r="G51" s="159">
        <v>8</v>
      </c>
      <c r="H51" s="159">
        <v>5</v>
      </c>
      <c r="I51" s="335">
        <f t="shared" ref="I51:I53" si="22">SUM(F51:H51)</f>
        <v>28</v>
      </c>
      <c r="J51" s="670">
        <v>9</v>
      </c>
      <c r="K51" s="670">
        <v>4</v>
      </c>
      <c r="L51" s="195">
        <v>10</v>
      </c>
      <c r="M51" s="335">
        <f t="shared" ref="M51:M53" si="23">SUM(J51:L51)</f>
        <v>23</v>
      </c>
      <c r="N51" s="159">
        <v>8</v>
      </c>
      <c r="O51" s="159">
        <v>4</v>
      </c>
      <c r="P51" s="159">
        <v>7</v>
      </c>
      <c r="Q51" s="335">
        <f t="shared" ref="Q51:Q53" si="24">SUM(N51:P51)</f>
        <v>19</v>
      </c>
      <c r="R51" s="335">
        <f>I51+M51+Q51+E51</f>
        <v>104</v>
      </c>
      <c r="S51" s="64"/>
    </row>
    <row r="52" spans="1:19">
      <c r="A52" s="394" t="s">
        <v>109</v>
      </c>
      <c r="B52" s="159">
        <v>0</v>
      </c>
      <c r="C52" s="159">
        <v>4</v>
      </c>
      <c r="D52" s="159">
        <v>4</v>
      </c>
      <c r="E52" s="335">
        <f t="shared" si="21"/>
        <v>8</v>
      </c>
      <c r="F52" s="159">
        <v>5</v>
      </c>
      <c r="G52" s="159">
        <v>3</v>
      </c>
      <c r="H52" s="159">
        <v>0</v>
      </c>
      <c r="I52" s="335">
        <f t="shared" si="22"/>
        <v>8</v>
      </c>
      <c r="J52" s="670">
        <v>3</v>
      </c>
      <c r="K52" s="670">
        <v>2</v>
      </c>
      <c r="L52" s="195">
        <v>4</v>
      </c>
      <c r="M52" s="335">
        <f t="shared" si="23"/>
        <v>9</v>
      </c>
      <c r="N52" s="159">
        <v>1</v>
      </c>
      <c r="O52" s="379">
        <v>6</v>
      </c>
      <c r="P52" s="381">
        <v>0</v>
      </c>
      <c r="Q52" s="335">
        <f t="shared" si="24"/>
        <v>7</v>
      </c>
      <c r="R52" s="335">
        <f>I52+M52+Q52+E52</f>
        <v>32</v>
      </c>
      <c r="S52" s="64"/>
    </row>
    <row r="53" spans="1:19">
      <c r="A53" s="394" t="s">
        <v>110</v>
      </c>
      <c r="B53" s="159">
        <v>15</v>
      </c>
      <c r="C53" s="159">
        <v>12</v>
      </c>
      <c r="D53" s="159">
        <v>8</v>
      </c>
      <c r="E53" s="335">
        <f t="shared" si="21"/>
        <v>35</v>
      </c>
      <c r="F53" s="159">
        <v>2</v>
      </c>
      <c r="G53" s="159">
        <v>11</v>
      </c>
      <c r="H53" s="159">
        <v>6</v>
      </c>
      <c r="I53" s="335">
        <f t="shared" si="22"/>
        <v>19</v>
      </c>
      <c r="J53" s="670">
        <v>7</v>
      </c>
      <c r="K53" s="670">
        <v>2</v>
      </c>
      <c r="L53" s="195">
        <v>5</v>
      </c>
      <c r="M53" s="335">
        <f t="shared" si="23"/>
        <v>14</v>
      </c>
      <c r="N53" s="159">
        <v>7</v>
      </c>
      <c r="O53" s="379">
        <v>1</v>
      </c>
      <c r="P53" s="381">
        <v>5</v>
      </c>
      <c r="Q53" s="335">
        <f t="shared" si="24"/>
        <v>13</v>
      </c>
      <c r="R53" s="335">
        <f>I53+M53+Q53+E53</f>
        <v>81</v>
      </c>
      <c r="S53" s="64"/>
    </row>
    <row r="54" spans="1:19" ht="13.8" thickBot="1">
      <c r="A54" s="395" t="s">
        <v>111</v>
      </c>
      <c r="B54" s="345">
        <v>1</v>
      </c>
      <c r="C54" s="345">
        <v>1</v>
      </c>
      <c r="D54" s="345">
        <v>1</v>
      </c>
      <c r="E54" s="199"/>
      <c r="F54" s="345">
        <v>1</v>
      </c>
      <c r="G54" s="345">
        <v>0</v>
      </c>
      <c r="H54" s="345">
        <v>0</v>
      </c>
      <c r="I54" s="199"/>
      <c r="J54" s="671">
        <v>0</v>
      </c>
      <c r="K54" s="671">
        <v>0</v>
      </c>
      <c r="L54" s="347">
        <v>0</v>
      </c>
      <c r="M54" s="199"/>
      <c r="N54" s="345">
        <v>0</v>
      </c>
      <c r="O54" s="380">
        <v>0</v>
      </c>
      <c r="P54" s="382">
        <v>0</v>
      </c>
      <c r="Q54" s="199"/>
      <c r="R54" s="199"/>
      <c r="S54" s="64"/>
    </row>
    <row r="55" spans="1:19" ht="13.8" thickTop="1">
      <c r="A5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156"/>
      <c r="Q55" s="64"/>
      <c r="R55" s="64"/>
    </row>
  </sheetData>
  <mergeCells count="28">
    <mergeCell ref="N32:Q32"/>
    <mergeCell ref="N33:Q33"/>
    <mergeCell ref="N34:Q34"/>
    <mergeCell ref="B33:E33"/>
    <mergeCell ref="B32:E32"/>
    <mergeCell ref="B34:E34"/>
    <mergeCell ref="J32:M32"/>
    <mergeCell ref="J33:M33"/>
    <mergeCell ref="J34:M34"/>
    <mergeCell ref="F34:I34"/>
    <mergeCell ref="F32:I32"/>
    <mergeCell ref="F33:I33"/>
    <mergeCell ref="N1:P1"/>
    <mergeCell ref="N29:Q29"/>
    <mergeCell ref="F29:I29"/>
    <mergeCell ref="J29:M29"/>
    <mergeCell ref="N31:Q31"/>
    <mergeCell ref="N30:Q30"/>
    <mergeCell ref="B1:D1"/>
    <mergeCell ref="B29:E29"/>
    <mergeCell ref="F1:H1"/>
    <mergeCell ref="J30:M30"/>
    <mergeCell ref="J31:M31"/>
    <mergeCell ref="J1:L1"/>
    <mergeCell ref="B30:E30"/>
    <mergeCell ref="B31:E31"/>
    <mergeCell ref="F30:I30"/>
    <mergeCell ref="F31:I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5"/>
  <sheetViews>
    <sheetView topLeftCell="B1" zoomScale="90" zoomScaleNormal="90" workbookViewId="0">
      <selection activeCell="P9" sqref="P9"/>
    </sheetView>
  </sheetViews>
  <sheetFormatPr defaultColWidth="9.109375" defaultRowHeight="13.2"/>
  <cols>
    <col min="1" max="1" width="39" style="134" customWidth="1"/>
    <col min="2" max="5" width="12" style="135" customWidth="1"/>
    <col min="6" max="6" width="11.44140625" style="135" customWidth="1"/>
    <col min="7" max="7" width="13" style="135" customWidth="1"/>
    <col min="8" max="8" width="15" style="135" customWidth="1"/>
    <col min="9" max="9" width="13.88671875" style="135" customWidth="1"/>
    <col min="10" max="12" width="13.109375" style="135" customWidth="1"/>
    <col min="13" max="13" width="12.33203125" style="135" customWidth="1"/>
    <col min="14" max="14" width="12.109375" style="135" customWidth="1"/>
    <col min="15" max="15" width="13" style="135" customWidth="1"/>
    <col min="16" max="17" width="12.6640625" style="135" customWidth="1"/>
    <col min="18" max="18" width="13" style="135" customWidth="1"/>
    <col min="19" max="19" width="9.109375" style="135"/>
    <col min="20" max="25" width="7.44140625" style="146" customWidth="1"/>
    <col min="26" max="27" width="9.109375" style="137"/>
    <col min="28" max="16384" width="9.109375" style="12"/>
  </cols>
  <sheetData>
    <row r="1" spans="1:27" ht="15" customHeight="1">
      <c r="A1" s="30" t="s">
        <v>70</v>
      </c>
      <c r="B1" s="717"/>
      <c r="C1" s="718"/>
      <c r="D1" s="718"/>
      <c r="E1" s="718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8"/>
      <c r="T1" s="136"/>
      <c r="U1" s="136"/>
      <c r="V1" s="136"/>
      <c r="W1" s="136"/>
      <c r="X1" s="136"/>
      <c r="Y1" s="136"/>
    </row>
    <row r="2" spans="1:27" ht="15" customHeight="1">
      <c r="A2" s="100" t="s">
        <v>0</v>
      </c>
      <c r="B2" s="175" t="s">
        <v>1</v>
      </c>
      <c r="C2" s="175" t="s">
        <v>2</v>
      </c>
      <c r="D2" s="175" t="s">
        <v>3</v>
      </c>
      <c r="E2" s="175" t="s">
        <v>113</v>
      </c>
      <c r="F2" s="175" t="s">
        <v>4</v>
      </c>
      <c r="G2" s="175" t="s">
        <v>5</v>
      </c>
      <c r="H2" s="175" t="s">
        <v>6</v>
      </c>
      <c r="I2" s="175"/>
      <c r="J2" s="175" t="s">
        <v>7</v>
      </c>
      <c r="K2" s="175" t="s">
        <v>8</v>
      </c>
      <c r="L2" s="175" t="s">
        <v>9</v>
      </c>
      <c r="M2" s="175"/>
      <c r="N2" s="175" t="s">
        <v>10</v>
      </c>
      <c r="O2" s="175" t="s">
        <v>11</v>
      </c>
      <c r="P2" s="175" t="s">
        <v>12</v>
      </c>
      <c r="Q2" s="175"/>
      <c r="R2" s="175" t="s">
        <v>13</v>
      </c>
      <c r="S2" s="138"/>
      <c r="T2" s="137"/>
      <c r="U2" s="137"/>
      <c r="V2" s="137"/>
      <c r="W2" s="137"/>
      <c r="X2" s="137"/>
      <c r="Y2" s="137"/>
    </row>
    <row r="3" spans="1:27" ht="15" customHeight="1">
      <c r="A3" s="101"/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38"/>
      <c r="T3" s="137"/>
      <c r="U3" s="137"/>
      <c r="V3" s="137"/>
      <c r="W3" s="137"/>
      <c r="X3" s="137"/>
      <c r="Y3" s="137"/>
    </row>
    <row r="4" spans="1:27" ht="15" customHeight="1">
      <c r="A4" s="102" t="s">
        <v>36</v>
      </c>
      <c r="B4" s="614">
        <f>'Target 2022'!C4</f>
        <v>26400</v>
      </c>
      <c r="C4" s="614">
        <f>'Target 2022'!D4</f>
        <v>29333.333333333332</v>
      </c>
      <c r="D4" s="614">
        <f>'Target 2022'!E4</f>
        <v>32266.666666666668</v>
      </c>
      <c r="E4" s="78">
        <f>SUM(B4:D4)</f>
        <v>88000</v>
      </c>
      <c r="F4" s="614">
        <f>'Target 2022'!F4</f>
        <v>27600</v>
      </c>
      <c r="G4" s="614">
        <f>'Target 2022'!G4</f>
        <v>30666.666666666668</v>
      </c>
      <c r="H4" s="614">
        <f>'Target 2022'!H4</f>
        <v>33733.333333333336</v>
      </c>
      <c r="I4" s="615">
        <f>SUM(F4:H4)</f>
        <v>92000</v>
      </c>
      <c r="J4" s="614">
        <f>'Target 2022'!I4</f>
        <v>22500</v>
      </c>
      <c r="K4" s="614">
        <f>'Target 2022'!J4</f>
        <v>25000</v>
      </c>
      <c r="L4" s="614">
        <f>'Target 2022'!K4</f>
        <v>27500.000000000004</v>
      </c>
      <c r="M4" s="615">
        <f>SUM(J4:L4)</f>
        <v>75000</v>
      </c>
      <c r="N4" s="614">
        <f>'Target 2022'!L4</f>
        <v>28500</v>
      </c>
      <c r="O4" s="614">
        <f>'Target 2022'!M4</f>
        <v>31500</v>
      </c>
      <c r="P4" s="614">
        <f>'Target 2022'!N4</f>
        <v>30000</v>
      </c>
      <c r="Q4" s="615">
        <f>SUM(N4:P4)</f>
        <v>90000</v>
      </c>
      <c r="R4" s="616">
        <f>B4+C4+D4+F4+G4+H4+J4+K4+L4+N4+O4+P4</f>
        <v>345000</v>
      </c>
      <c r="S4" s="138"/>
      <c r="T4" s="137"/>
      <c r="U4" s="137"/>
      <c r="V4" s="137"/>
      <c r="W4" s="137"/>
      <c r="X4" s="137"/>
      <c r="Y4" s="137"/>
    </row>
    <row r="5" spans="1:27" ht="15" customHeight="1">
      <c r="A5" s="104" t="s">
        <v>35</v>
      </c>
      <c r="B5" s="596">
        <f>B4</f>
        <v>26400</v>
      </c>
      <c r="C5" s="596">
        <f>C4+B5</f>
        <v>55733.333333333328</v>
      </c>
      <c r="D5" s="596">
        <f>D4+C5</f>
        <v>88000</v>
      </c>
      <c r="E5" s="596"/>
      <c r="F5" s="596">
        <f>F4</f>
        <v>27600</v>
      </c>
      <c r="G5" s="596">
        <f>G4+F5</f>
        <v>58266.666666666672</v>
      </c>
      <c r="H5" s="596">
        <f>H4+G5</f>
        <v>92000</v>
      </c>
      <c r="I5" s="596"/>
      <c r="J5" s="596">
        <f>J4</f>
        <v>22500</v>
      </c>
      <c r="K5" s="596">
        <f>K4+J5</f>
        <v>47500</v>
      </c>
      <c r="L5" s="596">
        <f>L4+K5</f>
        <v>75000</v>
      </c>
      <c r="M5" s="596"/>
      <c r="N5" s="596">
        <f>N4</f>
        <v>28500</v>
      </c>
      <c r="O5" s="596">
        <f>O4+N5</f>
        <v>60000</v>
      </c>
      <c r="P5" s="596">
        <f>P4+O5</f>
        <v>90000</v>
      </c>
      <c r="Q5" s="596"/>
      <c r="R5" s="617">
        <f>R6/R4</f>
        <v>0.97867276115942026</v>
      </c>
      <c r="S5" s="138"/>
      <c r="T5" s="137"/>
      <c r="U5" s="137"/>
      <c r="V5" s="137"/>
      <c r="W5" s="137"/>
      <c r="X5" s="137"/>
      <c r="Y5" s="137"/>
    </row>
    <row r="6" spans="1:27" ht="15" customHeight="1">
      <c r="A6" s="106" t="s">
        <v>37</v>
      </c>
      <c r="B6" s="204">
        <f>SUMIF(I!A:A,$A$1,I!I:I)</f>
        <v>28537.287100000001</v>
      </c>
      <c r="C6" s="203">
        <f>SUMIF(II!A:A,$A$1,II!I:I)</f>
        <v>35499.851600000002</v>
      </c>
      <c r="D6" s="203">
        <f>SUMIF(III!A:A,$A$1,III!I:I)</f>
        <v>27712.3184</v>
      </c>
      <c r="E6" s="78">
        <f>SUM(B6:D6)</f>
        <v>91749.4571</v>
      </c>
      <c r="F6" s="203">
        <f>SUMIF(IV!A:A,$A$1,IV!I:I)</f>
        <v>13825.151400000001</v>
      </c>
      <c r="G6" s="203">
        <f>SUMIF(V!A:A,$A$1,V!I:I)</f>
        <v>19608.824199999999</v>
      </c>
      <c r="H6" s="203">
        <f>SUMIF(VI!A:A,$A$1,VI!I:I)</f>
        <v>24295.291000000001</v>
      </c>
      <c r="I6" s="626">
        <f>SUM(F6:H6)</f>
        <v>57729.266600000003</v>
      </c>
      <c r="J6" s="203">
        <f>SUMIF(VII!A:A,$A$1,VII!I:I)</f>
        <v>27197.636699999999</v>
      </c>
      <c r="K6" s="203">
        <f>SUMIF(VIII!A:A,$A$1,VIII!I:I)</f>
        <v>31636.9375</v>
      </c>
      <c r="L6" s="203">
        <f>SUMIF(IX!A:A,$A$1,IX!I:I)</f>
        <v>35692.300799999997</v>
      </c>
      <c r="M6" s="203">
        <f>SUM(J6:L6)</f>
        <v>94526.875</v>
      </c>
      <c r="N6" s="203">
        <f>SUMIF(X!A:A,$A$1,X!I:I)</f>
        <v>32853.273399999998</v>
      </c>
      <c r="O6" s="203">
        <f>SUMIF(XI!A:A,$A$1,XI!I:I)</f>
        <v>25592.105500000001</v>
      </c>
      <c r="P6" s="203">
        <f>SUMIF(XII!A:A,$A$1,XII!I:I)</f>
        <v>35191.125</v>
      </c>
      <c r="Q6" s="203">
        <f>SUM(N6:P6)</f>
        <v>93636.503899999996</v>
      </c>
      <c r="R6" s="618">
        <f>B6+C6+D6+F6+G6+H6+J6+K6+L6+N6+O6+P6</f>
        <v>337642.10259999998</v>
      </c>
      <c r="S6" s="138"/>
      <c r="T6" s="137"/>
      <c r="U6" s="137"/>
      <c r="V6" s="137"/>
      <c r="W6" s="137"/>
      <c r="X6" s="137"/>
      <c r="Y6" s="137"/>
    </row>
    <row r="7" spans="1:27" ht="15" customHeight="1">
      <c r="A7" s="104" t="s">
        <v>38</v>
      </c>
      <c r="B7" s="596">
        <f>B6</f>
        <v>28537.287100000001</v>
      </c>
      <c r="C7" s="596">
        <f>C6+B7</f>
        <v>64037.138700000003</v>
      </c>
      <c r="D7" s="596">
        <f>D6+C7</f>
        <v>91749.4571</v>
      </c>
      <c r="E7" s="596"/>
      <c r="F7" s="596">
        <f>F6</f>
        <v>13825.151400000001</v>
      </c>
      <c r="G7" s="596">
        <f>G6+F7</f>
        <v>33433.975599999998</v>
      </c>
      <c r="H7" s="596">
        <f>H6+G7</f>
        <v>57729.266600000003</v>
      </c>
      <c r="I7" s="596"/>
      <c r="J7" s="596">
        <f>J6</f>
        <v>27197.636699999999</v>
      </c>
      <c r="K7" s="596">
        <f>K6+J7</f>
        <v>58834.574200000003</v>
      </c>
      <c r="L7" s="596">
        <f>L6+K7</f>
        <v>94526.875</v>
      </c>
      <c r="M7" s="596">
        <f>SUM(E6,I6,M6)/3</f>
        <v>81335.199566666663</v>
      </c>
      <c r="N7" s="596">
        <f>N6</f>
        <v>32853.273399999998</v>
      </c>
      <c r="O7" s="596">
        <f>O6+N7</f>
        <v>58445.378899999996</v>
      </c>
      <c r="P7" s="596">
        <f>P6+O7</f>
        <v>93636.503899999996</v>
      </c>
      <c r="Q7" s="596"/>
      <c r="R7" s="619"/>
      <c r="S7" s="138"/>
      <c r="T7" s="137"/>
      <c r="U7" s="137"/>
      <c r="V7" s="137"/>
      <c r="W7" s="137"/>
      <c r="X7" s="137"/>
      <c r="Y7" s="137"/>
    </row>
    <row r="8" spans="1:27" ht="15" customHeight="1">
      <c r="A8" s="107" t="s">
        <v>39</v>
      </c>
      <c r="B8" s="84">
        <f t="shared" ref="B8:D9" si="0">B6/B4</f>
        <v>1.0809578446969696</v>
      </c>
      <c r="C8" s="84">
        <f t="shared" si="0"/>
        <v>1.2102222136363638</v>
      </c>
      <c r="D8" s="84">
        <f t="shared" si="0"/>
        <v>0.85885284297520659</v>
      </c>
      <c r="E8" s="84"/>
      <c r="F8" s="84">
        <f t="shared" ref="F8:H9" si="1">F6/F4</f>
        <v>0.50091128260869566</v>
      </c>
      <c r="G8" s="84">
        <f t="shared" si="1"/>
        <v>0.6394181804347826</v>
      </c>
      <c r="H8" s="84">
        <f t="shared" si="1"/>
        <v>0.72021613636363635</v>
      </c>
      <c r="I8" s="84"/>
      <c r="J8" s="84">
        <f t="shared" ref="J8:L9" si="2">J6/J4</f>
        <v>1.2087838533333333</v>
      </c>
      <c r="K8" s="84">
        <f t="shared" si="2"/>
        <v>1.2654775</v>
      </c>
      <c r="L8" s="84">
        <f t="shared" si="2"/>
        <v>1.2979018472727271</v>
      </c>
      <c r="M8" s="84"/>
      <c r="N8" s="84">
        <f t="shared" ref="N8:P9" si="3">N6/N4</f>
        <v>1.1527464350877192</v>
      </c>
      <c r="O8" s="84">
        <f t="shared" si="3"/>
        <v>0.81244779365079367</v>
      </c>
      <c r="P8" s="84">
        <f t="shared" si="3"/>
        <v>1.1730375</v>
      </c>
      <c r="Q8" s="84"/>
      <c r="R8" s="620"/>
      <c r="S8" s="138"/>
      <c r="T8" s="137"/>
      <c r="U8" s="137"/>
      <c r="V8" s="137"/>
      <c r="W8" s="137"/>
      <c r="X8" s="137"/>
      <c r="Y8" s="137"/>
    </row>
    <row r="9" spans="1:27" s="14" customFormat="1" ht="15" customHeight="1">
      <c r="A9" s="107" t="s">
        <v>40</v>
      </c>
      <c r="B9" s="84">
        <f t="shared" si="0"/>
        <v>1.0809578446969696</v>
      </c>
      <c r="C9" s="84">
        <f t="shared" si="0"/>
        <v>1.1489917230861246</v>
      </c>
      <c r="D9" s="84">
        <f t="shared" si="0"/>
        <v>1.0426074670454546</v>
      </c>
      <c r="E9" s="84"/>
      <c r="F9" s="84">
        <f t="shared" si="1"/>
        <v>0.50091128260869566</v>
      </c>
      <c r="G9" s="84">
        <f t="shared" si="1"/>
        <v>0.57380964988558347</v>
      </c>
      <c r="H9" s="84">
        <f t="shared" si="1"/>
        <v>0.62749202826086958</v>
      </c>
      <c r="I9" s="84"/>
      <c r="J9" s="84">
        <f t="shared" si="2"/>
        <v>1.2087838533333333</v>
      </c>
      <c r="K9" s="84">
        <f t="shared" si="2"/>
        <v>1.2386226147368422</v>
      </c>
      <c r="L9" s="84">
        <f t="shared" si="2"/>
        <v>1.2603583333333332</v>
      </c>
      <c r="M9" s="84"/>
      <c r="N9" s="84">
        <f t="shared" si="3"/>
        <v>1.1527464350877192</v>
      </c>
      <c r="O9" s="84">
        <f t="shared" si="3"/>
        <v>0.97408964833333322</v>
      </c>
      <c r="P9" s="84">
        <f t="shared" si="3"/>
        <v>1.0404055988888889</v>
      </c>
      <c r="Q9" s="84"/>
      <c r="R9" s="621"/>
      <c r="S9" s="139"/>
      <c r="T9" s="140"/>
      <c r="U9" s="140"/>
      <c r="V9" s="140"/>
      <c r="W9" s="140"/>
      <c r="X9" s="140"/>
      <c r="Y9" s="140"/>
      <c r="Z9" s="140"/>
      <c r="AA9" s="140"/>
    </row>
    <row r="10" spans="1:27" s="22" customFormat="1" ht="15" customHeight="1">
      <c r="A10" s="104" t="s">
        <v>48</v>
      </c>
      <c r="B10" s="596">
        <f>B7-B5</f>
        <v>2137.2871000000014</v>
      </c>
      <c r="C10" s="596">
        <f>C7-C5</f>
        <v>8303.8053666666747</v>
      </c>
      <c r="D10" s="596">
        <f>D7-D5</f>
        <v>3749.4570999999996</v>
      </c>
      <c r="E10" s="596"/>
      <c r="F10" s="596">
        <f t="shared" ref="F10:H10" si="4">F7-F5</f>
        <v>-13774.848599999999</v>
      </c>
      <c r="G10" s="596">
        <f t="shared" si="4"/>
        <v>-24832.691066666674</v>
      </c>
      <c r="H10" s="596">
        <f t="shared" si="4"/>
        <v>-34270.733399999997</v>
      </c>
      <c r="I10" s="596"/>
      <c r="J10" s="596">
        <f t="shared" ref="J10:P10" si="5">J7-J5</f>
        <v>4697.6366999999991</v>
      </c>
      <c r="K10" s="596">
        <f t="shared" si="5"/>
        <v>11334.574200000003</v>
      </c>
      <c r="L10" s="596">
        <f t="shared" si="5"/>
        <v>19526.875</v>
      </c>
      <c r="M10" s="596"/>
      <c r="N10" s="596">
        <f t="shared" si="5"/>
        <v>4353.2733999999982</v>
      </c>
      <c r="O10" s="596">
        <f t="shared" si="5"/>
        <v>-1554.6211000000039</v>
      </c>
      <c r="P10" s="596">
        <f t="shared" si="5"/>
        <v>3636.5038999999961</v>
      </c>
      <c r="Q10" s="596"/>
      <c r="R10" s="622"/>
      <c r="S10" s="141"/>
      <c r="T10" s="142"/>
      <c r="U10" s="142"/>
      <c r="V10" s="142"/>
      <c r="W10" s="142"/>
      <c r="X10" s="142"/>
      <c r="Y10" s="142"/>
      <c r="Z10" s="142"/>
      <c r="AA10" s="142"/>
    </row>
    <row r="11" spans="1:27" ht="15" customHeight="1">
      <c r="A11" s="106" t="s">
        <v>201</v>
      </c>
      <c r="B11" s="204">
        <f>SUMIF(I!A:A,$A$1,I!G:G)</f>
        <v>82909.093800000002</v>
      </c>
      <c r="C11" s="203">
        <f>SUMIF(II!A:A,$A$1,II!G:G)</f>
        <v>100587.17969999999</v>
      </c>
      <c r="D11" s="203">
        <f>SUMIF(III!A:A,$A$1,III!G:G)</f>
        <v>92208.648400000005</v>
      </c>
      <c r="E11" s="78">
        <f>SUM(B11:D11)</f>
        <v>275704.92190000002</v>
      </c>
      <c r="F11" s="203">
        <f>SUMIF(IV!A:A,$A$1,IV!G:G)</f>
        <v>60653.570299999999</v>
      </c>
      <c r="G11" s="203">
        <f>SUMIF(V!A:A,$A$1,V!G:G)</f>
        <v>78057.906300000002</v>
      </c>
      <c r="H11" s="203">
        <f>SUMIF(VI!A:A,$A$1,VI!G:G)</f>
        <v>119267.7031</v>
      </c>
      <c r="I11" s="626">
        <f>SUM(F11:H11)</f>
        <v>257979.17969999998</v>
      </c>
      <c r="J11" s="203">
        <f>SUMIF(VII!A:A,$A$1,VII!G:G)</f>
        <v>90169.390599999999</v>
      </c>
      <c r="K11" s="203">
        <f>SUMIF(VIII!A:A,$A$1,VIII!G:G)</f>
        <v>99210.757800000007</v>
      </c>
      <c r="L11" s="203">
        <f>SUMIF(IX!A:A,$A$1,IX!G:G)</f>
        <v>123795.2813</v>
      </c>
      <c r="M11" s="203">
        <f>SUM(J11:L11)</f>
        <v>313175.42969999998</v>
      </c>
      <c r="N11" s="203">
        <f>SUMIF(X!A:A,$A$1,X!G:G)</f>
        <v>103041.6875</v>
      </c>
      <c r="O11" s="203">
        <f>SUMIF(XI!A:A,$A$1,XI!G:G)</f>
        <v>75838.210900000005</v>
      </c>
      <c r="P11" s="203">
        <f>SUMIF(XII!A:A,$A$1,XII!G:G)</f>
        <v>108531.7813</v>
      </c>
      <c r="Q11" s="203"/>
      <c r="R11" s="618">
        <f>SUM(B11:E11)</f>
        <v>551409.84380000003</v>
      </c>
      <c r="S11" s="138"/>
      <c r="T11" s="137"/>
      <c r="U11" s="137"/>
      <c r="V11" s="137"/>
      <c r="W11" s="137"/>
      <c r="X11" s="137"/>
      <c r="Y11" s="137"/>
    </row>
    <row r="12" spans="1:27" customFormat="1">
      <c r="A12" s="104" t="s">
        <v>202</v>
      </c>
      <c r="B12" s="596">
        <f>B11</f>
        <v>82909.093800000002</v>
      </c>
      <c r="C12" s="596">
        <f>C11+B12</f>
        <v>183496.27350000001</v>
      </c>
      <c r="D12" s="596">
        <f>D11+C12</f>
        <v>275704.92190000002</v>
      </c>
      <c r="E12" s="596"/>
      <c r="F12" s="596">
        <f>F11</f>
        <v>60653.570299999999</v>
      </c>
      <c r="G12" s="596">
        <f>G11+F12</f>
        <v>138711.47659999999</v>
      </c>
      <c r="H12" s="596">
        <f>H11+G12</f>
        <v>257979.17969999998</v>
      </c>
      <c r="I12" s="596"/>
      <c r="J12" s="596">
        <f>J11</f>
        <v>90169.390599999999</v>
      </c>
      <c r="K12" s="596">
        <f>K11+J12</f>
        <v>189380.14840000001</v>
      </c>
      <c r="L12" s="596">
        <f>L11+K12</f>
        <v>313175.42969999998</v>
      </c>
      <c r="M12" s="596"/>
      <c r="N12" s="596">
        <f>N11</f>
        <v>103041.6875</v>
      </c>
      <c r="O12" s="596">
        <f>O11+N12</f>
        <v>178879.89840000001</v>
      </c>
      <c r="P12" s="596">
        <f>P11+O12</f>
        <v>287411.67969999998</v>
      </c>
      <c r="Q12" s="596"/>
      <c r="R12" s="619"/>
      <c r="S12" s="143"/>
      <c r="T12" s="143"/>
      <c r="U12" s="143"/>
      <c r="V12" s="143"/>
      <c r="W12" s="143"/>
      <c r="X12" s="143"/>
      <c r="Y12" s="143"/>
      <c r="Z12" s="143"/>
      <c r="AA12" s="143"/>
    </row>
    <row r="13" spans="1:27" ht="15" customHeight="1">
      <c r="A13" s="111" t="s">
        <v>32</v>
      </c>
      <c r="B13" s="86">
        <f t="shared" ref="B13:D14" si="6">B6/B11</f>
        <v>0.34419972275707106</v>
      </c>
      <c r="C13" s="86">
        <f t="shared" si="6"/>
        <v>0.35292620496844496</v>
      </c>
      <c r="D13" s="86">
        <f t="shared" si="6"/>
        <v>0.30053925397305792</v>
      </c>
      <c r="E13" s="86"/>
      <c r="F13" s="86">
        <f t="shared" ref="F13:H14" si="7">F6/F11</f>
        <v>0.22793631655348739</v>
      </c>
      <c r="G13" s="86">
        <f t="shared" si="7"/>
        <v>0.25120868762015464</v>
      </c>
      <c r="H13" s="86">
        <f t="shared" si="7"/>
        <v>0.2037038558513164</v>
      </c>
      <c r="I13" s="86"/>
      <c r="J13" s="86">
        <f t="shared" ref="J13:L14" si="8">J6/J11</f>
        <v>0.30162826341647692</v>
      </c>
      <c r="K13" s="86">
        <f t="shared" si="8"/>
        <v>0.31888615913787527</v>
      </c>
      <c r="L13" s="86">
        <f t="shared" si="8"/>
        <v>0.288317134750111</v>
      </c>
      <c r="M13" s="86"/>
      <c r="N13" s="86">
        <f t="shared" ref="N13:P14" si="9">N6/N11</f>
        <v>0.31883477645879971</v>
      </c>
      <c r="O13" s="86">
        <f t="shared" si="9"/>
        <v>0.33745660922494153</v>
      </c>
      <c r="P13" s="86">
        <f t="shared" si="9"/>
        <v>0.32424718896602134</v>
      </c>
      <c r="Q13" s="86"/>
      <c r="R13" s="623"/>
      <c r="S13" s="138"/>
      <c r="T13" s="137"/>
      <c r="U13" s="137"/>
      <c r="V13" s="137"/>
      <c r="W13" s="137"/>
      <c r="X13" s="137"/>
      <c r="Y13" s="137"/>
    </row>
    <row r="14" spans="1:27" ht="15" customHeight="1">
      <c r="A14" s="111" t="s">
        <v>33</v>
      </c>
      <c r="B14" s="86">
        <f t="shared" si="6"/>
        <v>0.34419972275707106</v>
      </c>
      <c r="C14" s="86">
        <f t="shared" si="6"/>
        <v>0.34898331981657382</v>
      </c>
      <c r="D14" s="86">
        <f t="shared" si="6"/>
        <v>0.33278135358525857</v>
      </c>
      <c r="E14" s="86"/>
      <c r="F14" s="86">
        <f t="shared" si="7"/>
        <v>0.22793631655348739</v>
      </c>
      <c r="G14" s="86">
        <f t="shared" si="7"/>
        <v>0.24103251165304082</v>
      </c>
      <c r="H14" s="86">
        <f t="shared" si="7"/>
        <v>0.22377490566150524</v>
      </c>
      <c r="I14" s="86"/>
      <c r="J14" s="86">
        <f t="shared" si="8"/>
        <v>0.30162826341647692</v>
      </c>
      <c r="K14" s="86">
        <f t="shared" si="8"/>
        <v>0.3106691736017248</v>
      </c>
      <c r="L14" s="86">
        <f t="shared" si="8"/>
        <v>0.30183362433812289</v>
      </c>
      <c r="M14" s="86"/>
      <c r="N14" s="86">
        <f t="shared" si="9"/>
        <v>0.31883477645879971</v>
      </c>
      <c r="O14" s="86">
        <f t="shared" si="9"/>
        <v>0.32672971878208534</v>
      </c>
      <c r="P14" s="86">
        <f t="shared" si="9"/>
        <v>0.32579227120393189</v>
      </c>
      <c r="Q14" s="86"/>
      <c r="R14" s="623"/>
      <c r="S14" s="138"/>
      <c r="T14" s="137"/>
      <c r="U14" s="137"/>
      <c r="V14" s="137"/>
      <c r="W14" s="137"/>
      <c r="X14" s="137"/>
      <c r="Y14" s="137"/>
    </row>
    <row r="15" spans="1:27" s="66" customFormat="1" ht="15" customHeight="1" thickBot="1">
      <c r="A15" s="114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624"/>
      <c r="S15" s="144"/>
      <c r="T15" s="145"/>
      <c r="U15" s="145"/>
      <c r="V15" s="145"/>
      <c r="W15" s="145"/>
      <c r="X15" s="145"/>
      <c r="Y15" s="145"/>
      <c r="Z15" s="145"/>
      <c r="AA15" s="145"/>
    </row>
    <row r="16" spans="1:27" ht="13.8" thickBot="1">
      <c r="A16" s="325" t="s">
        <v>94</v>
      </c>
      <c r="B16" s="336" t="s">
        <v>1</v>
      </c>
      <c r="C16" s="336" t="s">
        <v>2</v>
      </c>
      <c r="D16" s="336" t="s">
        <v>3</v>
      </c>
      <c r="E16" s="334" t="s">
        <v>96</v>
      </c>
      <c r="F16" s="336" t="s">
        <v>4</v>
      </c>
      <c r="G16" s="336" t="s">
        <v>5</v>
      </c>
      <c r="H16" s="336" t="s">
        <v>6</v>
      </c>
      <c r="I16" s="334" t="s">
        <v>96</v>
      </c>
      <c r="J16" s="336" t="s">
        <v>7</v>
      </c>
      <c r="K16" s="336" t="s">
        <v>8</v>
      </c>
      <c r="L16" s="336" t="s">
        <v>9</v>
      </c>
      <c r="M16" s="334" t="s">
        <v>96</v>
      </c>
      <c r="N16" s="336" t="s">
        <v>95</v>
      </c>
      <c r="O16" s="336" t="s">
        <v>11</v>
      </c>
      <c r="P16" s="336" t="s">
        <v>12</v>
      </c>
      <c r="Q16" s="334" t="s">
        <v>96</v>
      </c>
      <c r="R16" s="334" t="s">
        <v>96</v>
      </c>
    </row>
    <row r="17" spans="1:19" ht="13.8" thickTop="1">
      <c r="A17" s="326" t="s">
        <v>97</v>
      </c>
      <c r="B17" s="151">
        <v>0</v>
      </c>
      <c r="C17" s="151">
        <v>0</v>
      </c>
      <c r="D17" s="151">
        <v>0</v>
      </c>
      <c r="E17" s="335">
        <f>SUM(B17:D17)</f>
        <v>0</v>
      </c>
      <c r="F17" s="151">
        <v>0</v>
      </c>
      <c r="G17" s="151">
        <v>0</v>
      </c>
      <c r="H17" s="457"/>
      <c r="I17" s="335">
        <f>SUM(F17:H17)</f>
        <v>0</v>
      </c>
      <c r="J17" s="467"/>
      <c r="K17" s="467"/>
      <c r="L17" s="467"/>
      <c r="M17" s="335">
        <f>SUM(J17:L17)</f>
        <v>0</v>
      </c>
      <c r="N17" s="482"/>
      <c r="O17" s="482"/>
      <c r="P17" s="482"/>
      <c r="Q17" s="335">
        <f>SUM(N17:P17)</f>
        <v>0</v>
      </c>
      <c r="R17" s="335">
        <f>I17+M17+Q17+E17</f>
        <v>0</v>
      </c>
      <c r="S17" s="64"/>
    </row>
    <row r="18" spans="1:19">
      <c r="A18" s="327" t="s">
        <v>98</v>
      </c>
      <c r="B18" s="152">
        <v>26</v>
      </c>
      <c r="C18" s="152">
        <v>26</v>
      </c>
      <c r="D18" s="152">
        <v>26</v>
      </c>
      <c r="E18" s="196"/>
      <c r="F18" s="152">
        <v>26</v>
      </c>
      <c r="G18" s="152">
        <v>22</v>
      </c>
      <c r="H18" s="456"/>
      <c r="I18" s="196"/>
      <c r="J18" s="465"/>
      <c r="K18" s="465"/>
      <c r="L18" s="465"/>
      <c r="M18" s="196"/>
      <c r="N18" s="477"/>
      <c r="O18" s="477"/>
      <c r="P18" s="477"/>
      <c r="Q18" s="196"/>
      <c r="R18" s="196"/>
      <c r="S18" s="64"/>
    </row>
    <row r="19" spans="1:19">
      <c r="A19" s="327" t="s">
        <v>99</v>
      </c>
      <c r="B19" s="152">
        <v>0</v>
      </c>
      <c r="C19" s="152">
        <v>0</v>
      </c>
      <c r="D19" s="152">
        <v>0</v>
      </c>
      <c r="E19" s="196"/>
      <c r="F19" s="152">
        <v>0</v>
      </c>
      <c r="G19" s="152">
        <v>0</v>
      </c>
      <c r="H19" s="456"/>
      <c r="I19" s="196"/>
      <c r="J19" s="465"/>
      <c r="K19" s="465"/>
      <c r="L19" s="465"/>
      <c r="M19" s="196"/>
      <c r="N19" s="477"/>
      <c r="O19" s="477"/>
      <c r="P19" s="477"/>
      <c r="Q19" s="196"/>
      <c r="R19" s="196"/>
      <c r="S19" s="64"/>
    </row>
    <row r="20" spans="1:19">
      <c r="A20" s="327" t="s">
        <v>133</v>
      </c>
      <c r="B20" s="152">
        <v>0</v>
      </c>
      <c r="C20" s="152">
        <v>0</v>
      </c>
      <c r="D20" s="152">
        <v>0</v>
      </c>
      <c r="E20" s="196"/>
      <c r="F20" s="152">
        <v>0</v>
      </c>
      <c r="G20" s="152">
        <v>0</v>
      </c>
      <c r="H20" s="456"/>
      <c r="I20" s="196"/>
      <c r="J20" s="465"/>
      <c r="K20" s="465"/>
      <c r="L20" s="465"/>
      <c r="M20" s="196"/>
      <c r="N20" s="477"/>
      <c r="O20" s="477"/>
      <c r="P20" s="477"/>
      <c r="Q20" s="196"/>
      <c r="R20" s="196"/>
      <c r="S20" s="64"/>
    </row>
    <row r="21" spans="1:19">
      <c r="A21" s="327" t="s">
        <v>100</v>
      </c>
      <c r="B21" s="396">
        <f>SUM(B17:B20)</f>
        <v>26</v>
      </c>
      <c r="C21" s="396">
        <f t="shared" ref="C21:D21" si="10">SUM(C17:C20)</f>
        <v>26</v>
      </c>
      <c r="D21" s="396">
        <f t="shared" si="10"/>
        <v>26</v>
      </c>
      <c r="E21" s="197"/>
      <c r="F21" s="396">
        <f t="shared" ref="F21:G21" si="11">SUM(F17:F20)</f>
        <v>26</v>
      </c>
      <c r="G21" s="396">
        <f t="shared" si="11"/>
        <v>22</v>
      </c>
      <c r="H21" s="464"/>
      <c r="I21" s="197"/>
      <c r="J21" s="476"/>
      <c r="K21" s="476"/>
      <c r="L21" s="476"/>
      <c r="M21" s="197"/>
      <c r="N21" s="489"/>
      <c r="O21" s="489"/>
      <c r="P21" s="489"/>
      <c r="Q21" s="197"/>
      <c r="R21" s="197"/>
      <c r="S21" s="64"/>
    </row>
    <row r="22" spans="1:19" ht="13.8" thickBot="1">
      <c r="A22" s="328" t="s">
        <v>101</v>
      </c>
      <c r="B22" s="153">
        <v>1</v>
      </c>
      <c r="C22" s="153">
        <v>8</v>
      </c>
      <c r="D22" s="153">
        <v>0</v>
      </c>
      <c r="E22" s="335">
        <f t="shared" ref="E22:E23" si="12">SUM(B22:D22)</f>
        <v>9</v>
      </c>
      <c r="F22" s="153">
        <v>0</v>
      </c>
      <c r="G22" s="153">
        <v>0</v>
      </c>
      <c r="H22" s="458"/>
      <c r="I22" s="335">
        <f>SUM(F22:H22)</f>
        <v>0</v>
      </c>
      <c r="J22" s="469"/>
      <c r="K22" s="469"/>
      <c r="L22" s="469"/>
      <c r="M22" s="335">
        <f>SUM(J22:L22)</f>
        <v>0</v>
      </c>
      <c r="N22" s="483"/>
      <c r="O22" s="483"/>
      <c r="P22" s="483"/>
      <c r="Q22" s="335">
        <f t="shared" ref="Q22:Q23" si="13">SUM(N22:P22)</f>
        <v>0</v>
      </c>
      <c r="R22" s="335">
        <f>I22+M22+Q22+E22</f>
        <v>9</v>
      </c>
      <c r="S22" s="64"/>
    </row>
    <row r="23" spans="1:19" ht="13.8" thickTop="1">
      <c r="A23" s="329" t="s">
        <v>134</v>
      </c>
      <c r="B23" s="154">
        <v>10</v>
      </c>
      <c r="C23" s="154">
        <v>8</v>
      </c>
      <c r="D23" s="154">
        <v>4</v>
      </c>
      <c r="E23" s="335">
        <f t="shared" si="12"/>
        <v>22</v>
      </c>
      <c r="F23" s="154">
        <v>5</v>
      </c>
      <c r="G23" s="154">
        <v>8</v>
      </c>
      <c r="H23" s="459"/>
      <c r="I23" s="335">
        <f>SUM(F23:H23)</f>
        <v>13</v>
      </c>
      <c r="J23" s="471"/>
      <c r="K23" s="471"/>
      <c r="L23" s="471"/>
      <c r="M23" s="335">
        <f>SUM(J23:L23)</f>
        <v>0</v>
      </c>
      <c r="N23" s="484"/>
      <c r="O23" s="484"/>
      <c r="P23" s="484"/>
      <c r="Q23" s="335">
        <f t="shared" si="13"/>
        <v>0</v>
      </c>
      <c r="R23" s="335">
        <f>I23+M23+Q23+E23</f>
        <v>35</v>
      </c>
      <c r="S23" s="64"/>
    </row>
    <row r="24" spans="1:19">
      <c r="A24" s="327" t="s">
        <v>102</v>
      </c>
      <c r="B24" s="152">
        <v>8</v>
      </c>
      <c r="C24" s="152">
        <v>4</v>
      </c>
      <c r="D24" s="152">
        <v>2</v>
      </c>
      <c r="E24" s="198"/>
      <c r="F24" s="152">
        <v>1</v>
      </c>
      <c r="G24" s="152">
        <v>1</v>
      </c>
      <c r="H24" s="456"/>
      <c r="I24" s="198"/>
      <c r="J24" s="465"/>
      <c r="K24" s="465"/>
      <c r="L24" s="465"/>
      <c r="M24" s="198"/>
      <c r="N24" s="477"/>
      <c r="O24" s="477"/>
      <c r="P24" s="477"/>
      <c r="Q24" s="198"/>
      <c r="R24" s="198"/>
      <c r="S24" s="64"/>
    </row>
    <row r="25" spans="1:19">
      <c r="A25" s="327" t="s">
        <v>103</v>
      </c>
      <c r="B25" s="152">
        <v>2</v>
      </c>
      <c r="C25" s="152">
        <v>7</v>
      </c>
      <c r="D25" s="152">
        <v>5</v>
      </c>
      <c r="E25" s="335">
        <f t="shared" ref="E25:E29" si="14">SUM(B25:D25)</f>
        <v>14</v>
      </c>
      <c r="F25" s="152">
        <v>5</v>
      </c>
      <c r="G25" s="152">
        <v>8</v>
      </c>
      <c r="H25" s="456"/>
      <c r="I25" s="335">
        <f>SUM(F25:H25)</f>
        <v>13</v>
      </c>
      <c r="J25" s="465"/>
      <c r="K25" s="465"/>
      <c r="L25" s="465"/>
      <c r="M25" s="335">
        <f>SUM(J25:L25)</f>
        <v>0</v>
      </c>
      <c r="N25" s="490"/>
      <c r="O25" s="477"/>
      <c r="P25" s="477"/>
      <c r="Q25" s="335">
        <f t="shared" ref="Q25:Q29" si="15">SUM(N25:P25)</f>
        <v>0</v>
      </c>
      <c r="R25" s="335">
        <f>I25+M25+Q25+E25</f>
        <v>27</v>
      </c>
      <c r="S25" s="64"/>
    </row>
    <row r="26" spans="1:19" ht="13.8" thickBot="1">
      <c r="A26" s="330" t="s">
        <v>104</v>
      </c>
      <c r="B26" s="155">
        <v>0</v>
      </c>
      <c r="C26" s="155">
        <v>1</v>
      </c>
      <c r="D26" s="155">
        <v>0</v>
      </c>
      <c r="E26" s="335">
        <f t="shared" si="14"/>
        <v>1</v>
      </c>
      <c r="F26" s="155">
        <v>0</v>
      </c>
      <c r="G26" s="155">
        <v>3</v>
      </c>
      <c r="H26" s="460"/>
      <c r="I26" s="335">
        <f>SUM(F26:H26)</f>
        <v>3</v>
      </c>
      <c r="J26" s="472"/>
      <c r="K26" s="472"/>
      <c r="L26" s="472"/>
      <c r="M26" s="335">
        <f>SUM(J26:L26)</f>
        <v>0</v>
      </c>
      <c r="N26" s="485"/>
      <c r="O26" s="485"/>
      <c r="P26" s="485"/>
      <c r="Q26" s="335">
        <f t="shared" si="15"/>
        <v>0</v>
      </c>
      <c r="R26" s="335">
        <f>I26+M26+Q26+E26</f>
        <v>4</v>
      </c>
      <c r="S26" s="64"/>
    </row>
    <row r="27" spans="1:19" ht="13.8" thickTop="1">
      <c r="A27" s="326" t="s">
        <v>184</v>
      </c>
      <c r="B27" s="151">
        <v>0</v>
      </c>
      <c r="C27" s="151">
        <v>0</v>
      </c>
      <c r="D27" s="151">
        <v>0</v>
      </c>
      <c r="E27" s="335">
        <f t="shared" si="14"/>
        <v>0</v>
      </c>
      <c r="F27" s="151">
        <v>0</v>
      </c>
      <c r="G27" s="151">
        <v>0</v>
      </c>
      <c r="H27" s="457"/>
      <c r="I27" s="335">
        <f>SUM(F27:H27)</f>
        <v>0</v>
      </c>
      <c r="J27" s="467"/>
      <c r="K27" s="467"/>
      <c r="L27" s="467"/>
      <c r="M27" s="335">
        <f>SUM(J27:L27)</f>
        <v>0</v>
      </c>
      <c r="N27" s="482"/>
      <c r="O27" s="482"/>
      <c r="P27" s="482"/>
      <c r="Q27" s="335">
        <f t="shared" si="15"/>
        <v>0</v>
      </c>
      <c r="R27" s="335">
        <f>I27+M27+Q27+E27</f>
        <v>0</v>
      </c>
      <c r="S27" s="64"/>
    </row>
    <row r="28" spans="1:19" ht="13.8" thickBot="1">
      <c r="A28" s="328" t="s">
        <v>105</v>
      </c>
      <c r="B28" s="153">
        <v>0</v>
      </c>
      <c r="C28" s="153">
        <v>0</v>
      </c>
      <c r="D28" s="153">
        <v>0</v>
      </c>
      <c r="E28" s="335">
        <f t="shared" si="14"/>
        <v>0</v>
      </c>
      <c r="F28" s="153">
        <v>0</v>
      </c>
      <c r="G28" s="153">
        <v>0</v>
      </c>
      <c r="H28" s="458"/>
      <c r="I28" s="335">
        <f>SUM(F28:H28)</f>
        <v>0</v>
      </c>
      <c r="J28" s="469"/>
      <c r="K28" s="469"/>
      <c r="L28" s="469"/>
      <c r="M28" s="335">
        <f>SUM(J28:L28)</f>
        <v>0</v>
      </c>
      <c r="N28" s="483"/>
      <c r="O28" s="483"/>
      <c r="P28" s="483"/>
      <c r="Q28" s="335">
        <f t="shared" si="15"/>
        <v>0</v>
      </c>
      <c r="R28" s="335">
        <f>I28+M28+Q28+E28</f>
        <v>0</v>
      </c>
      <c r="S28" s="64"/>
    </row>
    <row r="29" spans="1:19" ht="14.4" thickTop="1" thickBot="1">
      <c r="A29" s="328" t="s">
        <v>106</v>
      </c>
      <c r="B29" s="153">
        <v>0</v>
      </c>
      <c r="C29" s="153">
        <v>0</v>
      </c>
      <c r="D29" s="153">
        <v>0</v>
      </c>
      <c r="E29" s="335">
        <f t="shared" si="14"/>
        <v>0</v>
      </c>
      <c r="F29" s="153">
        <v>0</v>
      </c>
      <c r="G29" s="153">
        <v>0</v>
      </c>
      <c r="H29" s="458"/>
      <c r="I29" s="335">
        <f>SUM(F29:H29)</f>
        <v>0</v>
      </c>
      <c r="J29" s="469"/>
      <c r="K29" s="469"/>
      <c r="L29" s="469"/>
      <c r="M29" s="335">
        <f>SUM(J29:L29)</f>
        <v>0</v>
      </c>
      <c r="N29" s="483"/>
      <c r="O29" s="483"/>
      <c r="P29" s="483"/>
      <c r="Q29" s="335">
        <f t="shared" si="15"/>
        <v>0</v>
      </c>
      <c r="R29" s="335">
        <f>I29+M29+Q29+E29</f>
        <v>0</v>
      </c>
      <c r="S29" s="64"/>
    </row>
    <row r="30" spans="1:19" ht="13.8" thickTop="1">
      <c r="A30" s="331" t="s">
        <v>107</v>
      </c>
      <c r="B30" s="158">
        <v>6</v>
      </c>
      <c r="C30" s="158">
        <v>6</v>
      </c>
      <c r="D30" s="158">
        <v>6</v>
      </c>
      <c r="E30" s="150"/>
      <c r="F30" s="158">
        <v>0</v>
      </c>
      <c r="G30" s="158">
        <v>0</v>
      </c>
      <c r="H30" s="461"/>
      <c r="I30" s="150"/>
      <c r="J30" s="473"/>
      <c r="K30" s="473"/>
      <c r="L30" s="468"/>
      <c r="M30" s="150"/>
      <c r="N30" s="486"/>
      <c r="O30" s="486"/>
      <c r="P30" s="486"/>
      <c r="Q30" s="150"/>
      <c r="R30" s="150"/>
      <c r="S30" s="64"/>
    </row>
    <row r="31" spans="1:19">
      <c r="A31" s="332" t="s">
        <v>108</v>
      </c>
      <c r="B31" s="159">
        <v>0</v>
      </c>
      <c r="C31" s="159">
        <v>0</v>
      </c>
      <c r="D31" s="159">
        <v>0</v>
      </c>
      <c r="E31" s="335">
        <f t="shared" ref="E31:E33" si="16">SUM(B31:D31)</f>
        <v>0</v>
      </c>
      <c r="F31" s="159">
        <v>0</v>
      </c>
      <c r="G31" s="159">
        <v>0</v>
      </c>
      <c r="H31" s="462"/>
      <c r="I31" s="335">
        <f>SUM(F31:H31)</f>
        <v>0</v>
      </c>
      <c r="J31" s="474"/>
      <c r="K31" s="474"/>
      <c r="L31" s="466"/>
      <c r="M31" s="335">
        <f>SUM(J31:L31)</f>
        <v>0</v>
      </c>
      <c r="N31" s="487"/>
      <c r="O31" s="487"/>
      <c r="P31" s="487"/>
      <c r="Q31" s="335">
        <f t="shared" ref="Q31:Q33" si="17">SUM(N31:P31)</f>
        <v>0</v>
      </c>
      <c r="R31" s="335">
        <f>I31+M31+Q31+E31</f>
        <v>0</v>
      </c>
      <c r="S31" s="64"/>
    </row>
    <row r="32" spans="1:19">
      <c r="A32" s="332" t="s">
        <v>109</v>
      </c>
      <c r="B32" s="159">
        <v>0</v>
      </c>
      <c r="C32" s="159">
        <v>0</v>
      </c>
      <c r="D32" s="159">
        <v>0</v>
      </c>
      <c r="E32" s="335">
        <f t="shared" si="16"/>
        <v>0</v>
      </c>
      <c r="F32" s="159">
        <v>0</v>
      </c>
      <c r="G32" s="159">
        <v>0</v>
      </c>
      <c r="H32" s="462"/>
      <c r="I32" s="335">
        <f>SUM(F32:H32)</f>
        <v>0</v>
      </c>
      <c r="J32" s="474"/>
      <c r="K32" s="474"/>
      <c r="L32" s="466"/>
      <c r="M32" s="335">
        <f>SUM(J32:L32)</f>
        <v>0</v>
      </c>
      <c r="N32" s="487"/>
      <c r="O32" s="479"/>
      <c r="P32" s="481"/>
      <c r="Q32" s="335">
        <f t="shared" si="17"/>
        <v>0</v>
      </c>
      <c r="R32" s="335">
        <f>I32+M32+Q32+E32</f>
        <v>0</v>
      </c>
      <c r="S32" s="64"/>
    </row>
    <row r="33" spans="1:19">
      <c r="A33" s="332" t="s">
        <v>110</v>
      </c>
      <c r="B33" s="159">
        <v>0</v>
      </c>
      <c r="C33" s="159">
        <v>0</v>
      </c>
      <c r="D33" s="159">
        <v>0</v>
      </c>
      <c r="E33" s="335">
        <f t="shared" si="16"/>
        <v>0</v>
      </c>
      <c r="F33" s="159">
        <v>1</v>
      </c>
      <c r="G33" s="159">
        <v>0</v>
      </c>
      <c r="H33" s="462"/>
      <c r="I33" s="335">
        <f>SUM(F33:H33)</f>
        <v>1</v>
      </c>
      <c r="J33" s="474"/>
      <c r="K33" s="474"/>
      <c r="L33" s="466"/>
      <c r="M33" s="335">
        <f>SUM(J33:L33)</f>
        <v>0</v>
      </c>
      <c r="N33" s="487"/>
      <c r="O33" s="479"/>
      <c r="P33" s="481"/>
      <c r="Q33" s="335">
        <f t="shared" si="17"/>
        <v>0</v>
      </c>
      <c r="R33" s="335">
        <f>I33+M33+Q33+E33</f>
        <v>1</v>
      </c>
      <c r="S33" s="64"/>
    </row>
    <row r="34" spans="1:19" ht="13.8" thickBot="1">
      <c r="A34" s="333" t="s">
        <v>111</v>
      </c>
      <c r="B34" s="345">
        <v>0</v>
      </c>
      <c r="C34" s="345">
        <v>0</v>
      </c>
      <c r="D34" s="345">
        <v>0</v>
      </c>
      <c r="E34" s="199"/>
      <c r="F34" s="345">
        <v>0</v>
      </c>
      <c r="G34" s="345">
        <v>0</v>
      </c>
      <c r="H34" s="463"/>
      <c r="I34" s="199"/>
      <c r="J34" s="475"/>
      <c r="K34" s="475"/>
      <c r="L34" s="470"/>
      <c r="M34" s="199"/>
      <c r="N34" s="488"/>
      <c r="O34" s="478"/>
      <c r="P34" s="480"/>
      <c r="Q34" s="199"/>
      <c r="R34" s="199"/>
      <c r="S34" s="64"/>
    </row>
    <row r="35" spans="1:19" ht="13.8" thickTop="1">
      <c r="A35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156"/>
      <c r="Q35" s="156"/>
      <c r="R35" s="64"/>
      <c r="S35" s="12"/>
    </row>
  </sheetData>
  <mergeCells count="1">
    <mergeCell ref="B1:E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sqref="A1:Q54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35" customWidth="1"/>
    <col min="6" max="8" width="11.6640625" style="11" customWidth="1"/>
    <col min="9" max="9" width="11.44140625" style="135" customWidth="1"/>
    <col min="10" max="12" width="11.6640625" style="11" customWidth="1"/>
    <col min="13" max="13" width="11.44140625" style="135" customWidth="1"/>
    <col min="14" max="16" width="11.6640625" style="11" customWidth="1"/>
    <col min="17" max="17" width="11.44140625" style="135" customWidth="1"/>
    <col min="18" max="18" width="13.44140625" style="135" customWidth="1"/>
    <col min="19" max="19" width="9.109375" style="11"/>
    <col min="20" max="16384" width="9.109375" style="16"/>
  </cols>
  <sheetData>
    <row r="1" spans="1:19" s="11" customFormat="1" ht="15" customHeight="1">
      <c r="A1" s="30" t="s">
        <v>76</v>
      </c>
      <c r="B1" s="728" t="s">
        <v>129</v>
      </c>
      <c r="C1" s="718"/>
      <c r="D1" s="718"/>
      <c r="E1" s="718"/>
      <c r="F1" s="728" t="s">
        <v>144</v>
      </c>
      <c r="G1" s="718"/>
      <c r="H1" s="718"/>
      <c r="I1" s="718"/>
      <c r="J1" s="728" t="s">
        <v>151</v>
      </c>
      <c r="K1" s="718"/>
      <c r="L1" s="718"/>
      <c r="M1" s="718"/>
      <c r="N1" s="728" t="s">
        <v>155</v>
      </c>
      <c r="O1" s="718"/>
      <c r="P1" s="718"/>
      <c r="Q1" s="718"/>
      <c r="R1" s="169"/>
    </row>
    <row r="2" spans="1:19" s="11" customFormat="1" ht="15" customHeight="1">
      <c r="A2" s="5" t="s">
        <v>0</v>
      </c>
      <c r="B2" s="597" t="s">
        <v>1</v>
      </c>
      <c r="C2" s="597" t="s">
        <v>2</v>
      </c>
      <c r="D2" s="597" t="s">
        <v>3</v>
      </c>
      <c r="E2" s="178" t="s">
        <v>113</v>
      </c>
      <c r="F2" s="597" t="s">
        <v>4</v>
      </c>
      <c r="G2" s="597" t="s">
        <v>5</v>
      </c>
      <c r="H2" s="597" t="s">
        <v>6</v>
      </c>
      <c r="I2" s="178" t="s">
        <v>124</v>
      </c>
      <c r="J2" s="597" t="s">
        <v>7</v>
      </c>
      <c r="K2" s="597" t="s">
        <v>8</v>
      </c>
      <c r="L2" s="597" t="s">
        <v>9</v>
      </c>
      <c r="M2" s="178" t="s">
        <v>125</v>
      </c>
      <c r="N2" s="597" t="s">
        <v>10</v>
      </c>
      <c r="O2" s="597" t="s">
        <v>11</v>
      </c>
      <c r="P2" s="597" t="s">
        <v>12</v>
      </c>
      <c r="Q2" s="178" t="s">
        <v>126</v>
      </c>
      <c r="R2" s="101" t="s">
        <v>127</v>
      </c>
    </row>
    <row r="3" spans="1:19" s="11" customFormat="1" ht="15" customHeight="1">
      <c r="A3" s="49"/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597"/>
      <c r="N3" s="597"/>
      <c r="O3" s="597"/>
      <c r="P3" s="597"/>
      <c r="Q3" s="597"/>
      <c r="R3" s="49"/>
    </row>
    <row r="4" spans="1:19" s="11" customFormat="1" ht="15" customHeight="1">
      <c r="A4" s="102" t="s">
        <v>36</v>
      </c>
      <c r="B4" s="595">
        <f>'Target 2022'!C5</f>
        <v>58350</v>
      </c>
      <c r="C4" s="595">
        <f>'Target 2022'!D5</f>
        <v>64833.333333333336</v>
      </c>
      <c r="D4" s="595">
        <f>'Target 2022'!E5</f>
        <v>71316.666666666672</v>
      </c>
      <c r="E4" s="192">
        <f>SUM(B4:D4)</f>
        <v>194500</v>
      </c>
      <c r="F4" s="595">
        <f>'Target 2022'!F5</f>
        <v>62100</v>
      </c>
      <c r="G4" s="595">
        <f>'Target 2022'!G5</f>
        <v>69000</v>
      </c>
      <c r="H4" s="595">
        <f>'Target 2022'!H5</f>
        <v>75900</v>
      </c>
      <c r="I4" s="192">
        <f>SUM(F4:H4)</f>
        <v>207000</v>
      </c>
      <c r="J4" s="595">
        <f>'Target 2022'!I5</f>
        <v>66000</v>
      </c>
      <c r="K4" s="595">
        <f>'Target 2022'!J5</f>
        <v>73333.333333333328</v>
      </c>
      <c r="L4" s="595">
        <f>'Target 2022'!K5</f>
        <v>80666.666666666672</v>
      </c>
      <c r="M4" s="192">
        <f>SUM(J4:L4)</f>
        <v>220000</v>
      </c>
      <c r="N4" s="595">
        <f>'Target 2022'!L5</f>
        <v>68716.666666666657</v>
      </c>
      <c r="O4" s="595">
        <f>'Target 2022'!M5</f>
        <v>75950</v>
      </c>
      <c r="P4" s="595">
        <f>'Target 2022'!N5-32800</f>
        <v>39533.333333333328</v>
      </c>
      <c r="Q4" s="192">
        <f>SUM(N4:P4)</f>
        <v>184200</v>
      </c>
      <c r="R4" s="656">
        <f>E4+I4+M4+Q4</f>
        <v>805700</v>
      </c>
    </row>
    <row r="5" spans="1:19" s="11" customFormat="1" ht="15" customHeight="1">
      <c r="A5" s="104" t="s">
        <v>35</v>
      </c>
      <c r="B5" s="596">
        <f>B4</f>
        <v>58350</v>
      </c>
      <c r="C5" s="596">
        <f>C4+B5</f>
        <v>123183.33333333334</v>
      </c>
      <c r="D5" s="596">
        <f>D4+C5</f>
        <v>194500</v>
      </c>
      <c r="E5" s="613"/>
      <c r="F5" s="596">
        <f>F4</f>
        <v>62100</v>
      </c>
      <c r="G5" s="603">
        <f>G4+F5</f>
        <v>131100</v>
      </c>
      <c r="H5" s="603">
        <f>H4+G5</f>
        <v>207000</v>
      </c>
      <c r="I5" s="613"/>
      <c r="J5" s="603">
        <f>J4</f>
        <v>66000</v>
      </c>
      <c r="K5" s="603">
        <f>K4+J5</f>
        <v>139333.33333333331</v>
      </c>
      <c r="L5" s="603">
        <f>L4+K5</f>
        <v>220000</v>
      </c>
      <c r="M5" s="613"/>
      <c r="N5" s="603">
        <f>N4</f>
        <v>68716.666666666657</v>
      </c>
      <c r="O5" s="603">
        <f>O4+N5</f>
        <v>144666.66666666666</v>
      </c>
      <c r="P5" s="603">
        <f>P4+O5</f>
        <v>184200</v>
      </c>
      <c r="Q5" s="613"/>
      <c r="R5" s="360">
        <f>R6/R4</f>
        <v>1.0944783364775972</v>
      </c>
    </row>
    <row r="6" spans="1:19" s="28" customFormat="1" ht="15" customHeight="1">
      <c r="A6" s="106" t="s">
        <v>37</v>
      </c>
      <c r="B6" s="204">
        <f>SUMIF(I!A:A,$A$1,I!I:I)</f>
        <v>63075.902300000002</v>
      </c>
      <c r="C6" s="203">
        <f>SUMIF(II!A:A,$A$1,II!I:I)</f>
        <v>78391.421900000001</v>
      </c>
      <c r="D6" s="203">
        <f>SUMIF(III!A:A,$A$1,III!I:I)</f>
        <v>84529.204699999987</v>
      </c>
      <c r="E6" s="653">
        <f>SUM(B6:D6)</f>
        <v>225996.52889999998</v>
      </c>
      <c r="F6" s="203">
        <f>SUMIF(IV!A:A,$A$1,IV!I:I)</f>
        <v>91732.250599999999</v>
      </c>
      <c r="G6" s="203">
        <f>SUMIF(V!A:A,$A$1,V!I:I)</f>
        <v>71066.179699999993</v>
      </c>
      <c r="H6" s="203">
        <f>SUMIF(VI!A:A,$A$1,VI!I:I)</f>
        <v>70274.39409999999</v>
      </c>
      <c r="I6" s="653">
        <f>SUM(F6:H6)</f>
        <v>233072.82439999998</v>
      </c>
      <c r="J6" s="203">
        <f>SUMIF(VII!A:A,$A$1,VII!I:I)</f>
        <v>73531.049400000004</v>
      </c>
      <c r="K6" s="203">
        <f>SUMIF(VIII!A:A,$A$1,VIII!I:I)</f>
        <v>80162.843400000012</v>
      </c>
      <c r="L6" s="203">
        <f>SUMIF(IX!A:A,$A$1,IX!I:I)</f>
        <v>94035.929699999993</v>
      </c>
      <c r="M6" s="653">
        <f>SUM(J6:L6)</f>
        <v>247729.82250000001</v>
      </c>
      <c r="N6" s="203">
        <f>SUMIF(X!A:A,$A$1,X!I:I)</f>
        <v>70336.038100000005</v>
      </c>
      <c r="O6" s="203">
        <f>SUMIF(XI!A:A,$A$1,XI!I:I)</f>
        <v>68167.509099999996</v>
      </c>
      <c r="P6" s="203">
        <f>SUMIF(XII!A:A,$A$1,XII!I:I)</f>
        <v>36518.472699999998</v>
      </c>
      <c r="Q6" s="653">
        <f>SUM(N6:P6)</f>
        <v>175022.01990000001</v>
      </c>
      <c r="R6" s="103">
        <f>E6+I6+M6+Q6</f>
        <v>881821.19570000004</v>
      </c>
      <c r="S6" s="11"/>
    </row>
    <row r="7" spans="1:19" s="11" customFormat="1" ht="15" customHeight="1">
      <c r="A7" s="104" t="s">
        <v>38</v>
      </c>
      <c r="B7" s="596">
        <f>B6</f>
        <v>63075.902300000002</v>
      </c>
      <c r="C7" s="596">
        <f>C6+B7</f>
        <v>141467.3242</v>
      </c>
      <c r="D7" s="596">
        <f>D6+C7</f>
        <v>225996.52889999998</v>
      </c>
      <c r="E7" s="653"/>
      <c r="F7" s="596">
        <f>F6</f>
        <v>91732.250599999999</v>
      </c>
      <c r="G7" s="599">
        <f>G6+F7</f>
        <v>162798.43030000001</v>
      </c>
      <c r="H7" s="599">
        <f>H6+G7</f>
        <v>233072.82439999998</v>
      </c>
      <c r="I7" s="653"/>
      <c r="J7" s="599">
        <f>J6</f>
        <v>73531.049400000004</v>
      </c>
      <c r="K7" s="599">
        <f>K6+J7</f>
        <v>153693.89280000003</v>
      </c>
      <c r="L7" s="599">
        <f>L6+K7</f>
        <v>247729.82250000001</v>
      </c>
      <c r="M7" s="701">
        <f>SUM(E6,I6,M6)/3</f>
        <v>235599.72526666665</v>
      </c>
      <c r="N7" s="599">
        <f>N6</f>
        <v>70336.038100000005</v>
      </c>
      <c r="O7" s="599">
        <f>O6+N7</f>
        <v>138503.5472</v>
      </c>
      <c r="P7" s="599">
        <f>P6+O7</f>
        <v>175022.01990000001</v>
      </c>
      <c r="Q7" s="653"/>
      <c r="R7" s="105"/>
    </row>
    <row r="8" spans="1:19" s="11" customFormat="1" ht="15" customHeight="1">
      <c r="A8" s="107" t="s">
        <v>39</v>
      </c>
      <c r="B8" s="84">
        <f t="shared" ref="B8:D9" si="0">B6/B4</f>
        <v>1.0809923273350472</v>
      </c>
      <c r="C8" s="84">
        <f t="shared" si="0"/>
        <v>1.2091221886889461</v>
      </c>
      <c r="D8" s="84">
        <f t="shared" si="0"/>
        <v>1.1852657821921007</v>
      </c>
      <c r="E8" s="653"/>
      <c r="F8" s="84">
        <f t="shared" ref="F8:H9" si="1">F6/F4</f>
        <v>1.4771698969404188</v>
      </c>
      <c r="G8" s="90">
        <f t="shared" si="1"/>
        <v>1.0299446333333333</v>
      </c>
      <c r="H8" s="90">
        <f t="shared" si="1"/>
        <v>0.92588134519104071</v>
      </c>
      <c r="I8" s="654"/>
      <c r="J8" s="90">
        <f t="shared" ref="J8:L9" si="2">J6/J4</f>
        <v>1.1141068090909092</v>
      </c>
      <c r="K8" s="90">
        <f t="shared" si="2"/>
        <v>1.093129682727273</v>
      </c>
      <c r="L8" s="90">
        <f t="shared" si="2"/>
        <v>1.1657346657024792</v>
      </c>
      <c r="M8" s="654"/>
      <c r="N8" s="90">
        <f t="shared" ref="N8:P9" si="3">N6/N4</f>
        <v>1.0235659194761098</v>
      </c>
      <c r="O8" s="90">
        <f t="shared" si="3"/>
        <v>0.89753139038841334</v>
      </c>
      <c r="P8" s="90">
        <f t="shared" si="3"/>
        <v>0.92373876981450265</v>
      </c>
      <c r="Q8" s="653">
        <f>Q4*1.05</f>
        <v>193410</v>
      </c>
      <c r="R8" s="108"/>
    </row>
    <row r="9" spans="1:19" s="26" customFormat="1" ht="15" customHeight="1">
      <c r="A9" s="107" t="s">
        <v>40</v>
      </c>
      <c r="B9" s="84">
        <f t="shared" si="0"/>
        <v>1.0809923273350472</v>
      </c>
      <c r="C9" s="90">
        <f t="shared" si="0"/>
        <v>1.1484290964686781</v>
      </c>
      <c r="D9" s="90">
        <f t="shared" si="0"/>
        <v>1.1619358812339331</v>
      </c>
      <c r="E9" s="654"/>
      <c r="F9" s="84">
        <f t="shared" si="1"/>
        <v>1.4771698969404188</v>
      </c>
      <c r="G9" s="90">
        <f t="shared" si="1"/>
        <v>1.241788179252479</v>
      </c>
      <c r="H9" s="90">
        <f t="shared" si="1"/>
        <v>1.1259556734299516</v>
      </c>
      <c r="I9" s="654"/>
      <c r="J9" s="90">
        <f t="shared" si="2"/>
        <v>1.1141068090909092</v>
      </c>
      <c r="K9" s="90">
        <f t="shared" si="2"/>
        <v>1.103066216267943</v>
      </c>
      <c r="L9" s="90">
        <f t="shared" si="2"/>
        <v>1.1260446477272728</v>
      </c>
      <c r="M9" s="654"/>
      <c r="N9" s="90">
        <f t="shared" si="3"/>
        <v>1.0235659194761098</v>
      </c>
      <c r="O9" s="90">
        <f t="shared" si="3"/>
        <v>0.95739779170506922</v>
      </c>
      <c r="P9" s="90">
        <f t="shared" si="3"/>
        <v>0.95017383224755703</v>
      </c>
      <c r="Q9" s="655">
        <f>Q8-Q6</f>
        <v>18387.980099999986</v>
      </c>
      <c r="R9" s="109"/>
      <c r="S9" s="13"/>
    </row>
    <row r="10" spans="1:19" s="42" customFormat="1" ht="15" customHeight="1">
      <c r="A10" s="104" t="s">
        <v>48</v>
      </c>
      <c r="B10" s="596">
        <f>B7-B5</f>
        <v>4725.9023000000016</v>
      </c>
      <c r="C10" s="598">
        <f>C7-C5</f>
        <v>18283.99086666666</v>
      </c>
      <c r="D10" s="598">
        <f>D7-D5</f>
        <v>31496.528899999976</v>
      </c>
      <c r="E10" s="653"/>
      <c r="F10" s="596">
        <f>F7-F5</f>
        <v>29632.250599999999</v>
      </c>
      <c r="G10" s="598">
        <f>G7-G5</f>
        <v>31698.430300000007</v>
      </c>
      <c r="H10" s="598">
        <f>H7-H5</f>
        <v>26072.824399999983</v>
      </c>
      <c r="I10" s="653"/>
      <c r="J10" s="598">
        <f>J7-J5</f>
        <v>7531.0494000000035</v>
      </c>
      <c r="K10" s="598">
        <f>K7-K5</f>
        <v>14360.559466666717</v>
      </c>
      <c r="L10" s="598">
        <f>L7-L5</f>
        <v>27729.822500000009</v>
      </c>
      <c r="M10" s="653"/>
      <c r="N10" s="598">
        <f>N7-N5</f>
        <v>1619.3714333333483</v>
      </c>
      <c r="O10" s="598">
        <f>O7-O5</f>
        <v>-6163.1194666666561</v>
      </c>
      <c r="P10" s="598">
        <f>P7-P5</f>
        <v>-9177.9800999999861</v>
      </c>
      <c r="Q10" s="653"/>
      <c r="R10" s="105"/>
    </row>
    <row r="11" spans="1:19" s="11" customFormat="1" ht="15" customHeight="1">
      <c r="A11" s="106" t="s">
        <v>201</v>
      </c>
      <c r="B11" s="204">
        <f>SUMIF(I!A:A,$A$1,I!G:G)</f>
        <v>150744.79689999999</v>
      </c>
      <c r="C11" s="203">
        <f>SUMIF(II!A:A,$A$1,II!G:G)</f>
        <v>202700.73439999999</v>
      </c>
      <c r="D11" s="203">
        <f>SUMIF(III!A:A,$A$1,III!G:G)</f>
        <v>205989.79689999999</v>
      </c>
      <c r="E11" s="653">
        <f>SUM(B11:D11)</f>
        <v>559435.32819999999</v>
      </c>
      <c r="F11" s="203">
        <f>SUMIF(IV!A:A,$A$1,IV!G:G)</f>
        <v>328642.90629999997</v>
      </c>
      <c r="G11" s="203">
        <f>SUMIF(V!A:A,$A$1,V!G:G)</f>
        <v>239261.8125</v>
      </c>
      <c r="H11" s="203">
        <f>SUMIF(VI!A:A,$A$1,VI!G:G)</f>
        <v>187775.79689999999</v>
      </c>
      <c r="I11" s="653">
        <f>SUM(F11:H11)</f>
        <v>755680.51569999987</v>
      </c>
      <c r="J11" s="203">
        <f>SUMIF(VII!A:A,$A$1,VII!G:G)</f>
        <v>185075.1875</v>
      </c>
      <c r="K11" s="203">
        <f>SUMIF(VIII!A:A,$A$1,VIII!G:G)</f>
        <v>182030.125</v>
      </c>
      <c r="L11" s="203">
        <f>SUMIF(IX!A:A,$A$1,IX!G:G)</f>
        <v>216599.39060000001</v>
      </c>
      <c r="M11" s="653">
        <f>SUM(J11:L11)</f>
        <v>583704.70310000004</v>
      </c>
      <c r="N11" s="203">
        <f>SUMIF(X!A:A,$A$1,X!G:G)</f>
        <v>169738.51560000001</v>
      </c>
      <c r="O11" s="203">
        <f>SUMIF(XI!A:A,$A$1,XI!G:G)</f>
        <v>206258.26560000001</v>
      </c>
      <c r="P11" s="203">
        <f>SUMIF(XII!A:A,$A$1,XII!G:G)</f>
        <v>118893.72659999999</v>
      </c>
      <c r="Q11" s="653">
        <f>SUM(N11:P11)</f>
        <v>494890.50780000002</v>
      </c>
      <c r="R11" s="103">
        <f>E11+I11+M11+Q11</f>
        <v>2393711.0548</v>
      </c>
      <c r="S11" s="13"/>
    </row>
    <row r="12" spans="1:19" customFormat="1" ht="13.2">
      <c r="A12" s="104" t="s">
        <v>202</v>
      </c>
      <c r="B12" s="596">
        <f>B11</f>
        <v>150744.79689999999</v>
      </c>
      <c r="C12" s="599">
        <f>C11+B12</f>
        <v>353445.53129999997</v>
      </c>
      <c r="D12" s="599">
        <f>D11+C12</f>
        <v>559435.32819999999</v>
      </c>
      <c r="E12" s="613"/>
      <c r="F12" s="596">
        <f>F11</f>
        <v>328642.90629999997</v>
      </c>
      <c r="G12" s="599">
        <f>G11+F12</f>
        <v>567904.71879999992</v>
      </c>
      <c r="H12" s="599">
        <f>H11+G12</f>
        <v>755680.51569999987</v>
      </c>
      <c r="I12" s="613"/>
      <c r="J12" s="599">
        <f>J11</f>
        <v>185075.1875</v>
      </c>
      <c r="K12" s="599">
        <f>K11+J12</f>
        <v>367105.3125</v>
      </c>
      <c r="L12" s="599">
        <f>L11+K12</f>
        <v>583704.70310000004</v>
      </c>
      <c r="M12" s="613"/>
      <c r="N12" s="599">
        <f>N11</f>
        <v>169738.51560000001</v>
      </c>
      <c r="O12" s="599">
        <f>O11+N12</f>
        <v>375996.78120000003</v>
      </c>
      <c r="P12" s="599">
        <f>P11+O12</f>
        <v>494890.50780000002</v>
      </c>
      <c r="Q12" s="613"/>
      <c r="R12" s="105"/>
    </row>
    <row r="13" spans="1:19" s="28" customFormat="1" ht="15" customHeight="1">
      <c r="A13" s="111" t="s">
        <v>32</v>
      </c>
      <c r="B13" s="86">
        <f t="shared" ref="B13:D14" si="4">B6/B11</f>
        <v>0.41842838756048639</v>
      </c>
      <c r="C13" s="600">
        <f t="shared" si="4"/>
        <v>0.38673477001472573</v>
      </c>
      <c r="D13" s="600">
        <f t="shared" si="4"/>
        <v>0.41035626993231911</v>
      </c>
      <c r="E13" s="182"/>
      <c r="F13" s="86">
        <f t="shared" ref="F13:H14" si="5">F6/F11</f>
        <v>0.27912438954718433</v>
      </c>
      <c r="G13" s="600">
        <f t="shared" si="5"/>
        <v>0.29702265880812045</v>
      </c>
      <c r="H13" s="600">
        <f t="shared" si="5"/>
        <v>0.37424628338776067</v>
      </c>
      <c r="I13" s="182"/>
      <c r="J13" s="600">
        <f t="shared" ref="J13:L14" si="6">J6/J11</f>
        <v>0.39730366016784396</v>
      </c>
      <c r="K13" s="600">
        <f t="shared" si="6"/>
        <v>0.44038229056866279</v>
      </c>
      <c r="L13" s="600">
        <f t="shared" si="6"/>
        <v>0.43414678794576439</v>
      </c>
      <c r="M13" s="182"/>
      <c r="N13" s="600">
        <f t="shared" ref="N13:P14" si="7">N6/N11</f>
        <v>0.4143787746191413</v>
      </c>
      <c r="O13" s="600">
        <f t="shared" si="7"/>
        <v>0.33049589019718778</v>
      </c>
      <c r="P13" s="600">
        <f t="shared" si="7"/>
        <v>0.30715222530504815</v>
      </c>
      <c r="Q13" s="182"/>
      <c r="R13" s="112"/>
      <c r="S13" s="13"/>
    </row>
    <row r="14" spans="1:19" s="11" customFormat="1" ht="15" customHeight="1">
      <c r="A14" s="111" t="s">
        <v>33</v>
      </c>
      <c r="B14" s="86">
        <f t="shared" si="4"/>
        <v>0.41842838756048639</v>
      </c>
      <c r="C14" s="600">
        <f t="shared" si="4"/>
        <v>0.40025212280849121</v>
      </c>
      <c r="D14" s="600">
        <f t="shared" si="4"/>
        <v>0.40397257289265343</v>
      </c>
      <c r="E14" s="182"/>
      <c r="F14" s="86">
        <f t="shared" si="5"/>
        <v>0.27912438954718433</v>
      </c>
      <c r="G14" s="600">
        <f t="shared" si="5"/>
        <v>0.28666504241063201</v>
      </c>
      <c r="H14" s="600">
        <f t="shared" si="5"/>
        <v>0.30842772779988992</v>
      </c>
      <c r="I14" s="182"/>
      <c r="J14" s="600">
        <f t="shared" si="6"/>
        <v>0.39730366016784396</v>
      </c>
      <c r="K14" s="600">
        <f t="shared" si="6"/>
        <v>0.41866431121178621</v>
      </c>
      <c r="L14" s="600">
        <f t="shared" si="6"/>
        <v>0.42440950224373819</v>
      </c>
      <c r="M14" s="182"/>
      <c r="N14" s="600">
        <f t="shared" si="7"/>
        <v>0.4143787746191413</v>
      </c>
      <c r="O14" s="600">
        <f t="shared" si="7"/>
        <v>0.36836365130032128</v>
      </c>
      <c r="P14" s="600">
        <f t="shared" si="7"/>
        <v>0.35365806606000133</v>
      </c>
      <c r="Q14" s="182"/>
      <c r="R14" s="112"/>
    </row>
    <row r="15" spans="1:19" s="66" customFormat="1" ht="15" customHeight="1">
      <c r="A15" s="93"/>
      <c r="B15" s="94"/>
      <c r="C15" s="94"/>
      <c r="D15" s="94"/>
      <c r="E15" s="183"/>
      <c r="F15" s="94"/>
      <c r="G15" s="94"/>
      <c r="H15" s="94"/>
      <c r="I15" s="183"/>
      <c r="J15" s="94"/>
      <c r="K15" s="94"/>
      <c r="L15" s="94"/>
      <c r="M15" s="183"/>
      <c r="N15" s="94"/>
      <c r="O15" s="94"/>
      <c r="P15" s="94"/>
      <c r="Q15" s="183"/>
      <c r="R15" s="113"/>
      <c r="S15" s="65"/>
    </row>
    <row r="16" spans="1:19" s="11" customFormat="1" ht="15" customHeight="1">
      <c r="A16" s="51"/>
      <c r="B16" s="611" t="s">
        <v>26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2"/>
      <c r="P16" s="612"/>
      <c r="Q16" s="612"/>
      <c r="R16" s="202"/>
    </row>
    <row r="17" spans="1:19" s="11" customFormat="1" ht="15" customHeight="1">
      <c r="A17" s="68" t="s">
        <v>75</v>
      </c>
      <c r="B17" s="72">
        <v>5000</v>
      </c>
      <c r="C17" s="72">
        <v>5000</v>
      </c>
      <c r="D17" s="72">
        <v>5000</v>
      </c>
      <c r="E17" s="185"/>
      <c r="F17" s="79">
        <v>5700</v>
      </c>
      <c r="G17" s="79">
        <v>5700</v>
      </c>
      <c r="H17" s="79">
        <v>5700</v>
      </c>
      <c r="I17" s="185"/>
      <c r="J17" s="79">
        <v>5700</v>
      </c>
      <c r="K17" s="79">
        <v>5700</v>
      </c>
      <c r="L17" s="79">
        <v>5700</v>
      </c>
      <c r="M17" s="185"/>
      <c r="N17" s="79">
        <v>5700</v>
      </c>
      <c r="O17" s="79">
        <v>5700</v>
      </c>
      <c r="P17" s="79">
        <v>5700</v>
      </c>
      <c r="Q17" s="185"/>
      <c r="R17" s="117"/>
    </row>
    <row r="18" spans="1:19" s="11" customFormat="1" ht="15" customHeight="1">
      <c r="A18" s="18" t="s">
        <v>50</v>
      </c>
      <c r="B18" s="73">
        <f>B5</f>
        <v>58350</v>
      </c>
      <c r="C18" s="73">
        <f>C5</f>
        <v>123183.33333333334</v>
      </c>
      <c r="D18" s="73">
        <f>D5</f>
        <v>194500</v>
      </c>
      <c r="E18" s="186"/>
      <c r="F18" s="73">
        <f>F5</f>
        <v>62100</v>
      </c>
      <c r="G18" s="73">
        <f>G5</f>
        <v>131100</v>
      </c>
      <c r="H18" s="73">
        <f>H5</f>
        <v>207000</v>
      </c>
      <c r="I18" s="186"/>
      <c r="J18" s="73">
        <f>J5</f>
        <v>66000</v>
      </c>
      <c r="K18" s="73">
        <f>K5</f>
        <v>139333.33333333331</v>
      </c>
      <c r="L18" s="73">
        <f>L5</f>
        <v>220000</v>
      </c>
      <c r="M18" s="186"/>
      <c r="N18" s="73">
        <f>N5</f>
        <v>68716.666666666657</v>
      </c>
      <c r="O18" s="73">
        <f>O5</f>
        <v>144666.66666666666</v>
      </c>
      <c r="P18" s="73">
        <f>P5</f>
        <v>184200</v>
      </c>
      <c r="Q18" s="186"/>
      <c r="R18" s="119"/>
    </row>
    <row r="19" spans="1:19" s="26" customFormat="1" ht="15" customHeight="1">
      <c r="A19" s="38" t="s">
        <v>51</v>
      </c>
      <c r="B19" s="76">
        <f>B7</f>
        <v>63075.902300000002</v>
      </c>
      <c r="C19" s="76">
        <f>C7</f>
        <v>141467.3242</v>
      </c>
      <c r="D19" s="76">
        <f>D7</f>
        <v>225996.52889999998</v>
      </c>
      <c r="E19" s="187"/>
      <c r="F19" s="76">
        <f>F7</f>
        <v>91732.250599999999</v>
      </c>
      <c r="G19" s="76">
        <f>G7</f>
        <v>162798.43030000001</v>
      </c>
      <c r="H19" s="76">
        <f>H7</f>
        <v>233072.82439999998</v>
      </c>
      <c r="I19" s="187"/>
      <c r="J19" s="76">
        <f>J7</f>
        <v>73531.049400000004</v>
      </c>
      <c r="K19" s="76">
        <f>K7</f>
        <v>153693.89280000003</v>
      </c>
      <c r="L19" s="76">
        <f>L7</f>
        <v>247729.82250000001</v>
      </c>
      <c r="M19" s="187"/>
      <c r="N19" s="76">
        <f>N7</f>
        <v>70336.038100000005</v>
      </c>
      <c r="O19" s="76">
        <f>O7</f>
        <v>138503.5472</v>
      </c>
      <c r="P19" s="76">
        <f>P7</f>
        <v>175022.01990000001</v>
      </c>
      <c r="Q19" s="187"/>
      <c r="R19" s="119"/>
      <c r="S19" s="11"/>
    </row>
    <row r="20" spans="1:19" s="26" customFormat="1" ht="15" customHeight="1">
      <c r="A20" s="38" t="s">
        <v>52</v>
      </c>
      <c r="B20" s="121">
        <f>B19/B18</f>
        <v>1.0809923273350472</v>
      </c>
      <c r="C20" s="121">
        <f>C19/C18</f>
        <v>1.1484290964686781</v>
      </c>
      <c r="D20" s="121">
        <f>D19/D18</f>
        <v>1.1619358812339331</v>
      </c>
      <c r="E20" s="188"/>
      <c r="F20" s="121">
        <f>F19/F18</f>
        <v>1.4771698969404188</v>
      </c>
      <c r="G20" s="121">
        <f>G19/G18</f>
        <v>1.241788179252479</v>
      </c>
      <c r="H20" s="121">
        <f>H19/H18</f>
        <v>1.1259556734299516</v>
      </c>
      <c r="I20" s="188"/>
      <c r="J20" s="121">
        <f>J19/J18</f>
        <v>1.1141068090909092</v>
      </c>
      <c r="K20" s="121">
        <f>K19/K18</f>
        <v>1.103066216267943</v>
      </c>
      <c r="L20" s="121">
        <f>L19/L18</f>
        <v>1.1260446477272728</v>
      </c>
      <c r="M20" s="188"/>
      <c r="N20" s="121">
        <f>N19/N18</f>
        <v>1.0235659194761098</v>
      </c>
      <c r="O20" s="121">
        <f>O19/O18</f>
        <v>0.95739779170506922</v>
      </c>
      <c r="P20" s="121">
        <f>P19/P18</f>
        <v>0.95017383224755703</v>
      </c>
      <c r="Q20" s="188"/>
      <c r="R20" s="119"/>
      <c r="S20" s="11"/>
    </row>
    <row r="21" spans="1:19" s="15" customFormat="1" ht="15" customHeight="1">
      <c r="A21" s="37" t="s">
        <v>60</v>
      </c>
      <c r="B21" s="80">
        <f>B17*0.35</f>
        <v>1750</v>
      </c>
      <c r="C21" s="80">
        <f>C17*0.35</f>
        <v>1750</v>
      </c>
      <c r="D21" s="80">
        <f>D17*0.35</f>
        <v>1750</v>
      </c>
      <c r="E21" s="189"/>
      <c r="F21" s="80">
        <f>F17*0.35</f>
        <v>1994.9999999999998</v>
      </c>
      <c r="G21" s="80">
        <f>G17*0.35</f>
        <v>1994.9999999999998</v>
      </c>
      <c r="H21" s="80">
        <f>H17*0.35</f>
        <v>1994.9999999999998</v>
      </c>
      <c r="I21" s="189"/>
      <c r="J21" s="80">
        <f>J17*0.35</f>
        <v>1994.9999999999998</v>
      </c>
      <c r="K21" s="80">
        <f>K17*0.35</f>
        <v>1994.9999999999998</v>
      </c>
      <c r="L21" s="80">
        <f>L17*0.35</f>
        <v>1994.9999999999998</v>
      </c>
      <c r="M21" s="189"/>
      <c r="N21" s="80">
        <f>N17*0.35</f>
        <v>1994.9999999999998</v>
      </c>
      <c r="O21" s="80">
        <f>O17*0.35</f>
        <v>1994.9999999999998</v>
      </c>
      <c r="P21" s="80">
        <f>P17*0.35</f>
        <v>1994.9999999999998</v>
      </c>
      <c r="Q21" s="189"/>
      <c r="R21" s="122"/>
      <c r="S21" s="11"/>
    </row>
    <row r="22" spans="1:19" s="11" customFormat="1" ht="15" customHeight="1">
      <c r="A22" s="38" t="s">
        <v>53</v>
      </c>
      <c r="B22" s="76">
        <f>IF(B20&lt;80%,0,IF(B20&lt;90%,0.5,IF(B20&lt;95%,0.75,1)))</f>
        <v>1</v>
      </c>
      <c r="C22" s="76">
        <f>IF(C20&lt;80%,0,IF(C20&lt;90%,0.5,IF(C20&lt;95%,0.75,1)))</f>
        <v>1</v>
      </c>
      <c r="D22" s="76">
        <f>IF(D20&lt;80%,0,IF(D20&lt;90%,0.5,IF(D20&lt;95%,0.75,1)))</f>
        <v>1</v>
      </c>
      <c r="E22" s="187"/>
      <c r="F22" s="76">
        <f>IF(F20&lt;80%,0,IF(F20&lt;90%,0.5,IF(F20&lt;95%,0.75,1)))</f>
        <v>1</v>
      </c>
      <c r="G22" s="76">
        <f>IF(G20&lt;80%,0,IF(G20&lt;90%,0.5,IF(G20&lt;95%,0.75,1)))</f>
        <v>1</v>
      </c>
      <c r="H22" s="76">
        <f>IF(H20&lt;80%,0,IF(H20&lt;90%,0.5,IF(H20&lt;95%,0.75,1)))</f>
        <v>1</v>
      </c>
      <c r="I22" s="187"/>
      <c r="J22" s="76">
        <f>IF(J20&lt;80%,0,IF(J20&lt;90%,0.5,IF(J20&lt;95%,0.75,1)))</f>
        <v>1</v>
      </c>
      <c r="K22" s="76">
        <f>IF(K20&lt;80%,0,IF(K20&lt;90%,0.5,IF(K20&lt;95%,0.75,1)))</f>
        <v>1</v>
      </c>
      <c r="L22" s="76">
        <f>IF(L20&lt;80%,0,IF(L20&lt;90%,0.5,IF(L20&lt;95%,0.75,1)))</f>
        <v>1</v>
      </c>
      <c r="M22" s="187"/>
      <c r="N22" s="76">
        <f>IF(N20&lt;80%,0,IF(N20&lt;90%,0.5,IF(N20&lt;95%,0.75,1)))</f>
        <v>1</v>
      </c>
      <c r="O22" s="76">
        <f>IF(O20&lt;80%,0,IF(O20&lt;90%,0.5,IF(O20&lt;95%,0.75,1)))</f>
        <v>1</v>
      </c>
      <c r="P22" s="76">
        <f>IF(P20&lt;80%,0,IF(P20&lt;90%,0.5,IF(P20&lt;95%,0.75,1)))</f>
        <v>1</v>
      </c>
      <c r="Q22" s="187"/>
      <c r="R22" s="119"/>
      <c r="S22" s="17"/>
    </row>
    <row r="23" spans="1:19" s="11" customFormat="1" ht="15" customHeight="1">
      <c r="A23" s="54" t="s">
        <v>54</v>
      </c>
      <c r="B23" s="75">
        <f>B22*B21</f>
        <v>1750</v>
      </c>
      <c r="C23" s="75">
        <f>C22*C21</f>
        <v>1750</v>
      </c>
      <c r="D23" s="75">
        <f>D22*D21</f>
        <v>1750</v>
      </c>
      <c r="E23" s="190"/>
      <c r="F23" s="75">
        <f>F22*F21</f>
        <v>1994.9999999999998</v>
      </c>
      <c r="G23" s="75">
        <f>G22*G21</f>
        <v>1994.9999999999998</v>
      </c>
      <c r="H23" s="75">
        <f>H22*H21</f>
        <v>1994.9999999999998</v>
      </c>
      <c r="I23" s="190"/>
      <c r="J23" s="75">
        <f>J22*J21</f>
        <v>1994.9999999999998</v>
      </c>
      <c r="K23" s="75">
        <f>K22*K21</f>
        <v>1994.9999999999998</v>
      </c>
      <c r="L23" s="75">
        <f>L22*L21</f>
        <v>1994.9999999999998</v>
      </c>
      <c r="M23" s="190"/>
      <c r="N23" s="75">
        <f>N22*N21</f>
        <v>1994.9999999999998</v>
      </c>
      <c r="O23" s="75">
        <f>O22*O21</f>
        <v>1994.9999999999998</v>
      </c>
      <c r="P23" s="75">
        <f>P22*P21</f>
        <v>1994.9999999999998</v>
      </c>
      <c r="Q23" s="190"/>
      <c r="R23" s="123"/>
      <c r="S23" s="13"/>
    </row>
    <row r="24" spans="1:19" s="13" customFormat="1" ht="15" customHeight="1">
      <c r="A24" s="18" t="s">
        <v>34</v>
      </c>
      <c r="B24" s="73"/>
      <c r="C24" s="73"/>
      <c r="D24" s="73"/>
      <c r="E24" s="186"/>
      <c r="F24" s="73">
        <v>1</v>
      </c>
      <c r="G24" s="73"/>
      <c r="H24" s="73"/>
      <c r="I24" s="186"/>
      <c r="J24" s="73"/>
      <c r="K24" s="73"/>
      <c r="L24" s="73"/>
      <c r="M24" s="186"/>
      <c r="N24" s="73"/>
      <c r="O24" s="73"/>
      <c r="P24" s="73"/>
      <c r="Q24" s="186"/>
      <c r="R24" s="124"/>
      <c r="S24" s="32"/>
    </row>
    <row r="25" spans="1:19" s="43" customFormat="1" ht="15" customHeight="1">
      <c r="A25" s="48" t="s">
        <v>59</v>
      </c>
      <c r="B25" s="125">
        <f>B17*0.05</f>
        <v>250</v>
      </c>
      <c r="C25" s="125">
        <f>C17*0.05</f>
        <v>250</v>
      </c>
      <c r="D25" s="125">
        <f>D17*0.05</f>
        <v>250</v>
      </c>
      <c r="E25" s="191"/>
      <c r="F25" s="125">
        <f>F17*0.05</f>
        <v>285</v>
      </c>
      <c r="G25" s="125">
        <f>G17*0.05</f>
        <v>285</v>
      </c>
      <c r="H25" s="125">
        <f>H17*0.05</f>
        <v>285</v>
      </c>
      <c r="I25" s="191"/>
      <c r="J25" s="125">
        <f>J17*0.05</f>
        <v>285</v>
      </c>
      <c r="K25" s="125">
        <f>K17*0.05</f>
        <v>285</v>
      </c>
      <c r="L25" s="125">
        <f>L17*0.05</f>
        <v>285</v>
      </c>
      <c r="M25" s="191"/>
      <c r="N25" s="125">
        <f>N17*0.05</f>
        <v>285</v>
      </c>
      <c r="O25" s="125">
        <f>O17*0.05</f>
        <v>285</v>
      </c>
      <c r="P25" s="125">
        <f>P17*0.05</f>
        <v>285</v>
      </c>
      <c r="Q25" s="191"/>
      <c r="R25" s="122"/>
    </row>
    <row r="26" spans="1:19" s="11" customFormat="1" ht="15" customHeight="1">
      <c r="A26" s="38" t="s">
        <v>62</v>
      </c>
      <c r="B26" s="76">
        <v>1</v>
      </c>
      <c r="C26" s="76">
        <v>1</v>
      </c>
      <c r="D26" s="76">
        <v>1</v>
      </c>
      <c r="E26" s="187"/>
      <c r="F26" s="76">
        <v>1</v>
      </c>
      <c r="G26" s="76">
        <v>1</v>
      </c>
      <c r="H26" s="76">
        <v>1</v>
      </c>
      <c r="I26" s="187"/>
      <c r="J26" s="76">
        <v>1</v>
      </c>
      <c r="K26" s="76">
        <v>1</v>
      </c>
      <c r="L26" s="76">
        <v>1</v>
      </c>
      <c r="M26" s="187"/>
      <c r="N26" s="76">
        <v>1</v>
      </c>
      <c r="O26" s="76">
        <v>1</v>
      </c>
      <c r="P26" s="76">
        <v>1</v>
      </c>
      <c r="Q26" s="187"/>
      <c r="R26" s="119"/>
      <c r="S26" s="28"/>
    </row>
    <row r="27" spans="1:19" s="20" customFormat="1" ht="15" customHeight="1">
      <c r="A27" s="61" t="s">
        <v>63</v>
      </c>
      <c r="B27" s="75">
        <f>B26*B25</f>
        <v>250</v>
      </c>
      <c r="C27" s="75">
        <f>C26*C25</f>
        <v>250</v>
      </c>
      <c r="D27" s="75">
        <f>D26*D25</f>
        <v>250</v>
      </c>
      <c r="E27" s="190"/>
      <c r="F27" s="75">
        <f>F26*F25</f>
        <v>285</v>
      </c>
      <c r="G27" s="75">
        <f>G26*G25</f>
        <v>285</v>
      </c>
      <c r="H27" s="75">
        <f>H26*H25</f>
        <v>285</v>
      </c>
      <c r="I27" s="190"/>
      <c r="J27" s="75">
        <f>J26*J25</f>
        <v>285</v>
      </c>
      <c r="K27" s="75">
        <f>K26*K25</f>
        <v>285</v>
      </c>
      <c r="L27" s="75">
        <f>L26*L25</f>
        <v>285</v>
      </c>
      <c r="M27" s="190"/>
      <c r="N27" s="75">
        <f>N26*N25</f>
        <v>285</v>
      </c>
      <c r="O27" s="75">
        <f>O26*O25</f>
        <v>285</v>
      </c>
      <c r="P27" s="75">
        <f>P26*P25</f>
        <v>285</v>
      </c>
      <c r="Q27" s="190"/>
      <c r="R27" s="126"/>
      <c r="S27" s="13"/>
    </row>
    <row r="28" spans="1:19" s="41" customFormat="1" ht="15" customHeight="1">
      <c r="A28" s="51" t="s">
        <v>67</v>
      </c>
      <c r="B28" s="78">
        <f>B23+B27</f>
        <v>2000</v>
      </c>
      <c r="C28" s="78">
        <f>C23+C27</f>
        <v>2000</v>
      </c>
      <c r="D28" s="78">
        <f>D23+D27</f>
        <v>2000</v>
      </c>
      <c r="E28" s="192"/>
      <c r="F28" s="78">
        <f>F23+F27</f>
        <v>2280</v>
      </c>
      <c r="G28" s="78">
        <f>G23+G27</f>
        <v>2280</v>
      </c>
      <c r="H28" s="78">
        <f>H23+H27</f>
        <v>2280</v>
      </c>
      <c r="I28" s="192"/>
      <c r="J28" s="78">
        <f>J23+J27</f>
        <v>2280</v>
      </c>
      <c r="K28" s="78">
        <f>K23+K27</f>
        <v>2280</v>
      </c>
      <c r="L28" s="78">
        <f>L23+L27</f>
        <v>2280</v>
      </c>
      <c r="M28" s="192"/>
      <c r="N28" s="78">
        <f>N23+N27</f>
        <v>2280</v>
      </c>
      <c r="O28" s="78">
        <f>O23+O27</f>
        <v>2280</v>
      </c>
      <c r="P28" s="78">
        <f>P23+P27</f>
        <v>2280</v>
      </c>
      <c r="Q28" s="192"/>
      <c r="R28" s="127"/>
      <c r="S28" s="15"/>
    </row>
    <row r="29" spans="1:19" s="11" customFormat="1" ht="15" customHeight="1">
      <c r="A29" s="118" t="s">
        <v>123</v>
      </c>
      <c r="B29" s="720">
        <f>D5</f>
        <v>194500</v>
      </c>
      <c r="C29" s="721"/>
      <c r="D29" s="721"/>
      <c r="E29" s="719"/>
      <c r="F29" s="720">
        <f>H5</f>
        <v>207000</v>
      </c>
      <c r="G29" s="721"/>
      <c r="H29" s="721"/>
      <c r="I29" s="719"/>
      <c r="J29" s="720">
        <f>L5</f>
        <v>220000</v>
      </c>
      <c r="K29" s="721"/>
      <c r="L29" s="721"/>
      <c r="M29" s="719"/>
      <c r="N29" s="720">
        <f>P5</f>
        <v>184200</v>
      </c>
      <c r="O29" s="721"/>
      <c r="P29" s="721"/>
      <c r="Q29" s="719"/>
      <c r="R29" s="122"/>
    </row>
    <row r="30" spans="1:19" s="11" customFormat="1" ht="15" customHeight="1">
      <c r="A30" s="120" t="s">
        <v>69</v>
      </c>
      <c r="B30" s="720">
        <f>D7</f>
        <v>225996.52889999998</v>
      </c>
      <c r="C30" s="721"/>
      <c r="D30" s="721"/>
      <c r="E30" s="719"/>
      <c r="F30" s="720">
        <f>H7</f>
        <v>233072.82439999998</v>
      </c>
      <c r="G30" s="721"/>
      <c r="H30" s="721"/>
      <c r="I30" s="719"/>
      <c r="J30" s="720">
        <f>L7</f>
        <v>247729.82250000001</v>
      </c>
      <c r="K30" s="721"/>
      <c r="L30" s="721"/>
      <c r="M30" s="719"/>
      <c r="N30" s="720">
        <f>P7</f>
        <v>175022.01990000001</v>
      </c>
      <c r="O30" s="721"/>
      <c r="P30" s="721"/>
      <c r="Q30" s="719"/>
      <c r="R30" s="122"/>
    </row>
    <row r="31" spans="1:19" s="17" customFormat="1" ht="15" customHeight="1">
      <c r="A31" s="120" t="s">
        <v>68</v>
      </c>
      <c r="B31" s="722">
        <f>B30/B29</f>
        <v>1.1619358812339331</v>
      </c>
      <c r="C31" s="723"/>
      <c r="D31" s="723"/>
      <c r="E31" s="719"/>
      <c r="F31" s="722">
        <f>F30/F29</f>
        <v>1.1259556734299516</v>
      </c>
      <c r="G31" s="723"/>
      <c r="H31" s="723"/>
      <c r="I31" s="719"/>
      <c r="J31" s="722">
        <f>J30/J29</f>
        <v>1.1260446477272728</v>
      </c>
      <c r="K31" s="723"/>
      <c r="L31" s="723"/>
      <c r="M31" s="719"/>
      <c r="N31" s="722">
        <f>N30/N29</f>
        <v>0.95017383224755703</v>
      </c>
      <c r="O31" s="723"/>
      <c r="P31" s="723"/>
      <c r="Q31" s="719"/>
      <c r="R31" s="128"/>
      <c r="S31" s="11"/>
    </row>
    <row r="32" spans="1:19" s="13" customFormat="1" ht="15" customHeight="1">
      <c r="A32" s="120" t="s">
        <v>65</v>
      </c>
      <c r="B32" s="724">
        <f>D17</f>
        <v>5000</v>
      </c>
      <c r="C32" s="725"/>
      <c r="D32" s="725"/>
      <c r="E32" s="719"/>
      <c r="F32" s="724">
        <f>H17</f>
        <v>5700</v>
      </c>
      <c r="G32" s="725"/>
      <c r="H32" s="725"/>
      <c r="I32" s="719"/>
      <c r="J32" s="724">
        <f>L17</f>
        <v>5700</v>
      </c>
      <c r="K32" s="725"/>
      <c r="L32" s="725"/>
      <c r="M32" s="719"/>
      <c r="N32" s="724">
        <f>P17</f>
        <v>5700</v>
      </c>
      <c r="O32" s="725"/>
      <c r="P32" s="725"/>
      <c r="Q32" s="719"/>
      <c r="R32" s="122"/>
      <c r="S32" s="11"/>
    </row>
    <row r="33" spans="1:19" s="11" customFormat="1" ht="15" customHeight="1">
      <c r="A33" s="82" t="s">
        <v>66</v>
      </c>
      <c r="B33" s="724">
        <f>IF(B31&lt;100%,0,IF(B31&lt;105%,0.5,IF(B31&lt;110%,0.7,1)))</f>
        <v>1</v>
      </c>
      <c r="C33" s="725"/>
      <c r="D33" s="725"/>
      <c r="E33" s="719"/>
      <c r="F33" s="724">
        <f>IF(F31&lt;100%,0,IF(F31&lt;105%,0.5,IF(F31&lt;110%,0.7,1)))</f>
        <v>1</v>
      </c>
      <c r="G33" s="725"/>
      <c r="H33" s="725"/>
      <c r="I33" s="719"/>
      <c r="J33" s="724">
        <f>IF(J31&lt;100%,0,IF(J31&lt;105%,0.5,IF(J31&lt;110%,0.7,1)))</f>
        <v>1</v>
      </c>
      <c r="K33" s="725"/>
      <c r="L33" s="725"/>
      <c r="M33" s="719"/>
      <c r="N33" s="724">
        <f>IF(N31&lt;100%,0,IF(N31&lt;105%,0.5,IF(N31&lt;110%,0.7,1)))</f>
        <v>0</v>
      </c>
      <c r="O33" s="725"/>
      <c r="P33" s="725"/>
      <c r="Q33" s="719"/>
      <c r="R33" s="129"/>
    </row>
    <row r="34" spans="1:19" s="11" customFormat="1" ht="15" customHeight="1">
      <c r="A34" s="51" t="s">
        <v>64</v>
      </c>
      <c r="B34" s="726">
        <f>B33*B32</f>
        <v>5000</v>
      </c>
      <c r="C34" s="727"/>
      <c r="D34" s="727"/>
      <c r="E34" s="719"/>
      <c r="F34" s="726">
        <f>F33*F32</f>
        <v>5700</v>
      </c>
      <c r="G34" s="727"/>
      <c r="H34" s="727"/>
      <c r="I34" s="719"/>
      <c r="J34" s="726">
        <f>J33*J32</f>
        <v>5700</v>
      </c>
      <c r="K34" s="727"/>
      <c r="L34" s="727"/>
      <c r="M34" s="719"/>
      <c r="N34" s="726">
        <f>N33*N32</f>
        <v>0</v>
      </c>
      <c r="O34" s="727"/>
      <c r="P34" s="727"/>
      <c r="Q34" s="719"/>
      <c r="R34" s="130"/>
    </row>
    <row r="35" spans="1:19" s="11" customFormat="1" ht="15" customHeight="1" thickBot="1">
      <c r="A35" s="58"/>
      <c r="B35" s="59"/>
      <c r="C35" s="59"/>
      <c r="D35" s="59"/>
      <c r="E35" s="132"/>
      <c r="F35" s="59"/>
      <c r="G35" s="59"/>
      <c r="H35" s="59"/>
      <c r="I35" s="132"/>
      <c r="J35" s="59"/>
      <c r="K35" s="59"/>
      <c r="L35" s="59"/>
      <c r="M35" s="132"/>
      <c r="N35" s="59"/>
      <c r="O35" s="59"/>
      <c r="P35" s="59"/>
      <c r="Q35" s="132"/>
      <c r="R35" s="133"/>
    </row>
    <row r="36" spans="1:19" ht="13.5" customHeight="1" thickBot="1">
      <c r="A36" s="325" t="s">
        <v>94</v>
      </c>
      <c r="B36" s="336" t="s">
        <v>1</v>
      </c>
      <c r="C36" s="336" t="s">
        <v>2</v>
      </c>
      <c r="D36" s="336" t="s">
        <v>3</v>
      </c>
      <c r="E36" s="334" t="s">
        <v>96</v>
      </c>
      <c r="F36" s="336" t="s">
        <v>4</v>
      </c>
      <c r="G36" s="336" t="s">
        <v>5</v>
      </c>
      <c r="H36" s="336" t="s">
        <v>6</v>
      </c>
      <c r="I36" s="334" t="s">
        <v>96</v>
      </c>
      <c r="J36" s="336" t="s">
        <v>7</v>
      </c>
      <c r="K36" s="336" t="s">
        <v>8</v>
      </c>
      <c r="L36" s="336" t="s">
        <v>9</v>
      </c>
      <c r="M36" s="334" t="s">
        <v>96</v>
      </c>
      <c r="N36" s="336" t="s">
        <v>95</v>
      </c>
      <c r="O36" s="336" t="s">
        <v>11</v>
      </c>
      <c r="P36" s="336" t="s">
        <v>12</v>
      </c>
      <c r="Q36" s="334" t="s">
        <v>96</v>
      </c>
      <c r="R36" s="334" t="s">
        <v>96</v>
      </c>
    </row>
    <row r="37" spans="1:19" ht="13.5" customHeight="1" thickTop="1">
      <c r="A37" s="326" t="s">
        <v>97</v>
      </c>
      <c r="B37" s="151">
        <v>0</v>
      </c>
      <c r="C37" s="151">
        <v>0</v>
      </c>
      <c r="D37" s="151">
        <v>0</v>
      </c>
      <c r="E37" s="335">
        <f>SUM(B37:D37)</f>
        <v>0</v>
      </c>
      <c r="F37" s="151">
        <v>0</v>
      </c>
      <c r="G37" s="151">
        <v>0</v>
      </c>
      <c r="H37" s="151">
        <v>0</v>
      </c>
      <c r="I37" s="335">
        <f>SUM(F37:H37)</f>
        <v>0</v>
      </c>
      <c r="J37" s="493">
        <v>0</v>
      </c>
      <c r="K37" s="493">
        <v>1</v>
      </c>
      <c r="L37" s="151">
        <v>0</v>
      </c>
      <c r="M37" s="335">
        <f>SUM(J37:L37)</f>
        <v>1</v>
      </c>
      <c r="N37" s="151">
        <v>0</v>
      </c>
      <c r="O37" s="151">
        <v>0</v>
      </c>
      <c r="P37" s="151">
        <v>1</v>
      </c>
      <c r="Q37" s="335">
        <f>SUM(N37:P37)</f>
        <v>1</v>
      </c>
      <c r="R37" s="335">
        <f>I37+M37+Q37+E37</f>
        <v>2</v>
      </c>
      <c r="S37" s="64"/>
    </row>
    <row r="38" spans="1:19" ht="13.5" customHeight="1">
      <c r="A38" s="327" t="s">
        <v>98</v>
      </c>
      <c r="B38" s="152">
        <v>72</v>
      </c>
      <c r="C38" s="152">
        <v>72</v>
      </c>
      <c r="D38" s="152">
        <v>72</v>
      </c>
      <c r="E38" s="196"/>
      <c r="F38" s="152">
        <v>72</v>
      </c>
      <c r="G38" s="152">
        <v>74</v>
      </c>
      <c r="H38" s="152">
        <v>74</v>
      </c>
      <c r="I38" s="196"/>
      <c r="J38" s="492">
        <v>75</v>
      </c>
      <c r="K38" s="492">
        <v>76</v>
      </c>
      <c r="L38" s="152">
        <v>76</v>
      </c>
      <c r="M38" s="196"/>
      <c r="N38" s="152">
        <v>76</v>
      </c>
      <c r="O38" s="152">
        <v>76</v>
      </c>
      <c r="P38" s="152">
        <v>78</v>
      </c>
      <c r="Q38" s="196"/>
      <c r="R38" s="196"/>
      <c r="S38" s="64"/>
    </row>
    <row r="39" spans="1:19" ht="13.5" customHeight="1">
      <c r="A39" s="327" t="s">
        <v>99</v>
      </c>
      <c r="B39" s="152">
        <v>12</v>
      </c>
      <c r="C39" s="152">
        <v>12</v>
      </c>
      <c r="D39" s="152">
        <v>12</v>
      </c>
      <c r="E39" s="196"/>
      <c r="F39" s="152">
        <v>23</v>
      </c>
      <c r="G39" s="152">
        <v>26</v>
      </c>
      <c r="H39" s="152">
        <v>27</v>
      </c>
      <c r="I39" s="196"/>
      <c r="J39" s="492">
        <v>27</v>
      </c>
      <c r="K39" s="492">
        <v>26</v>
      </c>
      <c r="L39" s="152">
        <v>28</v>
      </c>
      <c r="M39" s="196"/>
      <c r="N39" s="152">
        <v>27</v>
      </c>
      <c r="O39" s="152">
        <v>26</v>
      </c>
      <c r="P39" s="152">
        <v>28</v>
      </c>
      <c r="Q39" s="196"/>
      <c r="R39" s="196"/>
      <c r="S39" s="64"/>
    </row>
    <row r="40" spans="1:19" ht="13.5" customHeight="1">
      <c r="A40" s="327" t="s">
        <v>133</v>
      </c>
      <c r="B40" s="152">
        <v>21</v>
      </c>
      <c r="C40" s="152">
        <v>21</v>
      </c>
      <c r="D40" s="152">
        <v>22</v>
      </c>
      <c r="E40" s="196"/>
      <c r="F40" s="152">
        <v>28</v>
      </c>
      <c r="G40" s="152">
        <v>27</v>
      </c>
      <c r="H40" s="152">
        <v>27</v>
      </c>
      <c r="I40" s="196"/>
      <c r="J40" s="492">
        <v>27</v>
      </c>
      <c r="K40" s="492">
        <v>27</v>
      </c>
      <c r="L40" s="152">
        <v>27</v>
      </c>
      <c r="M40" s="196"/>
      <c r="N40" s="152">
        <v>27</v>
      </c>
      <c r="O40" s="152">
        <v>27</v>
      </c>
      <c r="P40" s="152">
        <v>26</v>
      </c>
      <c r="Q40" s="196"/>
      <c r="R40" s="196"/>
      <c r="S40" s="64"/>
    </row>
    <row r="41" spans="1:19" ht="13.5" customHeight="1">
      <c r="A41" s="327" t="s">
        <v>100</v>
      </c>
      <c r="B41" s="396">
        <f>SUM(B38:B40)</f>
        <v>105</v>
      </c>
      <c r="C41" s="396">
        <f t="shared" ref="C41:D41" si="8">SUM(C38:C40)</f>
        <v>105</v>
      </c>
      <c r="D41" s="396">
        <f t="shared" si="8"/>
        <v>106</v>
      </c>
      <c r="E41" s="197"/>
      <c r="F41" s="396">
        <f t="shared" ref="F41:H41" si="9">SUM(F38:F40)</f>
        <v>123</v>
      </c>
      <c r="G41" s="396">
        <f t="shared" si="9"/>
        <v>127</v>
      </c>
      <c r="H41" s="396">
        <f t="shared" si="9"/>
        <v>128</v>
      </c>
      <c r="I41" s="197"/>
      <c r="J41" s="500">
        <v>129</v>
      </c>
      <c r="K41" s="500">
        <v>129</v>
      </c>
      <c r="L41" s="396">
        <f t="shared" ref="L41" si="10">SUM(L38:L40)</f>
        <v>131</v>
      </c>
      <c r="M41" s="197"/>
      <c r="N41" s="396">
        <f t="shared" ref="N41:P41" si="11">SUM(N38:N40)</f>
        <v>130</v>
      </c>
      <c r="O41" s="396">
        <f t="shared" si="11"/>
        <v>129</v>
      </c>
      <c r="P41" s="396">
        <f t="shared" si="11"/>
        <v>132</v>
      </c>
      <c r="Q41" s="197"/>
      <c r="R41" s="197"/>
      <c r="S41" s="64"/>
    </row>
    <row r="42" spans="1:19" ht="13.5" customHeight="1" thickBot="1">
      <c r="A42" s="328" t="s">
        <v>101</v>
      </c>
      <c r="B42" s="153">
        <v>3</v>
      </c>
      <c r="C42" s="153">
        <v>1</v>
      </c>
      <c r="D42" s="153">
        <v>2</v>
      </c>
      <c r="E42" s="335">
        <f t="shared" ref="E42:E43" si="12">SUM(B42:D42)</f>
        <v>6</v>
      </c>
      <c r="F42" s="153">
        <v>0</v>
      </c>
      <c r="G42" s="153">
        <v>1</v>
      </c>
      <c r="H42" s="153">
        <v>1</v>
      </c>
      <c r="I42" s="335">
        <f t="shared" ref="I42:I43" si="13">SUM(F42:H42)</f>
        <v>2</v>
      </c>
      <c r="J42" s="494">
        <v>0</v>
      </c>
      <c r="K42" s="494">
        <v>1</v>
      </c>
      <c r="L42" s="153">
        <v>0</v>
      </c>
      <c r="M42" s="335">
        <f>SUM(J42:L42)</f>
        <v>1</v>
      </c>
      <c r="N42" s="153">
        <v>0</v>
      </c>
      <c r="O42" s="153">
        <v>0</v>
      </c>
      <c r="P42" s="153">
        <v>1</v>
      </c>
      <c r="Q42" s="335">
        <f t="shared" ref="Q42:Q43" si="14">SUM(N42:P42)</f>
        <v>1</v>
      </c>
      <c r="R42" s="335">
        <f>I42+M42+Q42+E42</f>
        <v>10</v>
      </c>
      <c r="S42" s="64"/>
    </row>
    <row r="43" spans="1:19" ht="13.5" customHeight="1" thickTop="1">
      <c r="A43" s="329" t="s">
        <v>134</v>
      </c>
      <c r="B43" s="154">
        <v>33</v>
      </c>
      <c r="C43" s="154">
        <v>33</v>
      </c>
      <c r="D43" s="154">
        <v>54</v>
      </c>
      <c r="E43" s="335">
        <f t="shared" si="12"/>
        <v>120</v>
      </c>
      <c r="F43" s="154">
        <v>36</v>
      </c>
      <c r="G43" s="154">
        <v>33</v>
      </c>
      <c r="H43" s="154">
        <v>24</v>
      </c>
      <c r="I43" s="335">
        <f t="shared" si="13"/>
        <v>93</v>
      </c>
      <c r="J43" s="495">
        <v>42</v>
      </c>
      <c r="K43" s="495">
        <v>38</v>
      </c>
      <c r="L43" s="154">
        <v>28</v>
      </c>
      <c r="M43" s="335">
        <f>SUM(J43:L43)</f>
        <v>108</v>
      </c>
      <c r="N43" s="154">
        <v>30</v>
      </c>
      <c r="O43" s="154">
        <v>25</v>
      </c>
      <c r="P43" s="154">
        <v>31</v>
      </c>
      <c r="Q43" s="335">
        <f t="shared" si="14"/>
        <v>86</v>
      </c>
      <c r="R43" s="335">
        <f>I43+M43+Q43+E43</f>
        <v>407</v>
      </c>
      <c r="S43" s="64"/>
    </row>
    <row r="44" spans="1:19" ht="13.5" customHeight="1">
      <c r="A44" s="327" t="s">
        <v>102</v>
      </c>
      <c r="B44" s="152">
        <v>8</v>
      </c>
      <c r="C44" s="152">
        <v>8</v>
      </c>
      <c r="D44" s="152">
        <v>12</v>
      </c>
      <c r="E44" s="198"/>
      <c r="F44" s="152">
        <v>9</v>
      </c>
      <c r="G44" s="152">
        <v>9</v>
      </c>
      <c r="H44" s="152">
        <v>8</v>
      </c>
      <c r="I44" s="198"/>
      <c r="J44" s="492">
        <v>12</v>
      </c>
      <c r="K44" s="492">
        <v>9</v>
      </c>
      <c r="L44" s="152">
        <v>3</v>
      </c>
      <c r="M44" s="198"/>
      <c r="N44" s="152">
        <v>10</v>
      </c>
      <c r="O44" s="152">
        <v>8</v>
      </c>
      <c r="P44" s="152">
        <v>11</v>
      </c>
      <c r="Q44" s="198"/>
      <c r="R44" s="198"/>
      <c r="S44" s="64"/>
    </row>
    <row r="45" spans="1:19" ht="13.5" customHeight="1">
      <c r="A45" s="327" t="s">
        <v>103</v>
      </c>
      <c r="B45" s="152">
        <v>16</v>
      </c>
      <c r="C45" s="152">
        <v>22</v>
      </c>
      <c r="D45" s="152">
        <v>29</v>
      </c>
      <c r="E45" s="335">
        <f t="shared" ref="E45:E49" si="15">SUM(B45:D45)</f>
        <v>67</v>
      </c>
      <c r="F45" s="152">
        <v>23</v>
      </c>
      <c r="G45" s="152">
        <v>15</v>
      </c>
      <c r="H45" s="152">
        <v>11</v>
      </c>
      <c r="I45" s="335">
        <f t="shared" ref="I45:I49" si="16">SUM(F45:H45)</f>
        <v>49</v>
      </c>
      <c r="J45" s="492">
        <v>28</v>
      </c>
      <c r="K45" s="492">
        <v>22</v>
      </c>
      <c r="L45" s="152">
        <v>21</v>
      </c>
      <c r="M45" s="335">
        <f>SUM(J45:L45)</f>
        <v>71</v>
      </c>
      <c r="N45" s="152">
        <v>13</v>
      </c>
      <c r="O45" s="152">
        <v>12</v>
      </c>
      <c r="P45" s="152">
        <v>24</v>
      </c>
      <c r="Q45" s="335">
        <f t="shared" ref="Q45:Q49" si="17">SUM(N45:P45)</f>
        <v>49</v>
      </c>
      <c r="R45" s="335">
        <f>I45+M45+Q45+E45</f>
        <v>236</v>
      </c>
      <c r="S45" s="64"/>
    </row>
    <row r="46" spans="1:19" ht="13.5" customHeight="1" thickBot="1">
      <c r="A46" s="330" t="s">
        <v>104</v>
      </c>
      <c r="B46" s="155">
        <v>12</v>
      </c>
      <c r="C46" s="155">
        <v>8</v>
      </c>
      <c r="D46" s="155">
        <v>24</v>
      </c>
      <c r="E46" s="335">
        <f t="shared" si="15"/>
        <v>44</v>
      </c>
      <c r="F46" s="155">
        <v>13</v>
      </c>
      <c r="G46" s="155">
        <v>20</v>
      </c>
      <c r="H46" s="155">
        <v>17</v>
      </c>
      <c r="I46" s="335">
        <f t="shared" si="16"/>
        <v>50</v>
      </c>
      <c r="J46" s="496">
        <v>10</v>
      </c>
      <c r="K46" s="496">
        <v>19</v>
      </c>
      <c r="L46" s="155">
        <v>13</v>
      </c>
      <c r="M46" s="335">
        <f>SUM(J46:L46)</f>
        <v>42</v>
      </c>
      <c r="N46" s="155">
        <v>10</v>
      </c>
      <c r="O46" s="155">
        <v>15</v>
      </c>
      <c r="P46" s="155">
        <v>15</v>
      </c>
      <c r="Q46" s="335">
        <f t="shared" si="17"/>
        <v>40</v>
      </c>
      <c r="R46" s="335">
        <f>I46+M46+Q46+E46</f>
        <v>176</v>
      </c>
      <c r="S46" s="64"/>
    </row>
    <row r="47" spans="1:19" ht="13.5" customHeight="1" thickTop="1">
      <c r="A47" s="326" t="s">
        <v>184</v>
      </c>
      <c r="B47" s="151">
        <v>1</v>
      </c>
      <c r="C47" s="151">
        <v>1</v>
      </c>
      <c r="D47" s="151">
        <v>0</v>
      </c>
      <c r="E47" s="335">
        <f t="shared" si="15"/>
        <v>2</v>
      </c>
      <c r="F47" s="151">
        <v>0</v>
      </c>
      <c r="G47" s="151">
        <v>1</v>
      </c>
      <c r="H47" s="151">
        <v>3</v>
      </c>
      <c r="I47" s="335">
        <f t="shared" si="16"/>
        <v>4</v>
      </c>
      <c r="J47" s="493">
        <v>0</v>
      </c>
      <c r="K47" s="493">
        <v>0</v>
      </c>
      <c r="L47" s="151">
        <v>2</v>
      </c>
      <c r="M47" s="335">
        <f>SUM(J47:L47)</f>
        <v>2</v>
      </c>
      <c r="N47" s="151">
        <v>2</v>
      </c>
      <c r="O47" s="151">
        <v>0</v>
      </c>
      <c r="P47" s="151">
        <v>1</v>
      </c>
      <c r="Q47" s="335">
        <f t="shared" si="17"/>
        <v>3</v>
      </c>
      <c r="R47" s="335">
        <f>I47+M47+Q47+E47</f>
        <v>11</v>
      </c>
      <c r="S47" s="64"/>
    </row>
    <row r="48" spans="1:19" ht="13.5" customHeight="1" thickBot="1">
      <c r="A48" s="328" t="s">
        <v>105</v>
      </c>
      <c r="B48" s="153">
        <v>0</v>
      </c>
      <c r="C48" s="153">
        <v>0</v>
      </c>
      <c r="D48" s="153">
        <v>0</v>
      </c>
      <c r="E48" s="335">
        <f t="shared" si="15"/>
        <v>0</v>
      </c>
      <c r="F48" s="153">
        <v>0</v>
      </c>
      <c r="G48" s="153">
        <v>0</v>
      </c>
      <c r="H48" s="153">
        <v>0</v>
      </c>
      <c r="I48" s="335">
        <f t="shared" si="16"/>
        <v>0</v>
      </c>
      <c r="J48" s="494">
        <v>0</v>
      </c>
      <c r="K48" s="494">
        <v>0</v>
      </c>
      <c r="L48" s="153">
        <v>0</v>
      </c>
      <c r="M48" s="335">
        <f>SUM(J48:L48)</f>
        <v>0</v>
      </c>
      <c r="N48" s="153">
        <v>0</v>
      </c>
      <c r="O48" s="153">
        <v>0</v>
      </c>
      <c r="P48" s="153">
        <v>0</v>
      </c>
      <c r="Q48" s="335">
        <f t="shared" si="17"/>
        <v>0</v>
      </c>
      <c r="R48" s="335">
        <f>I48+M48+Q48+E48</f>
        <v>0</v>
      </c>
      <c r="S48" s="64"/>
    </row>
    <row r="49" spans="1:19" ht="13.5" customHeight="1" thickTop="1" thickBot="1">
      <c r="A49" s="328" t="s">
        <v>106</v>
      </c>
      <c r="B49" s="153">
        <v>3</v>
      </c>
      <c r="C49" s="153">
        <v>1</v>
      </c>
      <c r="D49" s="153">
        <v>1</v>
      </c>
      <c r="E49" s="335">
        <f t="shared" si="15"/>
        <v>5</v>
      </c>
      <c r="F49" s="153">
        <v>0</v>
      </c>
      <c r="G49" s="153">
        <v>5</v>
      </c>
      <c r="H49" s="153">
        <v>4</v>
      </c>
      <c r="I49" s="335">
        <f t="shared" si="16"/>
        <v>9</v>
      </c>
      <c r="J49" s="494">
        <v>3</v>
      </c>
      <c r="K49" s="494">
        <v>2</v>
      </c>
      <c r="L49" s="153">
        <v>4</v>
      </c>
      <c r="M49" s="335">
        <f>SUM(J49:L49)</f>
        <v>9</v>
      </c>
      <c r="N49" s="153">
        <v>2</v>
      </c>
      <c r="O49" s="153">
        <v>0</v>
      </c>
      <c r="P49" s="153">
        <v>2</v>
      </c>
      <c r="Q49" s="335">
        <f t="shared" si="17"/>
        <v>4</v>
      </c>
      <c r="R49" s="335">
        <f>I49+M49+Q49+E49</f>
        <v>27</v>
      </c>
      <c r="S49" s="64"/>
    </row>
    <row r="50" spans="1:19" ht="13.5" customHeight="1" thickTop="1">
      <c r="A50" s="331" t="s">
        <v>107</v>
      </c>
      <c r="B50" s="158">
        <v>26</v>
      </c>
      <c r="C50" s="158">
        <v>19</v>
      </c>
      <c r="D50" s="158">
        <v>22</v>
      </c>
      <c r="E50" s="150"/>
      <c r="F50" s="158">
        <v>17</v>
      </c>
      <c r="G50" s="158">
        <v>22</v>
      </c>
      <c r="H50" s="158">
        <v>19</v>
      </c>
      <c r="I50" s="150"/>
      <c r="J50" s="497">
        <v>18</v>
      </c>
      <c r="K50" s="497">
        <v>16</v>
      </c>
      <c r="L50" s="194">
        <v>12</v>
      </c>
      <c r="M50" s="150"/>
      <c r="N50" s="158">
        <v>18</v>
      </c>
      <c r="O50" s="158">
        <v>19</v>
      </c>
      <c r="P50" s="158">
        <v>14</v>
      </c>
      <c r="Q50" s="150"/>
      <c r="R50" s="150"/>
      <c r="S50" s="64"/>
    </row>
    <row r="51" spans="1:19" ht="13.5" customHeight="1">
      <c r="A51" s="332" t="s">
        <v>108</v>
      </c>
      <c r="B51" s="159">
        <v>15</v>
      </c>
      <c r="C51" s="159">
        <v>7</v>
      </c>
      <c r="D51" s="159">
        <v>15</v>
      </c>
      <c r="E51" s="335">
        <f t="shared" ref="E51:E53" si="18">SUM(B51:D51)</f>
        <v>37</v>
      </c>
      <c r="F51" s="159">
        <v>15</v>
      </c>
      <c r="G51" s="159">
        <v>16</v>
      </c>
      <c r="H51" s="159">
        <v>8</v>
      </c>
      <c r="I51" s="335">
        <f t="shared" ref="I51:I53" si="19">SUM(F51:H51)</f>
        <v>39</v>
      </c>
      <c r="J51" s="498">
        <v>9</v>
      </c>
      <c r="K51" s="498">
        <v>8</v>
      </c>
      <c r="L51" s="195">
        <v>6</v>
      </c>
      <c r="M51" s="335">
        <f>SUM(J51:L51)</f>
        <v>23</v>
      </c>
      <c r="N51" s="159">
        <v>10</v>
      </c>
      <c r="O51" s="159">
        <v>10</v>
      </c>
      <c r="P51" s="159">
        <v>10</v>
      </c>
      <c r="Q51" s="335">
        <f t="shared" ref="Q51:Q53" si="20">SUM(N51:P51)</f>
        <v>30</v>
      </c>
      <c r="R51" s="335">
        <f>I51+M51+Q51+E51</f>
        <v>129</v>
      </c>
      <c r="S51" s="64"/>
    </row>
    <row r="52" spans="1:19" ht="13.5" customHeight="1">
      <c r="A52" s="332" t="s">
        <v>109</v>
      </c>
      <c r="B52" s="159">
        <v>10</v>
      </c>
      <c r="C52" s="159">
        <v>6</v>
      </c>
      <c r="D52" s="159">
        <v>9</v>
      </c>
      <c r="E52" s="335">
        <f t="shared" si="18"/>
        <v>25</v>
      </c>
      <c r="F52" s="159">
        <v>7</v>
      </c>
      <c r="G52" s="159">
        <v>8</v>
      </c>
      <c r="H52" s="159">
        <v>2</v>
      </c>
      <c r="I52" s="335">
        <f t="shared" si="19"/>
        <v>17</v>
      </c>
      <c r="J52" s="498">
        <v>3</v>
      </c>
      <c r="K52" s="498">
        <v>7</v>
      </c>
      <c r="L52" s="195">
        <v>5</v>
      </c>
      <c r="M52" s="335">
        <f>SUM(J52:L52)</f>
        <v>15</v>
      </c>
      <c r="N52" s="159">
        <v>1</v>
      </c>
      <c r="O52" s="379">
        <v>4</v>
      </c>
      <c r="P52" s="381">
        <v>8</v>
      </c>
      <c r="Q52" s="335">
        <f t="shared" si="20"/>
        <v>13</v>
      </c>
      <c r="R52" s="335">
        <f>I52+M52+Q52+E52</f>
        <v>70</v>
      </c>
      <c r="S52" s="64"/>
    </row>
    <row r="53" spans="1:19" ht="13.5" customHeight="1">
      <c r="A53" s="332" t="s">
        <v>110</v>
      </c>
      <c r="B53" s="159">
        <v>10</v>
      </c>
      <c r="C53" s="159">
        <v>8</v>
      </c>
      <c r="D53" s="159">
        <v>7</v>
      </c>
      <c r="E53" s="335">
        <f t="shared" si="18"/>
        <v>25</v>
      </c>
      <c r="F53" s="159">
        <v>11</v>
      </c>
      <c r="G53" s="159">
        <v>3</v>
      </c>
      <c r="H53" s="159">
        <v>9</v>
      </c>
      <c r="I53" s="335">
        <f t="shared" si="19"/>
        <v>23</v>
      </c>
      <c r="J53" s="498">
        <v>7</v>
      </c>
      <c r="K53" s="498">
        <v>3</v>
      </c>
      <c r="L53" s="195">
        <v>7</v>
      </c>
      <c r="M53" s="335">
        <f>SUM(J53:L53)</f>
        <v>17</v>
      </c>
      <c r="N53" s="159">
        <v>4</v>
      </c>
      <c r="O53" s="379">
        <v>5</v>
      </c>
      <c r="P53" s="381">
        <v>6</v>
      </c>
      <c r="Q53" s="335">
        <f t="shared" si="20"/>
        <v>15</v>
      </c>
      <c r="R53" s="335">
        <f>I53+M53+Q53+E53</f>
        <v>80</v>
      </c>
      <c r="S53" s="64"/>
    </row>
    <row r="54" spans="1:19" ht="13.5" customHeight="1" thickBot="1">
      <c r="A54" s="333" t="s">
        <v>111</v>
      </c>
      <c r="B54" s="345">
        <v>0</v>
      </c>
      <c r="C54" s="345">
        <v>0</v>
      </c>
      <c r="D54" s="345">
        <v>0</v>
      </c>
      <c r="E54" s="199"/>
      <c r="F54" s="345">
        <v>0</v>
      </c>
      <c r="G54" s="345">
        <v>0</v>
      </c>
      <c r="H54" s="345">
        <v>0</v>
      </c>
      <c r="I54" s="199"/>
      <c r="J54" s="499">
        <v>0</v>
      </c>
      <c r="K54" s="499">
        <v>0</v>
      </c>
      <c r="L54" s="347">
        <v>0</v>
      </c>
      <c r="M54" s="199"/>
      <c r="N54" s="345">
        <v>0</v>
      </c>
      <c r="O54" s="380">
        <v>0</v>
      </c>
      <c r="P54" s="382">
        <v>0</v>
      </c>
      <c r="Q54" s="199"/>
      <c r="R54" s="199"/>
      <c r="S54" s="64"/>
    </row>
    <row r="55" spans="1:19" ht="13.8" thickTop="1">
      <c r="A55"/>
      <c r="B55" s="491"/>
      <c r="C55" s="491"/>
      <c r="D55" s="491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156"/>
      <c r="Q55" s="64"/>
      <c r="R55" s="64"/>
      <c r="S55" s="12"/>
    </row>
  </sheetData>
  <mergeCells count="28">
    <mergeCell ref="B31:E31"/>
    <mergeCell ref="F31:I31"/>
    <mergeCell ref="J31:M31"/>
    <mergeCell ref="N31:Q31"/>
    <mergeCell ref="B30:E30"/>
    <mergeCell ref="F30:I30"/>
    <mergeCell ref="J30:M30"/>
    <mergeCell ref="N30:Q30"/>
    <mergeCell ref="N1:Q1"/>
    <mergeCell ref="B1:E1"/>
    <mergeCell ref="B29:E29"/>
    <mergeCell ref="F29:I29"/>
    <mergeCell ref="J29:M29"/>
    <mergeCell ref="J1:M1"/>
    <mergeCell ref="F1:I1"/>
    <mergeCell ref="N29:Q29"/>
    <mergeCell ref="F34:I34"/>
    <mergeCell ref="J33:M33"/>
    <mergeCell ref="B32:E32"/>
    <mergeCell ref="N33:Q33"/>
    <mergeCell ref="B33:E33"/>
    <mergeCell ref="F33:I33"/>
    <mergeCell ref="F32:I32"/>
    <mergeCell ref="N32:Q32"/>
    <mergeCell ref="J32:M32"/>
    <mergeCell ref="J34:M34"/>
    <mergeCell ref="N34:Q34"/>
    <mergeCell ref="B34:E34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P28" sqref="P28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35" customWidth="1"/>
    <col min="6" max="8" width="11.6640625" style="11" customWidth="1"/>
    <col min="9" max="9" width="12.5546875" style="135" customWidth="1"/>
    <col min="10" max="12" width="11.6640625" style="11" customWidth="1"/>
    <col min="13" max="13" width="11.44140625" style="135" customWidth="1"/>
    <col min="14" max="16" width="12.6640625" style="11" customWidth="1"/>
    <col min="17" max="17" width="11.44140625" style="135" customWidth="1"/>
    <col min="18" max="18" width="13.33203125" style="135" customWidth="1"/>
    <col min="19" max="19" width="9.109375" style="11"/>
    <col min="20" max="16384" width="9.109375" style="12"/>
  </cols>
  <sheetData>
    <row r="1" spans="1:19" s="19" customFormat="1" ht="15" customHeight="1">
      <c r="A1" s="30" t="s">
        <v>24</v>
      </c>
      <c r="B1" s="728" t="s">
        <v>131</v>
      </c>
      <c r="C1" s="718"/>
      <c r="D1" s="718"/>
      <c r="E1" s="719"/>
      <c r="F1" s="728" t="s">
        <v>145</v>
      </c>
      <c r="G1" s="718"/>
      <c r="H1" s="718"/>
      <c r="I1" s="719"/>
      <c r="J1" s="728" t="s">
        <v>152</v>
      </c>
      <c r="K1" s="718"/>
      <c r="L1" s="718"/>
      <c r="M1" s="719"/>
      <c r="N1" s="728" t="s">
        <v>156</v>
      </c>
      <c r="O1" s="718"/>
      <c r="P1" s="718"/>
      <c r="Q1" s="719"/>
      <c r="R1" s="169"/>
      <c r="S1" s="11"/>
    </row>
    <row r="2" spans="1:19" s="19" customFormat="1" ht="15" customHeight="1">
      <c r="A2" s="5" t="s">
        <v>0</v>
      </c>
      <c r="B2" s="597" t="s">
        <v>1</v>
      </c>
      <c r="C2" s="597" t="s">
        <v>2</v>
      </c>
      <c r="D2" s="597" t="s">
        <v>3</v>
      </c>
      <c r="E2" s="178" t="s">
        <v>113</v>
      </c>
      <c r="F2" s="597" t="s">
        <v>4</v>
      </c>
      <c r="G2" s="597" t="s">
        <v>5</v>
      </c>
      <c r="H2" s="597" t="s">
        <v>6</v>
      </c>
      <c r="I2" s="178" t="s">
        <v>124</v>
      </c>
      <c r="J2" s="597" t="s">
        <v>7</v>
      </c>
      <c r="K2" s="597" t="s">
        <v>8</v>
      </c>
      <c r="L2" s="597" t="s">
        <v>9</v>
      </c>
      <c r="M2" s="178" t="s">
        <v>125</v>
      </c>
      <c r="N2" s="597" t="s">
        <v>10</v>
      </c>
      <c r="O2" s="597" t="s">
        <v>11</v>
      </c>
      <c r="P2" s="597" t="s">
        <v>12</v>
      </c>
      <c r="Q2" s="178" t="s">
        <v>126</v>
      </c>
      <c r="R2" s="101" t="s">
        <v>127</v>
      </c>
      <c r="S2" s="11"/>
    </row>
    <row r="3" spans="1:19" s="19" customFormat="1" ht="15" customHeight="1">
      <c r="A3" s="172"/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173"/>
      <c r="N3" s="601"/>
      <c r="O3" s="601"/>
      <c r="P3" s="601"/>
      <c r="Q3" s="601"/>
      <c r="R3" s="174"/>
      <c r="S3" s="11"/>
    </row>
    <row r="4" spans="1:19" s="19" customFormat="1" ht="15" customHeight="1">
      <c r="A4" s="102" t="s">
        <v>36</v>
      </c>
      <c r="B4" s="602">
        <f>'Target 2022'!C6-6000</f>
        <v>70350</v>
      </c>
      <c r="C4" s="602">
        <f>'Target 2022'!D6-30000</f>
        <v>54833.333333333328</v>
      </c>
      <c r="D4" s="602">
        <f>'Target 2022'!E6+6000+30000</f>
        <v>129316.66666666667</v>
      </c>
      <c r="E4" s="192">
        <f>SUM(B4:D4)</f>
        <v>254500</v>
      </c>
      <c r="F4" s="602">
        <f>'Target 2022'!F6</f>
        <v>74700</v>
      </c>
      <c r="G4" s="602">
        <f>'Target 2022'!G6</f>
        <v>83000</v>
      </c>
      <c r="H4" s="602">
        <f>'Target 2022'!H6</f>
        <v>91300.000000000015</v>
      </c>
      <c r="I4" s="192">
        <f>SUM(F4:H4)</f>
        <v>249000</v>
      </c>
      <c r="J4" s="602">
        <f>'Target 2022'!I6</f>
        <v>76500</v>
      </c>
      <c r="K4" s="602">
        <f>'Target 2022'!J6</f>
        <v>85000</v>
      </c>
      <c r="L4" s="602">
        <f>'Target 2022'!K6-20900</f>
        <v>72600.000000000015</v>
      </c>
      <c r="M4" s="179">
        <f>SUM(J4:L4)</f>
        <v>234100</v>
      </c>
      <c r="N4" s="602">
        <f>'Target 2022'!L6</f>
        <v>79166.666666666657</v>
      </c>
      <c r="O4" s="602">
        <f>'Target 2022'!M6-700</f>
        <v>86800</v>
      </c>
      <c r="P4" s="602">
        <f>'Target 2022'!N6+20900+700-36000</f>
        <v>68933.333333333328</v>
      </c>
      <c r="Q4" s="192">
        <f>SUM(N4:P4)</f>
        <v>234900</v>
      </c>
      <c r="R4" s="656">
        <f>E4+I4+M4+Q4</f>
        <v>972500</v>
      </c>
      <c r="S4" s="11"/>
    </row>
    <row r="5" spans="1:19" s="19" customFormat="1" ht="15" customHeight="1">
      <c r="A5" s="104" t="s">
        <v>35</v>
      </c>
      <c r="B5" s="603">
        <f>B4</f>
        <v>70350</v>
      </c>
      <c r="C5" s="603">
        <f>C4+B5</f>
        <v>125183.33333333333</v>
      </c>
      <c r="D5" s="603">
        <f>D4+C5</f>
        <v>254500</v>
      </c>
      <c r="E5" s="613"/>
      <c r="F5" s="603">
        <f>F4</f>
        <v>74700</v>
      </c>
      <c r="G5" s="603">
        <f>G4+F5</f>
        <v>157700</v>
      </c>
      <c r="H5" s="603">
        <f>H4+G5</f>
        <v>249000</v>
      </c>
      <c r="I5" s="613"/>
      <c r="J5" s="603">
        <f>J4</f>
        <v>76500</v>
      </c>
      <c r="K5" s="603">
        <f>K4+J5</f>
        <v>161500</v>
      </c>
      <c r="L5" s="603">
        <f>L4+K5</f>
        <v>234100</v>
      </c>
      <c r="M5" s="180"/>
      <c r="N5" s="603">
        <f>N4</f>
        <v>79166.666666666657</v>
      </c>
      <c r="O5" s="603">
        <f>O4+N5</f>
        <v>165966.66666666666</v>
      </c>
      <c r="P5" s="603">
        <f>P4+O5</f>
        <v>234900</v>
      </c>
      <c r="Q5" s="613"/>
      <c r="R5" s="360">
        <f>R6/R4</f>
        <v>0.96178440534704357</v>
      </c>
      <c r="S5" s="11"/>
    </row>
    <row r="6" spans="1:19" s="19" customFormat="1" ht="15" customHeight="1">
      <c r="A6" s="106" t="s">
        <v>37</v>
      </c>
      <c r="B6" s="204">
        <f>SUMIF(I!A:A,$A$1,I!I:I)</f>
        <v>56827.078099999999</v>
      </c>
      <c r="C6" s="203">
        <f>SUMIF(II!A:A,$A$1,II!I:I)</f>
        <v>58179.823100000001</v>
      </c>
      <c r="D6" s="203">
        <f>SUMIF(III!A:A,$A$1,III!I:I)</f>
        <v>120879.0781</v>
      </c>
      <c r="E6" s="653">
        <f>SUM(B6:D6)</f>
        <v>235885.97930000001</v>
      </c>
      <c r="F6" s="203">
        <f>SUMIF(IV!A:A,$A$1,IV!I:I)</f>
        <v>77554.474400000006</v>
      </c>
      <c r="G6" s="203">
        <f>SUMIF(V!A:A,$A$1,V!I:I)</f>
        <v>115843.92969999999</v>
      </c>
      <c r="H6" s="203">
        <f>SUMIF(VI!A:A,$A$1,VI!I:I)</f>
        <v>70921.754099999991</v>
      </c>
      <c r="I6" s="653">
        <f>SUM(F6:H6)</f>
        <v>264320.15819999995</v>
      </c>
      <c r="J6" s="203">
        <f>SUMIF(VII!A:A,$A$1,VII!I:I)</f>
        <v>90332.25</v>
      </c>
      <c r="K6" s="203">
        <f>SUMIF(VIII!A:A,$A$1,VIII!I:I)</f>
        <v>67092.867199999993</v>
      </c>
      <c r="L6" s="203">
        <f>SUMIF(IX!A:A,$A$1,IX!I:I)</f>
        <v>65015.292500000003</v>
      </c>
      <c r="M6" s="657">
        <f>SUM(J6:L6)</f>
        <v>222440.40969999999</v>
      </c>
      <c r="N6" s="203">
        <f>SUMIF(X!A:A,$A$1,X!I:I)</f>
        <v>81505.717499999999</v>
      </c>
      <c r="O6" s="203">
        <f>SUMIF(XI!A:A,$A$1,XI!I:I)</f>
        <v>76523.542199999996</v>
      </c>
      <c r="P6" s="203">
        <f>SUMIF(XII!A:A,$A$1,XII!I:I)</f>
        <v>54659.527300000002</v>
      </c>
      <c r="Q6" s="653">
        <f>SUM(N6:P6)</f>
        <v>212688.78700000001</v>
      </c>
      <c r="R6" s="103">
        <f>E6+I6+M6+Q6</f>
        <v>935335.33419999992</v>
      </c>
      <c r="S6" s="11"/>
    </row>
    <row r="7" spans="1:19" s="19" customFormat="1" ht="15" customHeight="1">
      <c r="A7" s="104" t="s">
        <v>38</v>
      </c>
      <c r="B7" s="599">
        <f>B6</f>
        <v>56827.078099999999</v>
      </c>
      <c r="C7" s="599">
        <f>C6+B7</f>
        <v>115006.90119999999</v>
      </c>
      <c r="D7" s="599">
        <f>D6+C7</f>
        <v>235885.97930000001</v>
      </c>
      <c r="E7" s="653"/>
      <c r="F7" s="599">
        <f>F6</f>
        <v>77554.474400000006</v>
      </c>
      <c r="G7" s="599">
        <f>G6+F7</f>
        <v>193398.40409999999</v>
      </c>
      <c r="H7" s="599">
        <f>H6+G7</f>
        <v>264320.15819999995</v>
      </c>
      <c r="I7" s="653"/>
      <c r="J7" s="599">
        <f>J6</f>
        <v>90332.25</v>
      </c>
      <c r="K7" s="599">
        <f>K6+J7</f>
        <v>157425.11719999998</v>
      </c>
      <c r="L7" s="599">
        <f>L6+K7</f>
        <v>222440.40969999999</v>
      </c>
      <c r="M7" s="702">
        <f>SUM(E6,I6,M6)/3</f>
        <v>240882.18239999996</v>
      </c>
      <c r="N7" s="599">
        <f>N6</f>
        <v>81505.717499999999</v>
      </c>
      <c r="O7" s="599">
        <f>O6+N7</f>
        <v>158029.2597</v>
      </c>
      <c r="P7" s="599">
        <f>P6+O7</f>
        <v>212688.78700000001</v>
      </c>
      <c r="Q7" s="653"/>
      <c r="R7" s="105"/>
      <c r="S7" s="11"/>
    </row>
    <row r="8" spans="1:19" s="19" customFormat="1" ht="15" customHeight="1">
      <c r="A8" s="107" t="s">
        <v>39</v>
      </c>
      <c r="B8" s="90">
        <f t="shared" ref="B8:D9" si="0">B6/B4</f>
        <v>0.80777651883439938</v>
      </c>
      <c r="C8" s="90">
        <f t="shared" si="0"/>
        <v>1.0610302085106385</v>
      </c>
      <c r="D8" s="90">
        <f t="shared" si="0"/>
        <v>0.93475250496197959</v>
      </c>
      <c r="E8" s="655"/>
      <c r="F8" s="90">
        <f t="shared" ref="F8:H9" si="1">F6/F4</f>
        <v>1.0382125087014726</v>
      </c>
      <c r="G8" s="90">
        <f t="shared" si="1"/>
        <v>1.3957099963855422</v>
      </c>
      <c r="H8" s="90">
        <f t="shared" si="1"/>
        <v>0.77679905914567338</v>
      </c>
      <c r="I8" s="654"/>
      <c r="J8" s="90">
        <f t="shared" ref="J8:L9" si="2">J6/J4</f>
        <v>1.180813725490196</v>
      </c>
      <c r="K8" s="90">
        <f t="shared" si="2"/>
        <v>0.78932784941176459</v>
      </c>
      <c r="L8" s="90">
        <f t="shared" si="2"/>
        <v>0.89552744490358116</v>
      </c>
      <c r="M8" s="654"/>
      <c r="N8" s="90">
        <f t="shared" ref="N8:P9" si="3">N6/N4</f>
        <v>1.0295459052631579</v>
      </c>
      <c r="O8" s="90">
        <f t="shared" si="3"/>
        <v>0.88160762903225798</v>
      </c>
      <c r="P8" s="90">
        <f t="shared" si="3"/>
        <v>0.79293318133462287</v>
      </c>
      <c r="Q8" s="653"/>
      <c r="R8" s="108"/>
      <c r="S8" s="11"/>
    </row>
    <row r="9" spans="1:19" s="20" customFormat="1" ht="15" customHeight="1">
      <c r="A9" s="107" t="s">
        <v>40</v>
      </c>
      <c r="B9" s="90">
        <f t="shared" si="0"/>
        <v>0.80777651883439938</v>
      </c>
      <c r="C9" s="90">
        <f t="shared" si="0"/>
        <v>0.91870777153508187</v>
      </c>
      <c r="D9" s="90">
        <f t="shared" si="0"/>
        <v>0.92686042946954816</v>
      </c>
      <c r="E9" s="654"/>
      <c r="F9" s="90">
        <f t="shared" si="1"/>
        <v>1.0382125087014726</v>
      </c>
      <c r="G9" s="90">
        <f t="shared" si="1"/>
        <v>1.2263690811667722</v>
      </c>
      <c r="H9" s="90">
        <f t="shared" si="1"/>
        <v>1.061526739759036</v>
      </c>
      <c r="I9" s="654"/>
      <c r="J9" s="90">
        <f t="shared" si="2"/>
        <v>1.180813725490196</v>
      </c>
      <c r="K9" s="90">
        <f t="shared" si="2"/>
        <v>0.97476852755417942</v>
      </c>
      <c r="L9" s="90">
        <f t="shared" si="2"/>
        <v>0.95019397565143093</v>
      </c>
      <c r="M9" s="654"/>
      <c r="N9" s="90">
        <f t="shared" si="3"/>
        <v>1.0295459052631579</v>
      </c>
      <c r="O9" s="90">
        <f t="shared" si="3"/>
        <v>0.95217469190600523</v>
      </c>
      <c r="P9" s="90">
        <f t="shared" si="3"/>
        <v>0.90544396338867605</v>
      </c>
      <c r="Q9" s="654"/>
      <c r="R9" s="109"/>
      <c r="S9" s="13"/>
    </row>
    <row r="10" spans="1:19" s="42" customFormat="1" ht="15" customHeight="1">
      <c r="A10" s="104" t="s">
        <v>48</v>
      </c>
      <c r="B10" s="598">
        <f>B7-B5</f>
        <v>-13522.921900000001</v>
      </c>
      <c r="C10" s="598">
        <f>C7-C5</f>
        <v>-10176.432133333336</v>
      </c>
      <c r="D10" s="598">
        <f>D7-D5</f>
        <v>-18614.020699999994</v>
      </c>
      <c r="E10" s="653"/>
      <c r="F10" s="598">
        <f>F7-F5</f>
        <v>2854.4744000000064</v>
      </c>
      <c r="G10" s="598">
        <f>G7-G5</f>
        <v>35698.404099999985</v>
      </c>
      <c r="H10" s="598">
        <f>H7-H5</f>
        <v>15320.158199999947</v>
      </c>
      <c r="I10" s="653"/>
      <c r="J10" s="598">
        <f>J7-J5</f>
        <v>13832.25</v>
      </c>
      <c r="K10" s="598">
        <f>K7-K5</f>
        <v>-4074.8828000000212</v>
      </c>
      <c r="L10" s="598">
        <f>L7-L5</f>
        <v>-11659.590300000011</v>
      </c>
      <c r="M10" s="657"/>
      <c r="N10" s="598">
        <f>N7-N5</f>
        <v>2339.0508333333419</v>
      </c>
      <c r="O10" s="598">
        <f>O7-O5</f>
        <v>-7937.4069666666619</v>
      </c>
      <c r="P10" s="598">
        <f>P7-P5</f>
        <v>-22211.212999999989</v>
      </c>
      <c r="Q10" s="653"/>
      <c r="R10" s="105"/>
    </row>
    <row r="11" spans="1:19" s="20" customFormat="1" ht="15" customHeight="1">
      <c r="A11" s="106" t="s">
        <v>201</v>
      </c>
      <c r="B11" s="204">
        <f>SUMIF(I!A:A,$A$1,I!G:G)</f>
        <v>180624.3438</v>
      </c>
      <c r="C11" s="203">
        <f>SUMIF(II!A:A,$A$1,II!G:G)</f>
        <v>201266.54689999999</v>
      </c>
      <c r="D11" s="203">
        <f>SUMIF(III!A:A,$A$1,III!G:G)</f>
        <v>348174</v>
      </c>
      <c r="E11" s="653">
        <f>SUM(B11:D11)</f>
        <v>730064.89069999999</v>
      </c>
      <c r="F11" s="203">
        <f>SUMIF(IV!A:A,$A$1,IV!G:G)</f>
        <v>280336.90629999997</v>
      </c>
      <c r="G11" s="203">
        <f>SUMIF(V!A:A,$A$1,V!G:G)</f>
        <v>500516.8125</v>
      </c>
      <c r="H11" s="203">
        <f>SUMIF(VI!A:A,$A$1,VI!G:G)</f>
        <v>277892.15629999997</v>
      </c>
      <c r="I11" s="653">
        <f>SUM(F11:H11)</f>
        <v>1058745.8750999998</v>
      </c>
      <c r="J11" s="203">
        <f>SUMIF(VII!A:A,$A$1,VII!G:G)</f>
        <v>290074.5625</v>
      </c>
      <c r="K11" s="203">
        <f>SUMIF(VIII!A:A,$A$1,VIII!G:G)</f>
        <v>252414.375</v>
      </c>
      <c r="L11" s="203">
        <f>SUMIF(IX!A:A,$A$1,IX!G:G)</f>
        <v>223829.92189999999</v>
      </c>
      <c r="M11" s="657">
        <f>SUM(J11:L11)</f>
        <v>766318.85939999996</v>
      </c>
      <c r="N11" s="203">
        <f>SUMIF(X!A:A,$A$1,X!G:G)</f>
        <v>312399.34379999997</v>
      </c>
      <c r="O11" s="203">
        <f>SUMIF(XI!A:A,$A$1,XI!G:G)</f>
        <v>265949.84379999997</v>
      </c>
      <c r="P11" s="203">
        <f>SUMIF(XII!A:A,$A$1,XII!G:G)</f>
        <v>200949.5938</v>
      </c>
      <c r="Q11" s="653">
        <f>SUM(N11:P11)</f>
        <v>779298.78139999998</v>
      </c>
      <c r="R11" s="103">
        <f>E11+I11+M11+Q11</f>
        <v>3334428.4065999994</v>
      </c>
      <c r="S11" s="13"/>
    </row>
    <row r="12" spans="1:19" customFormat="1">
      <c r="A12" s="104" t="s">
        <v>202</v>
      </c>
      <c r="B12" s="599">
        <f>B11</f>
        <v>180624.3438</v>
      </c>
      <c r="C12" s="599">
        <f>C11+B12</f>
        <v>381890.89069999999</v>
      </c>
      <c r="D12" s="599">
        <f>D11+C12</f>
        <v>730064.89069999999</v>
      </c>
      <c r="E12" s="613"/>
      <c r="F12" s="599">
        <f>F11</f>
        <v>280336.90629999997</v>
      </c>
      <c r="G12" s="599">
        <f>G11+F12</f>
        <v>780853.71879999992</v>
      </c>
      <c r="H12" s="599">
        <f>H11+G12</f>
        <v>1058745.8750999998</v>
      </c>
      <c r="I12" s="613"/>
      <c r="J12" s="599">
        <f>J11</f>
        <v>290074.5625</v>
      </c>
      <c r="K12" s="599">
        <f>K11+J12</f>
        <v>542488.9375</v>
      </c>
      <c r="L12" s="599">
        <f>L11+K12</f>
        <v>766318.85939999996</v>
      </c>
      <c r="M12" s="180"/>
      <c r="N12" s="599">
        <f>N11</f>
        <v>312399.34379999997</v>
      </c>
      <c r="O12" s="599">
        <f>O11+N12</f>
        <v>578349.18759999995</v>
      </c>
      <c r="P12" s="599">
        <f>P11+O12</f>
        <v>779298.78139999998</v>
      </c>
      <c r="Q12" s="613"/>
      <c r="R12" s="105"/>
    </row>
    <row r="13" spans="1:19" s="19" customFormat="1" ht="15" customHeight="1">
      <c r="A13" s="111" t="s">
        <v>32</v>
      </c>
      <c r="B13" s="600">
        <f t="shared" ref="B13:D14" si="4">B6/B11</f>
        <v>0.3146147241532567</v>
      </c>
      <c r="C13" s="600">
        <f t="shared" si="4"/>
        <v>0.28906852130228505</v>
      </c>
      <c r="D13" s="600">
        <f t="shared" si="4"/>
        <v>0.34718008265981953</v>
      </c>
      <c r="E13" s="182"/>
      <c r="F13" s="600">
        <f t="shared" ref="F13:H14" si="5">F6/F11</f>
        <v>0.27664739339388228</v>
      </c>
      <c r="G13" s="600">
        <f t="shared" si="5"/>
        <v>0.23144862831156146</v>
      </c>
      <c r="H13" s="600">
        <f t="shared" si="5"/>
        <v>0.25521322747748243</v>
      </c>
      <c r="I13" s="182"/>
      <c r="J13" s="600">
        <f t="shared" ref="J13:L14" si="6">J6/J11</f>
        <v>0.31141044985631927</v>
      </c>
      <c r="K13" s="600">
        <f t="shared" si="6"/>
        <v>0.26580446220624315</v>
      </c>
      <c r="L13" s="600">
        <f t="shared" si="6"/>
        <v>0.29046738679132789</v>
      </c>
      <c r="M13" s="182"/>
      <c r="N13" s="600">
        <f t="shared" ref="N13:P14" si="7">N6/N11</f>
        <v>0.26090233259958595</v>
      </c>
      <c r="O13" s="600">
        <f t="shared" si="7"/>
        <v>0.28773674429208296</v>
      </c>
      <c r="P13" s="600">
        <f t="shared" si="7"/>
        <v>0.27200615968600184</v>
      </c>
      <c r="Q13" s="182"/>
      <c r="R13" s="112"/>
      <c r="S13" s="11"/>
    </row>
    <row r="14" spans="1:19" s="20" customFormat="1" ht="15" customHeight="1">
      <c r="A14" s="111" t="s">
        <v>33</v>
      </c>
      <c r="B14" s="600">
        <f t="shared" si="4"/>
        <v>0.3146147241532567</v>
      </c>
      <c r="C14" s="600">
        <f t="shared" si="4"/>
        <v>0.30115120313342419</v>
      </c>
      <c r="D14" s="600">
        <f t="shared" si="4"/>
        <v>0.32310275744643474</v>
      </c>
      <c r="E14" s="182"/>
      <c r="F14" s="600">
        <f t="shared" si="5"/>
        <v>0.27664739339388228</v>
      </c>
      <c r="G14" s="600">
        <f t="shared" si="5"/>
        <v>0.24767558819750607</v>
      </c>
      <c r="H14" s="600">
        <f t="shared" si="5"/>
        <v>0.2496540146378701</v>
      </c>
      <c r="I14" s="182"/>
      <c r="J14" s="600">
        <f t="shared" si="6"/>
        <v>0.31141044985631927</v>
      </c>
      <c r="K14" s="600">
        <f t="shared" si="6"/>
        <v>0.29019046531248388</v>
      </c>
      <c r="L14" s="600">
        <f t="shared" si="6"/>
        <v>0.29027134980621883</v>
      </c>
      <c r="M14" s="182"/>
      <c r="N14" s="600">
        <f t="shared" si="7"/>
        <v>0.26090233259958595</v>
      </c>
      <c r="O14" s="600">
        <f t="shared" si="7"/>
        <v>0.2732419498258149</v>
      </c>
      <c r="P14" s="600">
        <f t="shared" si="7"/>
        <v>0.27292328959876905</v>
      </c>
      <c r="Q14" s="182"/>
      <c r="R14" s="112"/>
      <c r="S14" s="13"/>
    </row>
    <row r="15" spans="1:19" s="66" customFormat="1" ht="15" customHeight="1">
      <c r="A15" s="93"/>
      <c r="B15" s="94"/>
      <c r="C15" s="94"/>
      <c r="D15" s="94"/>
      <c r="E15" s="183"/>
      <c r="F15" s="94"/>
      <c r="G15" s="94"/>
      <c r="H15" s="94"/>
      <c r="I15" s="183"/>
      <c r="J15" s="94"/>
      <c r="K15" s="94"/>
      <c r="L15" s="94"/>
      <c r="M15" s="183"/>
      <c r="N15" s="94"/>
      <c r="O15" s="94"/>
      <c r="P15" s="94"/>
      <c r="Q15" s="183"/>
      <c r="R15" s="113"/>
      <c r="S15" s="65"/>
    </row>
    <row r="16" spans="1:19" s="19" customFormat="1" ht="15" customHeight="1">
      <c r="A16" s="51"/>
      <c r="B16" s="611" t="s">
        <v>26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171"/>
      <c r="N16" s="612"/>
      <c r="O16" s="612"/>
      <c r="P16" s="612"/>
      <c r="Q16" s="612"/>
      <c r="R16" s="202"/>
      <c r="S16" s="11"/>
    </row>
    <row r="17" spans="1:19" s="19" customFormat="1" ht="15" customHeight="1">
      <c r="A17" s="68" t="s">
        <v>75</v>
      </c>
      <c r="B17" s="79">
        <v>5700</v>
      </c>
      <c r="C17" s="79">
        <v>5700</v>
      </c>
      <c r="D17" s="79">
        <v>5700</v>
      </c>
      <c r="E17" s="185"/>
      <c r="F17" s="79">
        <v>6400</v>
      </c>
      <c r="G17" s="79">
        <v>6400</v>
      </c>
      <c r="H17" s="79">
        <v>6400</v>
      </c>
      <c r="I17" s="185"/>
      <c r="J17" s="79">
        <v>6400</v>
      </c>
      <c r="K17" s="79">
        <v>6400</v>
      </c>
      <c r="L17" s="79">
        <v>6400</v>
      </c>
      <c r="M17" s="185"/>
      <c r="N17" s="79">
        <v>6400</v>
      </c>
      <c r="O17" s="79">
        <v>6400</v>
      </c>
      <c r="P17" s="79">
        <v>6400</v>
      </c>
      <c r="Q17" s="185"/>
      <c r="R17" s="117"/>
      <c r="S17" s="11"/>
    </row>
    <row r="18" spans="1:19" s="19" customFormat="1" ht="15" customHeight="1">
      <c r="A18" s="18" t="s">
        <v>50</v>
      </c>
      <c r="B18" s="73">
        <f>B5</f>
        <v>70350</v>
      </c>
      <c r="C18" s="73">
        <f>C5</f>
        <v>125183.33333333333</v>
      </c>
      <c r="D18" s="73">
        <f>D5</f>
        <v>254500</v>
      </c>
      <c r="E18" s="186"/>
      <c r="F18" s="73">
        <f>F5</f>
        <v>74700</v>
      </c>
      <c r="G18" s="73">
        <f>G5</f>
        <v>157700</v>
      </c>
      <c r="H18" s="73">
        <f>H5</f>
        <v>249000</v>
      </c>
      <c r="I18" s="186"/>
      <c r="J18" s="73">
        <f>J5</f>
        <v>76500</v>
      </c>
      <c r="K18" s="73">
        <f>K5</f>
        <v>161500</v>
      </c>
      <c r="L18" s="73">
        <f>L5</f>
        <v>234100</v>
      </c>
      <c r="M18" s="186"/>
      <c r="N18" s="73">
        <f>N5</f>
        <v>79166.666666666657</v>
      </c>
      <c r="O18" s="73">
        <f>O5</f>
        <v>165966.66666666666</v>
      </c>
      <c r="P18" s="73">
        <f>P5</f>
        <v>234900</v>
      </c>
      <c r="Q18" s="186"/>
      <c r="R18" s="119"/>
      <c r="S18" s="11"/>
    </row>
    <row r="19" spans="1:19" s="33" customFormat="1" ht="15" customHeight="1">
      <c r="A19" s="38" t="s">
        <v>51</v>
      </c>
      <c r="B19" s="76">
        <f>B7</f>
        <v>56827.078099999999</v>
      </c>
      <c r="C19" s="76">
        <f>C7</f>
        <v>115006.90119999999</v>
      </c>
      <c r="D19" s="76">
        <f>D7</f>
        <v>235885.97930000001</v>
      </c>
      <c r="E19" s="187"/>
      <c r="F19" s="76">
        <f>F7</f>
        <v>77554.474400000006</v>
      </c>
      <c r="G19" s="76">
        <f>G7</f>
        <v>193398.40409999999</v>
      </c>
      <c r="H19" s="76">
        <f>H7</f>
        <v>264320.15819999995</v>
      </c>
      <c r="I19" s="187"/>
      <c r="J19" s="76">
        <f>J7</f>
        <v>90332.25</v>
      </c>
      <c r="K19" s="76">
        <f>K7</f>
        <v>157425.11719999998</v>
      </c>
      <c r="L19" s="76">
        <f>L7</f>
        <v>222440.40969999999</v>
      </c>
      <c r="M19" s="187"/>
      <c r="N19" s="76">
        <f>N7</f>
        <v>81505.717499999999</v>
      </c>
      <c r="O19" s="76">
        <f>O7</f>
        <v>158029.2597</v>
      </c>
      <c r="P19" s="76">
        <f>P7</f>
        <v>212688.78700000001</v>
      </c>
      <c r="Q19" s="187"/>
      <c r="R19" s="119"/>
      <c r="S19" s="32"/>
    </row>
    <row r="20" spans="1:19" s="19" customFormat="1" ht="15" customHeight="1">
      <c r="A20" s="38" t="s">
        <v>52</v>
      </c>
      <c r="B20" s="121">
        <f>B19/B18</f>
        <v>0.80777651883439938</v>
      </c>
      <c r="C20" s="121">
        <f>C19/C18</f>
        <v>0.91870777153508187</v>
      </c>
      <c r="D20" s="121">
        <f>D19/D18</f>
        <v>0.92686042946954816</v>
      </c>
      <c r="E20" s="188"/>
      <c r="F20" s="121">
        <f>F19/F18</f>
        <v>1.0382125087014726</v>
      </c>
      <c r="G20" s="121">
        <f>G19/G18</f>
        <v>1.2263690811667722</v>
      </c>
      <c r="H20" s="121">
        <f>H19/H18</f>
        <v>1.061526739759036</v>
      </c>
      <c r="I20" s="188"/>
      <c r="J20" s="121">
        <f>J19/J18</f>
        <v>1.180813725490196</v>
      </c>
      <c r="K20" s="121">
        <f>K19/K18</f>
        <v>0.97476852755417942</v>
      </c>
      <c r="L20" s="121">
        <f>L19/L18</f>
        <v>0.95019397565143093</v>
      </c>
      <c r="M20" s="188"/>
      <c r="N20" s="121">
        <f>N19/N18</f>
        <v>1.0295459052631579</v>
      </c>
      <c r="O20" s="121">
        <f>O19/O18</f>
        <v>0.95217469190600523</v>
      </c>
      <c r="P20" s="121">
        <f>P19/P18</f>
        <v>0.90544396338867605</v>
      </c>
      <c r="Q20" s="188"/>
      <c r="R20" s="119"/>
      <c r="S20" s="11"/>
    </row>
    <row r="21" spans="1:19" s="19" customFormat="1" ht="15" customHeight="1">
      <c r="A21" s="37" t="s">
        <v>60</v>
      </c>
      <c r="B21" s="80">
        <f>B17*0.35</f>
        <v>1994.9999999999998</v>
      </c>
      <c r="C21" s="80">
        <f>C17*0.35</f>
        <v>1994.9999999999998</v>
      </c>
      <c r="D21" s="80">
        <f>D17*0.35</f>
        <v>1994.9999999999998</v>
      </c>
      <c r="E21" s="189"/>
      <c r="F21" s="80">
        <f>F17*0.35</f>
        <v>2240</v>
      </c>
      <c r="G21" s="80">
        <f>G17*0.35</f>
        <v>2240</v>
      </c>
      <c r="H21" s="80">
        <f>H17*0.35</f>
        <v>2240</v>
      </c>
      <c r="I21" s="189"/>
      <c r="J21" s="80">
        <f>J17*0.35</f>
        <v>2240</v>
      </c>
      <c r="K21" s="80">
        <f>K17*0.35</f>
        <v>2240</v>
      </c>
      <c r="L21" s="80">
        <f>L17*0.35</f>
        <v>2240</v>
      </c>
      <c r="M21" s="189"/>
      <c r="N21" s="80">
        <f>N17*0.35</f>
        <v>2240</v>
      </c>
      <c r="O21" s="80">
        <f>O17*0.35</f>
        <v>2240</v>
      </c>
      <c r="P21" s="80">
        <f>P17*0.35</f>
        <v>2240</v>
      </c>
      <c r="Q21" s="189"/>
      <c r="R21" s="122"/>
      <c r="S21" s="11"/>
    </row>
    <row r="22" spans="1:19" s="19" customFormat="1" ht="15" customHeight="1">
      <c r="A22" s="38" t="s">
        <v>53</v>
      </c>
      <c r="B22" s="76">
        <f>IF(B20&lt;80%,0,IF(B20&lt;90%,0.5,IF(B20&lt;95%,0.75,1)))</f>
        <v>0.5</v>
      </c>
      <c r="C22" s="76">
        <f>IF(C20&lt;80%,0,IF(C20&lt;90%,0.5,IF(C20&lt;95%,0.75,1)))</f>
        <v>0.75</v>
      </c>
      <c r="D22" s="76">
        <f>IF(D20&lt;80%,0,IF(D20&lt;90%,0.5,IF(D20&lt;95%,0.75,1)))</f>
        <v>0.75</v>
      </c>
      <c r="E22" s="187"/>
      <c r="F22" s="76">
        <f>IF(F20&lt;80%,0,IF(F20&lt;90%,0.5,IF(F20&lt;95%,0.75,1)))</f>
        <v>1</v>
      </c>
      <c r="G22" s="76">
        <f>IF(G20&lt;80%,0,IF(G20&lt;90%,0.5,IF(G20&lt;95%,0.75,1)))</f>
        <v>1</v>
      </c>
      <c r="H22" s="76">
        <f>IF(H20&lt;80%,0,IF(H20&lt;90%,0.5,IF(H20&lt;95%,0.75,1)))</f>
        <v>1</v>
      </c>
      <c r="I22" s="187"/>
      <c r="J22" s="76">
        <f>IF(J20&lt;80%,0,IF(J20&lt;90%,0.5,IF(J20&lt;95%,0.75,1)))</f>
        <v>1</v>
      </c>
      <c r="K22" s="76">
        <f>IF(K20&lt;80%,0,IF(K20&lt;90%,0.5,IF(K20&lt;95%,0.75,1)))</f>
        <v>1</v>
      </c>
      <c r="L22" s="76">
        <f>IF(L20&lt;80%,0,IF(L20&lt;90%,0.5,IF(L20&lt;95%,0.75,1)))</f>
        <v>1</v>
      </c>
      <c r="M22" s="187"/>
      <c r="N22" s="76">
        <f>IF(N20&lt;80%,0,IF(N20&lt;90%,0.5,IF(N20&lt;95%,0.75,1)))</f>
        <v>1</v>
      </c>
      <c r="O22" s="76">
        <f>IF(O20&lt;80%,0,IF(O20&lt;90%,0.5,IF(O20&lt;95%,0.75,1)))</f>
        <v>1</v>
      </c>
      <c r="P22" s="76">
        <f>IF(P20&lt;80%,0,IF(P20&lt;90%,0.5,IF(P20&lt;95%,0.75,1)))</f>
        <v>0.75</v>
      </c>
      <c r="Q22" s="187"/>
      <c r="R22" s="119"/>
      <c r="S22" s="11"/>
    </row>
    <row r="23" spans="1:19" s="19" customFormat="1" ht="15" customHeight="1">
      <c r="A23" s="54" t="s">
        <v>54</v>
      </c>
      <c r="B23" s="75">
        <f>B22*B21</f>
        <v>997.49999999999989</v>
      </c>
      <c r="C23" s="75">
        <f>C22*C21</f>
        <v>1496.2499999999998</v>
      </c>
      <c r="D23" s="75">
        <f>D22*D21</f>
        <v>1496.2499999999998</v>
      </c>
      <c r="E23" s="190"/>
      <c r="F23" s="75">
        <f>F22*F21</f>
        <v>2240</v>
      </c>
      <c r="G23" s="75">
        <f>G22*G21</f>
        <v>2240</v>
      </c>
      <c r="H23" s="75">
        <f>H22*H21</f>
        <v>2240</v>
      </c>
      <c r="I23" s="190"/>
      <c r="J23" s="75">
        <f>J22*J21</f>
        <v>2240</v>
      </c>
      <c r="K23" s="75">
        <f>K22*K21</f>
        <v>2240</v>
      </c>
      <c r="L23" s="75">
        <f>L22*L21</f>
        <v>2240</v>
      </c>
      <c r="M23" s="190"/>
      <c r="N23" s="75">
        <f>N22*N21</f>
        <v>2240</v>
      </c>
      <c r="O23" s="75">
        <f>O22*O21</f>
        <v>2240</v>
      </c>
      <c r="P23" s="75">
        <f>P22*P21</f>
        <v>1680</v>
      </c>
      <c r="Q23" s="190"/>
      <c r="R23" s="123"/>
      <c r="S23" s="11"/>
    </row>
    <row r="24" spans="1:19" s="33" customFormat="1" ht="15" customHeight="1">
      <c r="A24" s="18" t="s">
        <v>34</v>
      </c>
      <c r="B24" s="73"/>
      <c r="C24" s="73"/>
      <c r="D24" s="73"/>
      <c r="E24" s="186"/>
      <c r="F24" s="73"/>
      <c r="G24" s="73"/>
      <c r="H24" s="73"/>
      <c r="I24" s="186"/>
      <c r="J24" s="73"/>
      <c r="K24" s="73"/>
      <c r="L24" s="73"/>
      <c r="M24" s="186"/>
      <c r="N24" s="73"/>
      <c r="O24" s="73"/>
      <c r="P24" s="73"/>
      <c r="Q24" s="186"/>
      <c r="R24" s="124"/>
      <c r="S24" s="32"/>
    </row>
    <row r="25" spans="1:19" s="33" customFormat="1" ht="15" customHeight="1">
      <c r="A25" s="48" t="s">
        <v>59</v>
      </c>
      <c r="B25" s="125">
        <f>B17*0.05</f>
        <v>285</v>
      </c>
      <c r="C25" s="125">
        <f>C17*0.05</f>
        <v>285</v>
      </c>
      <c r="D25" s="125">
        <f>D17*0.05</f>
        <v>285</v>
      </c>
      <c r="E25" s="191"/>
      <c r="F25" s="125">
        <f>F17*0.05</f>
        <v>320</v>
      </c>
      <c r="G25" s="125">
        <f>G17*0.05</f>
        <v>320</v>
      </c>
      <c r="H25" s="125">
        <f>H17*0.05</f>
        <v>320</v>
      </c>
      <c r="I25" s="191"/>
      <c r="J25" s="125">
        <f>J17*0.05</f>
        <v>320</v>
      </c>
      <c r="K25" s="125">
        <f>K17*0.05</f>
        <v>320</v>
      </c>
      <c r="L25" s="125">
        <f>L17*0.05</f>
        <v>320</v>
      </c>
      <c r="M25" s="191"/>
      <c r="N25" s="125">
        <f>N17*0.05</f>
        <v>320</v>
      </c>
      <c r="O25" s="125">
        <f>O17*0.05</f>
        <v>320</v>
      </c>
      <c r="P25" s="125">
        <f>P17*0.05</f>
        <v>320</v>
      </c>
      <c r="Q25" s="191"/>
      <c r="R25" s="122"/>
      <c r="S25" s="32"/>
    </row>
    <row r="26" spans="1:19" s="33" customFormat="1" ht="15" customHeight="1">
      <c r="A26" s="38" t="s">
        <v>62</v>
      </c>
      <c r="B26" s="76">
        <v>1</v>
      </c>
      <c r="C26" s="76">
        <v>1</v>
      </c>
      <c r="D26" s="76">
        <v>1</v>
      </c>
      <c r="E26" s="187"/>
      <c r="F26" s="76">
        <v>1</v>
      </c>
      <c r="G26" s="76">
        <v>1</v>
      </c>
      <c r="H26" s="76">
        <v>1</v>
      </c>
      <c r="I26" s="187"/>
      <c r="J26" s="76">
        <v>1</v>
      </c>
      <c r="K26" s="76">
        <v>1</v>
      </c>
      <c r="L26" s="76">
        <v>1</v>
      </c>
      <c r="M26" s="187"/>
      <c r="N26" s="76">
        <v>1</v>
      </c>
      <c r="O26" s="76">
        <v>1</v>
      </c>
      <c r="P26" s="76">
        <v>1</v>
      </c>
      <c r="Q26" s="187"/>
      <c r="R26" s="119"/>
      <c r="S26" s="32"/>
    </row>
    <row r="27" spans="1:19" s="20" customFormat="1" ht="15" customHeight="1">
      <c r="A27" s="61" t="s">
        <v>63</v>
      </c>
      <c r="B27" s="75">
        <f>B26*B25</f>
        <v>285</v>
      </c>
      <c r="C27" s="75">
        <f>C26*C25</f>
        <v>285</v>
      </c>
      <c r="D27" s="75">
        <f>D26*D25</f>
        <v>285</v>
      </c>
      <c r="E27" s="190"/>
      <c r="F27" s="75">
        <f>F26*F25</f>
        <v>320</v>
      </c>
      <c r="G27" s="75">
        <f>G26*G25</f>
        <v>320</v>
      </c>
      <c r="H27" s="75">
        <f>H26*H25</f>
        <v>320</v>
      </c>
      <c r="I27" s="190"/>
      <c r="J27" s="75">
        <f>J26*J25</f>
        <v>320</v>
      </c>
      <c r="K27" s="75">
        <f>K26*K25</f>
        <v>320</v>
      </c>
      <c r="L27" s="75">
        <f>L26*L25</f>
        <v>320</v>
      </c>
      <c r="M27" s="190"/>
      <c r="N27" s="75">
        <f>N26*N25</f>
        <v>320</v>
      </c>
      <c r="O27" s="75">
        <f>O26*O25</f>
        <v>320</v>
      </c>
      <c r="P27" s="75">
        <f>P26*P25</f>
        <v>320</v>
      </c>
      <c r="Q27" s="190"/>
      <c r="R27" s="126"/>
      <c r="S27" s="13"/>
    </row>
    <row r="28" spans="1:19" s="41" customFormat="1" ht="15" customHeight="1">
      <c r="A28" s="51" t="s">
        <v>67</v>
      </c>
      <c r="B28" s="78">
        <f>B23+B27</f>
        <v>1282.5</v>
      </c>
      <c r="C28" s="78">
        <f>C23+C27</f>
        <v>1781.2499999999998</v>
      </c>
      <c r="D28" s="78">
        <f>D23+D27</f>
        <v>1781.2499999999998</v>
      </c>
      <c r="E28" s="192"/>
      <c r="F28" s="78">
        <f>F23+F27</f>
        <v>2560</v>
      </c>
      <c r="G28" s="78">
        <f>G23+G27</f>
        <v>2560</v>
      </c>
      <c r="H28" s="78">
        <f>H23+H27</f>
        <v>2560</v>
      </c>
      <c r="I28" s="192"/>
      <c r="J28" s="78">
        <f>J23+J27</f>
        <v>2560</v>
      </c>
      <c r="K28" s="78">
        <f>K23+K27</f>
        <v>2560</v>
      </c>
      <c r="L28" s="78">
        <f>L23+L27</f>
        <v>2560</v>
      </c>
      <c r="M28" s="192"/>
      <c r="N28" s="78">
        <f>N23+N27</f>
        <v>2560</v>
      </c>
      <c r="O28" s="78">
        <f>O23+O27</f>
        <v>2560</v>
      </c>
      <c r="P28" s="78">
        <f>P23+P27</f>
        <v>2000</v>
      </c>
      <c r="Q28" s="192"/>
      <c r="R28" s="127"/>
      <c r="S28" s="15"/>
    </row>
    <row r="29" spans="1:19" s="33" customFormat="1" ht="15" customHeight="1">
      <c r="A29" s="118" t="s">
        <v>123</v>
      </c>
      <c r="B29" s="720">
        <f>D5</f>
        <v>254500</v>
      </c>
      <c r="C29" s="721"/>
      <c r="D29" s="721"/>
      <c r="E29" s="731"/>
      <c r="F29" s="720">
        <f>H5</f>
        <v>249000</v>
      </c>
      <c r="G29" s="721"/>
      <c r="H29" s="721"/>
      <c r="I29" s="731"/>
      <c r="J29" s="720">
        <f>L5</f>
        <v>234100</v>
      </c>
      <c r="K29" s="721"/>
      <c r="L29" s="721"/>
      <c r="M29" s="731"/>
      <c r="N29" s="720">
        <f>P5</f>
        <v>234900</v>
      </c>
      <c r="O29" s="721"/>
      <c r="P29" s="721"/>
      <c r="Q29" s="731"/>
      <c r="R29" s="122"/>
      <c r="S29" s="32"/>
    </row>
    <row r="30" spans="1:19" s="44" customFormat="1" ht="15" customHeight="1">
      <c r="A30" s="120" t="s">
        <v>69</v>
      </c>
      <c r="B30" s="732">
        <f>D7</f>
        <v>235885.97930000001</v>
      </c>
      <c r="C30" s="733"/>
      <c r="D30" s="733"/>
      <c r="E30" s="731"/>
      <c r="F30" s="732">
        <f>H7</f>
        <v>264320.15819999995</v>
      </c>
      <c r="G30" s="733"/>
      <c r="H30" s="733"/>
      <c r="I30" s="731"/>
      <c r="J30" s="732">
        <f>L7</f>
        <v>222440.40969999999</v>
      </c>
      <c r="K30" s="733"/>
      <c r="L30" s="733"/>
      <c r="M30" s="731"/>
      <c r="N30" s="732">
        <f>P7</f>
        <v>212688.78700000001</v>
      </c>
      <c r="O30" s="733"/>
      <c r="P30" s="733"/>
      <c r="Q30" s="731"/>
      <c r="R30" s="122"/>
      <c r="S30" s="43"/>
    </row>
    <row r="31" spans="1:19" s="36" customFormat="1" ht="15" customHeight="1">
      <c r="A31" s="120" t="s">
        <v>68</v>
      </c>
      <c r="B31" s="734">
        <f>B30/B29</f>
        <v>0.92686042946954816</v>
      </c>
      <c r="C31" s="735"/>
      <c r="D31" s="735"/>
      <c r="E31" s="731"/>
      <c r="F31" s="734">
        <f>F30/F29</f>
        <v>1.061526739759036</v>
      </c>
      <c r="G31" s="735"/>
      <c r="H31" s="735"/>
      <c r="I31" s="731"/>
      <c r="J31" s="734">
        <f>J30/J29</f>
        <v>0.95019397565143093</v>
      </c>
      <c r="K31" s="735"/>
      <c r="L31" s="735"/>
      <c r="M31" s="731"/>
      <c r="N31" s="734">
        <f>N30/N29</f>
        <v>0.90544396338867605</v>
      </c>
      <c r="O31" s="735"/>
      <c r="P31" s="735"/>
      <c r="Q31" s="731"/>
      <c r="R31" s="128"/>
      <c r="S31" s="28"/>
    </row>
    <row r="32" spans="1:19" s="36" customFormat="1" ht="15" customHeight="1">
      <c r="A32" s="120" t="s">
        <v>65</v>
      </c>
      <c r="B32" s="729">
        <f>D17</f>
        <v>5700</v>
      </c>
      <c r="C32" s="730"/>
      <c r="D32" s="730"/>
      <c r="E32" s="731"/>
      <c r="F32" s="729">
        <f>H17</f>
        <v>6400</v>
      </c>
      <c r="G32" s="730"/>
      <c r="H32" s="730"/>
      <c r="I32" s="731"/>
      <c r="J32" s="729">
        <f>L17</f>
        <v>6400</v>
      </c>
      <c r="K32" s="730"/>
      <c r="L32" s="730"/>
      <c r="M32" s="731"/>
      <c r="N32" s="729">
        <f>P17</f>
        <v>6400</v>
      </c>
      <c r="O32" s="730"/>
      <c r="P32" s="730"/>
      <c r="Q32" s="731"/>
      <c r="R32" s="122"/>
      <c r="S32" s="28"/>
    </row>
    <row r="33" spans="1:19" s="19" customFormat="1" ht="15" customHeight="1">
      <c r="A33" s="82" t="s">
        <v>66</v>
      </c>
      <c r="B33" s="724">
        <f>IF(B31&lt;100%,0,IF(B31&lt;105%,0.5,IF(B31&lt;110%,0.7,1)))</f>
        <v>0</v>
      </c>
      <c r="C33" s="725"/>
      <c r="D33" s="725"/>
      <c r="E33" s="719"/>
      <c r="F33" s="724">
        <f>IF(F31&lt;100%,0,IF(F31&lt;105%,0.5,IF(F31&lt;110%,0.7,1)))</f>
        <v>0.7</v>
      </c>
      <c r="G33" s="725"/>
      <c r="H33" s="725"/>
      <c r="I33" s="719"/>
      <c r="J33" s="724">
        <f>IF(J31&lt;100%,0,IF(J31&lt;105%,0.5,IF(J31&lt;110%,0.7,1)))</f>
        <v>0</v>
      </c>
      <c r="K33" s="725"/>
      <c r="L33" s="725"/>
      <c r="M33" s="719"/>
      <c r="N33" s="724">
        <f>IF(N31&lt;100%,0,IF(N31&lt;105%,0.5,IF(N31&lt;110%,0.7,1)))</f>
        <v>0</v>
      </c>
      <c r="O33" s="725"/>
      <c r="P33" s="725"/>
      <c r="Q33" s="719"/>
      <c r="R33" s="129"/>
      <c r="S33" s="11"/>
    </row>
    <row r="34" spans="1:19" s="19" customFormat="1" ht="15" customHeight="1">
      <c r="A34" s="51" t="s">
        <v>64</v>
      </c>
      <c r="B34" s="726">
        <f>B33*B32</f>
        <v>0</v>
      </c>
      <c r="C34" s="727"/>
      <c r="D34" s="727"/>
      <c r="E34" s="719"/>
      <c r="F34" s="726">
        <f>F33*F32</f>
        <v>4480</v>
      </c>
      <c r="G34" s="727"/>
      <c r="H34" s="727"/>
      <c r="I34" s="719"/>
      <c r="J34" s="726">
        <f>J33*J32</f>
        <v>0</v>
      </c>
      <c r="K34" s="727"/>
      <c r="L34" s="727"/>
      <c r="M34" s="719"/>
      <c r="N34" s="726">
        <f>N33*N32</f>
        <v>0</v>
      </c>
      <c r="O34" s="727"/>
      <c r="P34" s="727"/>
      <c r="Q34" s="719"/>
      <c r="R34" s="130"/>
      <c r="S34" s="11"/>
    </row>
    <row r="35" spans="1:19" s="19" customFormat="1" ht="15" customHeight="1" thickBot="1">
      <c r="A35" s="58"/>
      <c r="B35" s="59"/>
      <c r="C35" s="59"/>
      <c r="D35" s="59"/>
      <c r="E35" s="132"/>
      <c r="F35" s="59"/>
      <c r="G35" s="59"/>
      <c r="H35" s="59"/>
      <c r="I35" s="132"/>
      <c r="J35" s="59"/>
      <c r="K35" s="59"/>
      <c r="L35" s="59"/>
      <c r="M35" s="132"/>
      <c r="N35" s="59"/>
      <c r="O35" s="59"/>
      <c r="P35" s="59"/>
      <c r="Q35" s="132"/>
      <c r="R35" s="133"/>
      <c r="S35" s="11"/>
    </row>
    <row r="36" spans="1:19" ht="13.8" thickBot="1">
      <c r="A36" s="325" t="s">
        <v>94</v>
      </c>
      <c r="B36" s="336" t="s">
        <v>1</v>
      </c>
      <c r="C36" s="336" t="s">
        <v>2</v>
      </c>
      <c r="D36" s="336" t="s">
        <v>3</v>
      </c>
      <c r="E36" s="334" t="s">
        <v>96</v>
      </c>
      <c r="F36" s="336" t="s">
        <v>4</v>
      </c>
      <c r="G36" s="336" t="s">
        <v>5</v>
      </c>
      <c r="H36" s="336" t="s">
        <v>6</v>
      </c>
      <c r="I36" s="334" t="s">
        <v>96</v>
      </c>
      <c r="J36" s="336" t="s">
        <v>7</v>
      </c>
      <c r="K36" s="336" t="s">
        <v>8</v>
      </c>
      <c r="L36" s="336" t="s">
        <v>9</v>
      </c>
      <c r="M36" s="334" t="s">
        <v>96</v>
      </c>
      <c r="N36" s="336" t="s">
        <v>95</v>
      </c>
      <c r="O36" s="336" t="s">
        <v>11</v>
      </c>
      <c r="P36" s="336" t="s">
        <v>12</v>
      </c>
      <c r="Q36" s="334" t="s">
        <v>96</v>
      </c>
      <c r="R36" s="334" t="s">
        <v>96</v>
      </c>
    </row>
    <row r="37" spans="1:19" ht="13.8" thickTop="1">
      <c r="A37" s="326" t="s">
        <v>97</v>
      </c>
      <c r="B37" s="151">
        <v>1</v>
      </c>
      <c r="C37" s="151">
        <v>1</v>
      </c>
      <c r="D37" s="151">
        <v>2</v>
      </c>
      <c r="E37" s="335">
        <f>SUM(B37:D37)</f>
        <v>4</v>
      </c>
      <c r="F37" s="151">
        <v>2</v>
      </c>
      <c r="G37" s="151">
        <v>0</v>
      </c>
      <c r="H37" s="151">
        <v>0</v>
      </c>
      <c r="I37" s="335">
        <f>SUM(F37:H37)</f>
        <v>2</v>
      </c>
      <c r="J37" s="502">
        <v>0</v>
      </c>
      <c r="K37" s="502">
        <v>1</v>
      </c>
      <c r="L37" s="151">
        <v>1</v>
      </c>
      <c r="M37" s="335">
        <f>SUM(J37:L37)</f>
        <v>2</v>
      </c>
      <c r="N37" s="151">
        <v>1</v>
      </c>
      <c r="O37" s="151">
        <v>0</v>
      </c>
      <c r="P37" s="710">
        <v>1</v>
      </c>
      <c r="Q37" s="335">
        <f>SUM(N37:P37)</f>
        <v>2</v>
      </c>
      <c r="R37" s="335">
        <f>I37+M37+Q37+E37</f>
        <v>10</v>
      </c>
      <c r="S37" s="64"/>
    </row>
    <row r="38" spans="1:19">
      <c r="A38" s="327" t="s">
        <v>98</v>
      </c>
      <c r="B38" s="152">
        <v>62</v>
      </c>
      <c r="C38" s="152">
        <v>64</v>
      </c>
      <c r="D38" s="152">
        <v>66</v>
      </c>
      <c r="E38" s="196"/>
      <c r="F38" s="152">
        <v>68</v>
      </c>
      <c r="G38" s="152">
        <v>71</v>
      </c>
      <c r="H38" s="152">
        <v>71</v>
      </c>
      <c r="I38" s="196"/>
      <c r="J38" s="501">
        <v>71</v>
      </c>
      <c r="K38" s="501">
        <v>72</v>
      </c>
      <c r="L38" s="152">
        <v>73</v>
      </c>
      <c r="M38" s="196"/>
      <c r="N38" s="152">
        <v>75</v>
      </c>
      <c r="O38" s="152">
        <v>75</v>
      </c>
      <c r="P38" s="707">
        <v>76</v>
      </c>
      <c r="Q38" s="196"/>
      <c r="R38" s="196"/>
      <c r="S38" s="64"/>
    </row>
    <row r="39" spans="1:19">
      <c r="A39" s="327" t="s">
        <v>99</v>
      </c>
      <c r="B39" s="152">
        <v>41</v>
      </c>
      <c r="C39" s="152">
        <v>40</v>
      </c>
      <c r="D39" s="152">
        <v>41</v>
      </c>
      <c r="E39" s="196"/>
      <c r="F39" s="152">
        <v>42</v>
      </c>
      <c r="G39" s="152">
        <v>43</v>
      </c>
      <c r="H39" s="152">
        <v>43</v>
      </c>
      <c r="I39" s="196"/>
      <c r="J39" s="501">
        <v>45</v>
      </c>
      <c r="K39" s="501">
        <v>46</v>
      </c>
      <c r="L39" s="152">
        <v>46</v>
      </c>
      <c r="M39" s="196"/>
      <c r="N39" s="152">
        <v>49</v>
      </c>
      <c r="O39" s="152">
        <v>53</v>
      </c>
      <c r="P39" s="707">
        <v>52</v>
      </c>
      <c r="Q39" s="196"/>
      <c r="R39" s="196"/>
      <c r="S39" s="64"/>
    </row>
    <row r="40" spans="1:19">
      <c r="A40" s="327" t="s">
        <v>133</v>
      </c>
      <c r="B40" s="152">
        <v>32</v>
      </c>
      <c r="C40" s="152">
        <v>32</v>
      </c>
      <c r="D40" s="152">
        <v>32</v>
      </c>
      <c r="E40" s="196"/>
      <c r="F40" s="152">
        <v>32</v>
      </c>
      <c r="G40" s="152">
        <v>32</v>
      </c>
      <c r="H40" s="152">
        <v>32</v>
      </c>
      <c r="I40" s="196"/>
      <c r="J40" s="501">
        <v>32</v>
      </c>
      <c r="K40" s="501">
        <v>32</v>
      </c>
      <c r="L40" s="152">
        <v>32</v>
      </c>
      <c r="M40" s="196"/>
      <c r="N40" s="152">
        <v>31</v>
      </c>
      <c r="O40" s="152">
        <v>32</v>
      </c>
      <c r="P40" s="707">
        <v>33</v>
      </c>
      <c r="Q40" s="196"/>
      <c r="R40" s="196"/>
      <c r="S40" s="64"/>
    </row>
    <row r="41" spans="1:19">
      <c r="A41" s="327" t="s">
        <v>100</v>
      </c>
      <c r="B41" s="396">
        <f>SUM(B38:B40)</f>
        <v>135</v>
      </c>
      <c r="C41" s="396">
        <f t="shared" ref="C41:D41" si="8">SUM(C38:C40)</f>
        <v>136</v>
      </c>
      <c r="D41" s="396">
        <f t="shared" si="8"/>
        <v>139</v>
      </c>
      <c r="E41" s="197"/>
      <c r="F41" s="396">
        <f t="shared" ref="F41:H41" si="9">SUM(F38:F40)</f>
        <v>142</v>
      </c>
      <c r="G41" s="396">
        <f t="shared" si="9"/>
        <v>146</v>
      </c>
      <c r="H41" s="396">
        <f t="shared" si="9"/>
        <v>146</v>
      </c>
      <c r="I41" s="197"/>
      <c r="J41" s="509">
        <v>148</v>
      </c>
      <c r="K41" s="509">
        <v>150</v>
      </c>
      <c r="L41" s="396">
        <f t="shared" ref="L41" si="10">SUM(L38:L40)</f>
        <v>151</v>
      </c>
      <c r="M41" s="197"/>
      <c r="N41" s="396">
        <f t="shared" ref="N41:O41" si="11">SUM(N38:N40)</f>
        <v>155</v>
      </c>
      <c r="O41" s="396">
        <f t="shared" si="11"/>
        <v>160</v>
      </c>
      <c r="P41" s="716">
        <v>161</v>
      </c>
      <c r="Q41" s="197"/>
      <c r="R41" s="197"/>
      <c r="S41" s="64"/>
    </row>
    <row r="42" spans="1:19" ht="13.8" thickBot="1">
      <c r="A42" s="328" t="s">
        <v>101</v>
      </c>
      <c r="B42" s="153">
        <v>10</v>
      </c>
      <c r="C42" s="153">
        <v>1</v>
      </c>
      <c r="D42" s="153">
        <v>2</v>
      </c>
      <c r="E42" s="335">
        <f t="shared" ref="E42:E43" si="12">SUM(B42:D42)</f>
        <v>13</v>
      </c>
      <c r="F42" s="153">
        <v>6</v>
      </c>
      <c r="G42" s="153">
        <v>5</v>
      </c>
      <c r="H42" s="153">
        <v>0</v>
      </c>
      <c r="I42" s="335">
        <f t="shared" ref="I42:I43" si="13">SUM(F42:H42)</f>
        <v>11</v>
      </c>
      <c r="J42" s="503">
        <v>0</v>
      </c>
      <c r="K42" s="503">
        <v>0</v>
      </c>
      <c r="L42" s="153">
        <v>0</v>
      </c>
      <c r="M42" s="335">
        <f t="shared" ref="M42:M43" si="14">SUM(J42:L42)</f>
        <v>0</v>
      </c>
      <c r="N42" s="153">
        <v>0</v>
      </c>
      <c r="O42" s="153">
        <v>1</v>
      </c>
      <c r="P42" s="711">
        <v>2</v>
      </c>
      <c r="Q42" s="335">
        <f t="shared" ref="Q42:Q43" si="15">SUM(N42:P42)</f>
        <v>3</v>
      </c>
      <c r="R42" s="335">
        <f>I42+M42+Q42+E42</f>
        <v>27</v>
      </c>
      <c r="S42" s="64"/>
    </row>
    <row r="43" spans="1:19" ht="13.8" thickTop="1">
      <c r="A43" s="329" t="s">
        <v>134</v>
      </c>
      <c r="B43" s="154">
        <v>29</v>
      </c>
      <c r="C43" s="154">
        <v>57</v>
      </c>
      <c r="D43" s="154">
        <v>59</v>
      </c>
      <c r="E43" s="335">
        <f t="shared" si="12"/>
        <v>145</v>
      </c>
      <c r="F43" s="154">
        <v>45</v>
      </c>
      <c r="G43" s="154">
        <v>48</v>
      </c>
      <c r="H43" s="154">
        <v>50</v>
      </c>
      <c r="I43" s="335">
        <f t="shared" si="13"/>
        <v>143</v>
      </c>
      <c r="J43" s="504">
        <v>28</v>
      </c>
      <c r="K43" s="504">
        <v>24</v>
      </c>
      <c r="L43" s="154">
        <v>44</v>
      </c>
      <c r="M43" s="335">
        <f t="shared" si="14"/>
        <v>96</v>
      </c>
      <c r="N43" s="154">
        <v>54</v>
      </c>
      <c r="O43" s="154">
        <v>53</v>
      </c>
      <c r="P43" s="712">
        <v>39</v>
      </c>
      <c r="Q43" s="335">
        <f t="shared" si="15"/>
        <v>146</v>
      </c>
      <c r="R43" s="335">
        <f>I43+M43+Q43+E43</f>
        <v>530</v>
      </c>
      <c r="S43" s="64"/>
    </row>
    <row r="44" spans="1:19">
      <c r="A44" s="327" t="s">
        <v>102</v>
      </c>
      <c r="B44" s="152">
        <v>23</v>
      </c>
      <c r="C44" s="152">
        <v>37</v>
      </c>
      <c r="D44" s="152">
        <v>36</v>
      </c>
      <c r="E44" s="198"/>
      <c r="F44" s="152">
        <v>20</v>
      </c>
      <c r="G44" s="152">
        <v>30</v>
      </c>
      <c r="H44" s="152">
        <v>38</v>
      </c>
      <c r="I44" s="198"/>
      <c r="J44" s="501">
        <v>20</v>
      </c>
      <c r="K44" s="501">
        <v>11</v>
      </c>
      <c r="L44" s="152">
        <v>24</v>
      </c>
      <c r="M44" s="198"/>
      <c r="N44" s="152">
        <v>38</v>
      </c>
      <c r="O44" s="152">
        <v>31</v>
      </c>
      <c r="P44" s="707">
        <v>13</v>
      </c>
      <c r="Q44" s="198"/>
      <c r="R44" s="198"/>
      <c r="S44" s="64"/>
    </row>
    <row r="45" spans="1:19">
      <c r="A45" s="327" t="s">
        <v>103</v>
      </c>
      <c r="B45" s="152">
        <v>10</v>
      </c>
      <c r="C45" s="152">
        <v>17</v>
      </c>
      <c r="D45" s="152">
        <v>41</v>
      </c>
      <c r="E45" s="335">
        <f t="shared" ref="E45:E49" si="16">SUM(B45:D45)</f>
        <v>68</v>
      </c>
      <c r="F45" s="152">
        <v>31</v>
      </c>
      <c r="G45" s="152">
        <v>29</v>
      </c>
      <c r="H45" s="152">
        <v>35</v>
      </c>
      <c r="I45" s="335">
        <f t="shared" ref="I45:I49" si="17">SUM(F45:H45)</f>
        <v>95</v>
      </c>
      <c r="J45" s="501">
        <v>18</v>
      </c>
      <c r="K45" s="501">
        <v>28</v>
      </c>
      <c r="L45" s="152">
        <v>18</v>
      </c>
      <c r="M45" s="335">
        <f t="shared" ref="M45:M49" si="18">SUM(J45:L45)</f>
        <v>64</v>
      </c>
      <c r="N45" s="152">
        <v>31</v>
      </c>
      <c r="O45" s="152">
        <v>42</v>
      </c>
      <c r="P45" s="707">
        <v>27</v>
      </c>
      <c r="Q45" s="335">
        <f t="shared" ref="Q45:Q49" si="19">SUM(N45:P45)</f>
        <v>100</v>
      </c>
      <c r="R45" s="335">
        <f>I45+M45+Q45+E45</f>
        <v>327</v>
      </c>
      <c r="S45" s="64"/>
    </row>
    <row r="46" spans="1:19" ht="13.8" thickBot="1">
      <c r="A46" s="330" t="s">
        <v>104</v>
      </c>
      <c r="B46" s="155">
        <v>8</v>
      </c>
      <c r="C46" s="155">
        <v>25</v>
      </c>
      <c r="D46" s="155">
        <v>20</v>
      </c>
      <c r="E46" s="335">
        <f t="shared" si="16"/>
        <v>53</v>
      </c>
      <c r="F46" s="155">
        <v>18</v>
      </c>
      <c r="G46" s="155">
        <v>19</v>
      </c>
      <c r="H46" s="155">
        <v>7</v>
      </c>
      <c r="I46" s="335">
        <f t="shared" si="17"/>
        <v>44</v>
      </c>
      <c r="J46" s="505">
        <v>17</v>
      </c>
      <c r="K46" s="505">
        <v>16</v>
      </c>
      <c r="L46" s="155">
        <v>7</v>
      </c>
      <c r="M46" s="335">
        <f t="shared" si="18"/>
        <v>40</v>
      </c>
      <c r="N46" s="155">
        <v>7</v>
      </c>
      <c r="O46" s="155">
        <v>21</v>
      </c>
      <c r="P46" s="713">
        <v>22</v>
      </c>
      <c r="Q46" s="335">
        <f t="shared" si="19"/>
        <v>50</v>
      </c>
      <c r="R46" s="335">
        <f>I46+M46+Q46+E46</f>
        <v>187</v>
      </c>
      <c r="S46" s="64"/>
    </row>
    <row r="47" spans="1:19" ht="13.8" thickTop="1">
      <c r="A47" s="326" t="s">
        <v>184</v>
      </c>
      <c r="B47" s="151">
        <v>2</v>
      </c>
      <c r="C47" s="151">
        <v>0</v>
      </c>
      <c r="D47" s="151">
        <v>3</v>
      </c>
      <c r="E47" s="335">
        <f t="shared" si="16"/>
        <v>5</v>
      </c>
      <c r="F47" s="151">
        <v>1</v>
      </c>
      <c r="G47" s="151">
        <v>1</v>
      </c>
      <c r="H47" s="151">
        <v>3</v>
      </c>
      <c r="I47" s="335">
        <f t="shared" si="17"/>
        <v>5</v>
      </c>
      <c r="J47" s="502">
        <v>2</v>
      </c>
      <c r="K47" s="502">
        <v>2</v>
      </c>
      <c r="L47" s="151">
        <v>1</v>
      </c>
      <c r="M47" s="335">
        <f t="shared" si="18"/>
        <v>5</v>
      </c>
      <c r="N47" s="151">
        <v>4</v>
      </c>
      <c r="O47" s="151">
        <v>3</v>
      </c>
      <c r="P47" s="710">
        <v>3</v>
      </c>
      <c r="Q47" s="335">
        <f t="shared" si="19"/>
        <v>10</v>
      </c>
      <c r="R47" s="335">
        <f>I47+M47+Q47+E47</f>
        <v>25</v>
      </c>
      <c r="S47" s="64"/>
    </row>
    <row r="48" spans="1:19" ht="13.8" thickBot="1">
      <c r="A48" s="328" t="s">
        <v>105</v>
      </c>
      <c r="B48" s="153">
        <v>0</v>
      </c>
      <c r="C48" s="153">
        <v>0</v>
      </c>
      <c r="D48" s="153">
        <v>0</v>
      </c>
      <c r="E48" s="335">
        <f t="shared" si="16"/>
        <v>0</v>
      </c>
      <c r="F48" s="153">
        <v>0</v>
      </c>
      <c r="G48" s="153">
        <v>0</v>
      </c>
      <c r="H48" s="153">
        <v>0</v>
      </c>
      <c r="I48" s="335">
        <f t="shared" si="17"/>
        <v>0</v>
      </c>
      <c r="J48" s="503">
        <v>0</v>
      </c>
      <c r="K48" s="503">
        <v>0</v>
      </c>
      <c r="L48" s="153">
        <v>0</v>
      </c>
      <c r="M48" s="335">
        <f t="shared" si="18"/>
        <v>0</v>
      </c>
      <c r="N48" s="153">
        <v>0</v>
      </c>
      <c r="O48" s="153">
        <v>0</v>
      </c>
      <c r="P48" s="711">
        <v>0</v>
      </c>
      <c r="Q48" s="335">
        <f t="shared" si="19"/>
        <v>0</v>
      </c>
      <c r="R48" s="335">
        <f>I48+M48+Q48+E48</f>
        <v>0</v>
      </c>
      <c r="S48" s="64"/>
    </row>
    <row r="49" spans="1:19" ht="14.4" thickTop="1" thickBot="1">
      <c r="A49" s="328" t="s">
        <v>106</v>
      </c>
      <c r="B49" s="153">
        <v>3</v>
      </c>
      <c r="C49" s="153">
        <v>1</v>
      </c>
      <c r="D49" s="153">
        <v>2</v>
      </c>
      <c r="E49" s="335">
        <f t="shared" si="16"/>
        <v>6</v>
      </c>
      <c r="F49" s="153">
        <v>1</v>
      </c>
      <c r="G49" s="153">
        <v>0</v>
      </c>
      <c r="H49" s="153">
        <v>0</v>
      </c>
      <c r="I49" s="335">
        <f t="shared" si="17"/>
        <v>1</v>
      </c>
      <c r="J49" s="503">
        <v>0</v>
      </c>
      <c r="K49" s="503">
        <v>1</v>
      </c>
      <c r="L49" s="153">
        <v>1</v>
      </c>
      <c r="M49" s="335">
        <f t="shared" si="18"/>
        <v>2</v>
      </c>
      <c r="N49" s="153">
        <v>1</v>
      </c>
      <c r="O49" s="153">
        <v>4</v>
      </c>
      <c r="P49" s="711">
        <v>4</v>
      </c>
      <c r="Q49" s="335">
        <f t="shared" si="19"/>
        <v>9</v>
      </c>
      <c r="R49" s="335">
        <f>I49+M49+Q49+E49</f>
        <v>18</v>
      </c>
      <c r="S49" s="64"/>
    </row>
    <row r="50" spans="1:19" ht="13.8" thickTop="1">
      <c r="A50" s="331" t="s">
        <v>107</v>
      </c>
      <c r="B50" s="158">
        <v>32</v>
      </c>
      <c r="C50" s="158">
        <v>29</v>
      </c>
      <c r="D50" s="158">
        <v>29</v>
      </c>
      <c r="E50" s="150"/>
      <c r="F50" s="158">
        <v>24</v>
      </c>
      <c r="G50" s="158">
        <v>25</v>
      </c>
      <c r="H50" s="158">
        <v>23</v>
      </c>
      <c r="I50" s="150"/>
      <c r="J50" s="506">
        <v>24</v>
      </c>
      <c r="K50" s="506">
        <v>24</v>
      </c>
      <c r="L50" s="194">
        <v>23</v>
      </c>
      <c r="M50" s="150"/>
      <c r="N50" s="158">
        <v>23</v>
      </c>
      <c r="O50" s="158">
        <v>24</v>
      </c>
      <c r="P50" s="714">
        <v>20</v>
      </c>
      <c r="Q50" s="150"/>
      <c r="R50" s="150"/>
      <c r="S50" s="64"/>
    </row>
    <row r="51" spans="1:19">
      <c r="A51" s="332" t="s">
        <v>108</v>
      </c>
      <c r="B51" s="159">
        <v>8</v>
      </c>
      <c r="C51" s="159">
        <v>2</v>
      </c>
      <c r="D51" s="159">
        <v>6</v>
      </c>
      <c r="E51" s="335">
        <f t="shared" ref="E51:E53" si="20">SUM(B51:D51)</f>
        <v>16</v>
      </c>
      <c r="F51" s="159">
        <v>3</v>
      </c>
      <c r="G51" s="159">
        <v>7</v>
      </c>
      <c r="H51" s="159">
        <v>6</v>
      </c>
      <c r="I51" s="335">
        <f t="shared" ref="I51:I53" si="21">SUM(F51:H51)</f>
        <v>16</v>
      </c>
      <c r="J51" s="507">
        <v>4</v>
      </c>
      <c r="K51" s="507">
        <v>6</v>
      </c>
      <c r="L51" s="195">
        <v>4</v>
      </c>
      <c r="M51" s="335">
        <f t="shared" ref="M51:M53" si="22">SUM(J51:L51)</f>
        <v>14</v>
      </c>
      <c r="N51" s="159">
        <v>7</v>
      </c>
      <c r="O51" s="159">
        <v>7</v>
      </c>
      <c r="P51" s="715">
        <v>5</v>
      </c>
      <c r="Q51" s="335">
        <f t="shared" ref="Q51:Q53" si="23">SUM(N51:P51)</f>
        <v>19</v>
      </c>
      <c r="R51" s="335">
        <f>I51+M51+Q51+E51</f>
        <v>65</v>
      </c>
      <c r="S51" s="64"/>
    </row>
    <row r="52" spans="1:19">
      <c r="A52" s="332" t="s">
        <v>109</v>
      </c>
      <c r="B52" s="159">
        <v>5</v>
      </c>
      <c r="C52" s="159">
        <v>1</v>
      </c>
      <c r="D52" s="159">
        <v>5</v>
      </c>
      <c r="E52" s="335">
        <f t="shared" si="20"/>
        <v>11</v>
      </c>
      <c r="F52" s="159">
        <v>4</v>
      </c>
      <c r="G52" s="159">
        <v>3</v>
      </c>
      <c r="H52" s="159">
        <v>4</v>
      </c>
      <c r="I52" s="335">
        <f t="shared" si="21"/>
        <v>11</v>
      </c>
      <c r="J52" s="507">
        <v>0</v>
      </c>
      <c r="K52" s="507">
        <v>4</v>
      </c>
      <c r="L52" s="195">
        <v>4</v>
      </c>
      <c r="M52" s="335">
        <f t="shared" si="22"/>
        <v>8</v>
      </c>
      <c r="N52" s="159">
        <v>6</v>
      </c>
      <c r="O52" s="379">
        <v>2</v>
      </c>
      <c r="P52" s="709">
        <v>4</v>
      </c>
      <c r="Q52" s="335">
        <f t="shared" si="23"/>
        <v>12</v>
      </c>
      <c r="R52" s="335">
        <f>I52+M52+Q52+E52</f>
        <v>42</v>
      </c>
      <c r="S52" s="64"/>
    </row>
    <row r="53" spans="1:19">
      <c r="A53" s="332" t="s">
        <v>110</v>
      </c>
      <c r="B53" s="159">
        <v>7</v>
      </c>
      <c r="C53" s="159">
        <v>4</v>
      </c>
      <c r="D53" s="159">
        <v>1</v>
      </c>
      <c r="E53" s="335">
        <f t="shared" si="20"/>
        <v>12</v>
      </c>
      <c r="F53" s="159">
        <v>3</v>
      </c>
      <c r="G53" s="159">
        <v>4</v>
      </c>
      <c r="H53" s="159">
        <v>6</v>
      </c>
      <c r="I53" s="335">
        <f t="shared" si="21"/>
        <v>13</v>
      </c>
      <c r="J53" s="507">
        <v>2</v>
      </c>
      <c r="K53" s="507">
        <v>3</v>
      </c>
      <c r="L53" s="195">
        <v>1</v>
      </c>
      <c r="M53" s="335">
        <f t="shared" si="22"/>
        <v>6</v>
      </c>
      <c r="N53" s="159">
        <v>1</v>
      </c>
      <c r="O53" s="379">
        <v>5</v>
      </c>
      <c r="P53" s="709">
        <v>5</v>
      </c>
      <c r="Q53" s="335">
        <f t="shared" si="23"/>
        <v>11</v>
      </c>
      <c r="R53" s="335">
        <f>I53+M53+Q53+E53</f>
        <v>42</v>
      </c>
      <c r="S53" s="64"/>
    </row>
    <row r="54" spans="1:19" ht="13.8" thickBot="1">
      <c r="A54" s="333" t="s">
        <v>111</v>
      </c>
      <c r="B54" s="345">
        <v>2</v>
      </c>
      <c r="C54" s="345">
        <v>2</v>
      </c>
      <c r="D54" s="345">
        <v>2</v>
      </c>
      <c r="E54" s="199"/>
      <c r="F54" s="345">
        <v>1</v>
      </c>
      <c r="G54" s="345">
        <v>1</v>
      </c>
      <c r="H54" s="345">
        <v>1</v>
      </c>
      <c r="I54" s="199"/>
      <c r="J54" s="508">
        <v>1</v>
      </c>
      <c r="K54" s="508">
        <v>1</v>
      </c>
      <c r="L54" s="347">
        <v>1</v>
      </c>
      <c r="M54" s="199"/>
      <c r="N54" s="345">
        <v>1</v>
      </c>
      <c r="O54" s="380">
        <v>1</v>
      </c>
      <c r="P54" s="708">
        <v>1</v>
      </c>
      <c r="Q54" s="199"/>
      <c r="R54" s="199"/>
      <c r="S54" s="64"/>
    </row>
    <row r="55" spans="1:19" ht="13.8" thickTop="1">
      <c r="A5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156"/>
      <c r="Q55" s="64"/>
      <c r="R55" s="64"/>
      <c r="S55" s="12"/>
    </row>
  </sheetData>
  <mergeCells count="28">
    <mergeCell ref="N34:Q34"/>
    <mergeCell ref="B34:E34"/>
    <mergeCell ref="F34:I34"/>
    <mergeCell ref="J34:M34"/>
    <mergeCell ref="B1:E1"/>
    <mergeCell ref="B33:E33"/>
    <mergeCell ref="F33:I33"/>
    <mergeCell ref="J33:M33"/>
    <mergeCell ref="N33:Q33"/>
    <mergeCell ref="B29:E29"/>
    <mergeCell ref="F29:I29"/>
    <mergeCell ref="B32:E32"/>
    <mergeCell ref="F30:I30"/>
    <mergeCell ref="N29:Q29"/>
    <mergeCell ref="B30:E30"/>
    <mergeCell ref="N31:Q31"/>
    <mergeCell ref="B31:E31"/>
    <mergeCell ref="F1:I1"/>
    <mergeCell ref="N1:Q1"/>
    <mergeCell ref="F31:I31"/>
    <mergeCell ref="J29:M29"/>
    <mergeCell ref="N32:Q32"/>
    <mergeCell ref="F32:I32"/>
    <mergeCell ref="J32:M32"/>
    <mergeCell ref="N30:Q30"/>
    <mergeCell ref="J1:M1"/>
    <mergeCell ref="J31:M31"/>
    <mergeCell ref="J30:M30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sqref="A1:Q54"/>
    </sheetView>
  </sheetViews>
  <sheetFormatPr defaultColWidth="9.109375" defaultRowHeight="13.2"/>
  <cols>
    <col min="1" max="1" width="45" style="15" customWidth="1"/>
    <col min="2" max="4" width="11.5546875" style="11" customWidth="1"/>
    <col min="5" max="5" width="11.5546875" style="135" customWidth="1"/>
    <col min="6" max="8" width="12.88671875" style="11" customWidth="1"/>
    <col min="9" max="9" width="13.88671875" style="135" customWidth="1"/>
    <col min="10" max="12" width="11.44140625" style="11" customWidth="1"/>
    <col min="13" max="13" width="11.44140625" style="135" customWidth="1"/>
    <col min="14" max="15" width="12.5546875" style="11" customWidth="1"/>
    <col min="16" max="16" width="13" style="11" customWidth="1"/>
    <col min="17" max="17" width="11.44140625" style="135" customWidth="1"/>
    <col min="18" max="18" width="13.109375" style="135" customWidth="1"/>
    <col min="19" max="16384" width="9.109375" style="12"/>
  </cols>
  <sheetData>
    <row r="1" spans="1:19" s="19" customFormat="1" ht="15" customHeight="1">
      <c r="A1" s="30" t="s">
        <v>25</v>
      </c>
      <c r="B1" s="728" t="s">
        <v>130</v>
      </c>
      <c r="C1" s="718"/>
      <c r="D1" s="718"/>
      <c r="E1" s="719"/>
      <c r="F1" s="728" t="s">
        <v>146</v>
      </c>
      <c r="G1" s="718"/>
      <c r="H1" s="718"/>
      <c r="I1" s="719"/>
      <c r="J1" s="728" t="s">
        <v>153</v>
      </c>
      <c r="K1" s="718"/>
      <c r="L1" s="718"/>
      <c r="M1" s="719"/>
      <c r="N1" s="728" t="s">
        <v>189</v>
      </c>
      <c r="O1" s="718"/>
      <c r="P1" s="718"/>
      <c r="Q1" s="719"/>
      <c r="R1" s="169"/>
    </row>
    <row r="2" spans="1:19" s="19" customFormat="1" ht="15" customHeight="1">
      <c r="A2" s="5" t="s">
        <v>0</v>
      </c>
      <c r="B2" s="597" t="s">
        <v>1</v>
      </c>
      <c r="C2" s="597" t="s">
        <v>2</v>
      </c>
      <c r="D2" s="597" t="s">
        <v>3</v>
      </c>
      <c r="E2" s="178" t="s">
        <v>113</v>
      </c>
      <c r="F2" s="597" t="s">
        <v>4</v>
      </c>
      <c r="G2" s="597" t="s">
        <v>5</v>
      </c>
      <c r="H2" s="597" t="s">
        <v>6</v>
      </c>
      <c r="I2" s="178" t="s">
        <v>124</v>
      </c>
      <c r="J2" s="597" t="s">
        <v>7</v>
      </c>
      <c r="K2" s="597" t="s">
        <v>8</v>
      </c>
      <c r="L2" s="597" t="s">
        <v>9</v>
      </c>
      <c r="M2" s="178" t="s">
        <v>125</v>
      </c>
      <c r="N2" s="597" t="s">
        <v>10</v>
      </c>
      <c r="O2" s="597" t="s">
        <v>11</v>
      </c>
      <c r="P2" s="597" t="s">
        <v>12</v>
      </c>
      <c r="Q2" s="178" t="s">
        <v>126</v>
      </c>
      <c r="R2" s="101" t="s">
        <v>127</v>
      </c>
    </row>
    <row r="3" spans="1:19" s="19" customFormat="1" ht="15" customHeight="1">
      <c r="A3" s="49"/>
      <c r="B3" s="597"/>
      <c r="C3" s="597"/>
      <c r="D3" s="597"/>
      <c r="E3" s="597"/>
      <c r="F3" s="597"/>
      <c r="G3" s="597"/>
      <c r="H3" s="597"/>
      <c r="I3" s="597"/>
      <c r="J3" s="597"/>
      <c r="K3" s="597"/>
      <c r="L3" s="597"/>
      <c r="M3" s="49"/>
      <c r="N3" s="597"/>
      <c r="O3" s="597"/>
      <c r="P3" s="597"/>
      <c r="Q3" s="597"/>
      <c r="R3" s="49"/>
    </row>
    <row r="4" spans="1:19" s="19" customFormat="1" ht="15" customHeight="1">
      <c r="A4" s="102" t="s">
        <v>36</v>
      </c>
      <c r="B4" s="602">
        <f>'Target 2022'!C7</f>
        <v>54300</v>
      </c>
      <c r="C4" s="602">
        <f>'Target 2022'!D7</f>
        <v>60333.333333333336</v>
      </c>
      <c r="D4" s="602">
        <f>'Target 2022'!E7</f>
        <v>66366.666666666672</v>
      </c>
      <c r="E4" s="192">
        <f>SUM(B4:D4)</f>
        <v>181000</v>
      </c>
      <c r="F4" s="602">
        <f>'Target 2022'!F7</f>
        <v>60900.000000000007</v>
      </c>
      <c r="G4" s="602">
        <f>'Target 2022'!G7</f>
        <v>67666.666666666672</v>
      </c>
      <c r="H4" s="602">
        <f>'Target 2022'!H7</f>
        <v>74433.333333333343</v>
      </c>
      <c r="I4" s="192">
        <f>SUM(F4:H4)</f>
        <v>203000.00000000003</v>
      </c>
      <c r="J4" s="602">
        <f>'Target 2022'!I7</f>
        <v>61800.000000000007</v>
      </c>
      <c r="K4" s="602">
        <f>'Target 2022'!J7</f>
        <v>68666.666666666672</v>
      </c>
      <c r="L4" s="602">
        <f>'Target 2022'!K7-5350</f>
        <v>70183.333333333343</v>
      </c>
      <c r="M4" s="179">
        <f>SUM(J4:L4)</f>
        <v>200650.00000000003</v>
      </c>
      <c r="N4" s="602">
        <f>'Target 2022'!L7</f>
        <v>63333.333333333336</v>
      </c>
      <c r="O4" s="602">
        <f>'Target 2022'!M7</f>
        <v>70000.000000000015</v>
      </c>
      <c r="P4" s="602">
        <f>'Target 2022'!N7+5350</f>
        <v>72016.666666666672</v>
      </c>
      <c r="Q4" s="192">
        <f>SUM(N4:P4)</f>
        <v>205350</v>
      </c>
      <c r="R4" s="656">
        <f>E4+I4+M4+Q4</f>
        <v>790000</v>
      </c>
    </row>
    <row r="5" spans="1:19" s="19" customFormat="1" ht="15" customHeight="1">
      <c r="A5" s="104" t="s">
        <v>35</v>
      </c>
      <c r="B5" s="603">
        <f>B4</f>
        <v>54300</v>
      </c>
      <c r="C5" s="603">
        <f>C4+B5</f>
        <v>114633.33333333334</v>
      </c>
      <c r="D5" s="603">
        <f>D4+C5</f>
        <v>181000</v>
      </c>
      <c r="E5" s="613"/>
      <c r="F5" s="603">
        <f>F4</f>
        <v>60900.000000000007</v>
      </c>
      <c r="G5" s="603">
        <f>G4+F5</f>
        <v>128566.66666666669</v>
      </c>
      <c r="H5" s="603">
        <f>H4+G5</f>
        <v>203000.00000000003</v>
      </c>
      <c r="I5" s="613"/>
      <c r="J5" s="603">
        <f>J4</f>
        <v>61800.000000000007</v>
      </c>
      <c r="K5" s="603">
        <f>K4+J5</f>
        <v>130466.66666666669</v>
      </c>
      <c r="L5" s="603">
        <f>L4+K5</f>
        <v>200650.00000000003</v>
      </c>
      <c r="M5" s="180"/>
      <c r="N5" s="603">
        <f>N4</f>
        <v>63333.333333333336</v>
      </c>
      <c r="O5" s="603">
        <f>O4+N5</f>
        <v>133333.33333333334</v>
      </c>
      <c r="P5" s="603">
        <f>P4+O5</f>
        <v>205350</v>
      </c>
      <c r="Q5" s="613"/>
      <c r="R5" s="360">
        <f>R6/R4</f>
        <v>1.1236107744303798</v>
      </c>
    </row>
    <row r="6" spans="1:19" s="19" customFormat="1" ht="15" customHeight="1">
      <c r="A6" s="106" t="s">
        <v>37</v>
      </c>
      <c r="B6" s="204">
        <f>SUMIF(I!A:A,$A$1,I!I:I)</f>
        <v>55111.929700000001</v>
      </c>
      <c r="C6" s="203">
        <f>SUMIF(II!A:A,$A$1,II!I:I)</f>
        <v>62945.808599999997</v>
      </c>
      <c r="D6" s="203">
        <f>SUMIF(III!A:A,$A$1,III!I:I)</f>
        <v>81475.6875</v>
      </c>
      <c r="E6" s="653">
        <f>SUM(B6:D6)</f>
        <v>199533.4258</v>
      </c>
      <c r="F6" s="203">
        <f>SUMIF(IV!A:A,$A$1,IV!I:I)</f>
        <v>87543.445300000007</v>
      </c>
      <c r="G6" s="203">
        <f>SUMIF(V!A:A,$A$1,V!I:I)</f>
        <v>55241.804700000001</v>
      </c>
      <c r="H6" s="203">
        <f>SUMIF(VI!A:A,$A$1,VI!I:I)</f>
        <v>95499.335900000005</v>
      </c>
      <c r="I6" s="653">
        <f>SUM(F6:H6)</f>
        <v>238284.58590000001</v>
      </c>
      <c r="J6" s="203">
        <f>SUMIF(VII!A:A,$A$1,VII!I:I)</f>
        <v>93649.601599999995</v>
      </c>
      <c r="K6" s="203">
        <f>SUMIF(VIII!A:A,$A$1,VIII!I:I)</f>
        <v>60673.855499999998</v>
      </c>
      <c r="L6" s="203">
        <f>SUMIF(IX!A:A,$A$1,IX!I:I)</f>
        <v>66423.078099999999</v>
      </c>
      <c r="M6" s="657">
        <f>SUM(J6:L6)</f>
        <v>220746.53519999998</v>
      </c>
      <c r="N6" s="203">
        <f>SUMIF(X!A:A,$A$1,X!I:I)</f>
        <v>92192.718800000002</v>
      </c>
      <c r="O6" s="203">
        <f>SUMIF(XI!A:A,$A$1,XI!I:I)</f>
        <v>94993.375</v>
      </c>
      <c r="P6" s="203">
        <f>SUMIF(XII!A:A,$A$1,XII!I:I)</f>
        <v>41901.871099999997</v>
      </c>
      <c r="Q6" s="653">
        <f>SUM(N6:P6)</f>
        <v>229087.96489999999</v>
      </c>
      <c r="R6" s="103">
        <f>E6+I6+M6+Q6</f>
        <v>887652.51179999998</v>
      </c>
    </row>
    <row r="7" spans="1:19" s="19" customFormat="1" ht="15" customHeight="1">
      <c r="A7" s="104" t="s">
        <v>38</v>
      </c>
      <c r="B7" s="599">
        <f>B6</f>
        <v>55111.929700000001</v>
      </c>
      <c r="C7" s="599">
        <f>C6+B7</f>
        <v>118057.7383</v>
      </c>
      <c r="D7" s="599">
        <f>D6+C7</f>
        <v>199533.4258</v>
      </c>
      <c r="E7" s="653"/>
      <c r="F7" s="599">
        <f>F6</f>
        <v>87543.445300000007</v>
      </c>
      <c r="G7" s="599">
        <f>G6+F7</f>
        <v>142785.25</v>
      </c>
      <c r="H7" s="599">
        <f>H6+G7</f>
        <v>238284.58590000001</v>
      </c>
      <c r="I7" s="653"/>
      <c r="J7" s="599">
        <f>J6</f>
        <v>93649.601599999995</v>
      </c>
      <c r="K7" s="599">
        <f>K6+J7</f>
        <v>154323.4571</v>
      </c>
      <c r="L7" s="599">
        <f>L6+K7</f>
        <v>220746.53519999998</v>
      </c>
      <c r="M7" s="703">
        <f>SUM(E6,I6,M6)/3</f>
        <v>219521.51563333333</v>
      </c>
      <c r="N7" s="599">
        <f>N6</f>
        <v>92192.718800000002</v>
      </c>
      <c r="O7" s="599">
        <f>O6+N7</f>
        <v>187186.0938</v>
      </c>
      <c r="P7" s="599">
        <f>P6+O7</f>
        <v>229087.96489999999</v>
      </c>
      <c r="Q7" s="653"/>
      <c r="R7" s="105"/>
    </row>
    <row r="8" spans="1:19" s="19" customFormat="1" ht="15" customHeight="1">
      <c r="A8" s="107" t="s">
        <v>39</v>
      </c>
      <c r="B8" s="90">
        <f t="shared" ref="B8:D9" si="0">B6/B4</f>
        <v>1.014952664825046</v>
      </c>
      <c r="C8" s="90">
        <f t="shared" si="0"/>
        <v>1.0433006950276242</v>
      </c>
      <c r="D8" s="90">
        <f t="shared" si="0"/>
        <v>1.2276597815168255</v>
      </c>
      <c r="E8" s="655"/>
      <c r="F8" s="90">
        <f t="shared" ref="F8:H9" si="1">F6/F4</f>
        <v>1.4374949967159276</v>
      </c>
      <c r="G8" s="90">
        <f t="shared" si="1"/>
        <v>0.81638135024630532</v>
      </c>
      <c r="H8" s="90">
        <f t="shared" si="1"/>
        <v>1.2830183954321539</v>
      </c>
      <c r="I8" s="654"/>
      <c r="J8" s="90">
        <f t="shared" ref="J8:L9" si="2">J6/J4</f>
        <v>1.5153657216828476</v>
      </c>
      <c r="K8" s="90">
        <f>K6/K4</f>
        <v>0.88359983737864067</v>
      </c>
      <c r="L8" s="90">
        <f t="shared" si="2"/>
        <v>0.94642239040607912</v>
      </c>
      <c r="M8" s="654"/>
      <c r="N8" s="90">
        <f t="shared" ref="N8:P9" si="3">N6/N4</f>
        <v>1.455674507368421</v>
      </c>
      <c r="O8" s="90">
        <f t="shared" si="3"/>
        <v>1.3570482142857141</v>
      </c>
      <c r="P8" s="90">
        <f t="shared" si="3"/>
        <v>0.58183574774357782</v>
      </c>
      <c r="Q8" s="654"/>
      <c r="R8" s="108"/>
    </row>
    <row r="9" spans="1:19" s="20" customFormat="1" ht="15" customHeight="1">
      <c r="A9" s="107" t="s">
        <v>40</v>
      </c>
      <c r="B9" s="90">
        <f t="shared" si="0"/>
        <v>1.014952664825046</v>
      </c>
      <c r="C9" s="90">
        <f t="shared" si="0"/>
        <v>1.0298726807211398</v>
      </c>
      <c r="D9" s="90">
        <f t="shared" si="0"/>
        <v>1.102394617679558</v>
      </c>
      <c r="E9" s="654"/>
      <c r="F9" s="90">
        <f t="shared" si="1"/>
        <v>1.4374949967159276</v>
      </c>
      <c r="G9" s="90">
        <f t="shared" si="1"/>
        <v>1.1105930775213895</v>
      </c>
      <c r="H9" s="90">
        <f t="shared" si="1"/>
        <v>1.1738156940886697</v>
      </c>
      <c r="I9" s="654"/>
      <c r="J9" s="90">
        <f t="shared" si="2"/>
        <v>1.5153657216828476</v>
      </c>
      <c r="K9" s="90">
        <f t="shared" si="2"/>
        <v>1.1828573615227387</v>
      </c>
      <c r="L9" s="90">
        <f t="shared" si="2"/>
        <v>1.1001571652130573</v>
      </c>
      <c r="M9" s="654"/>
      <c r="N9" s="90">
        <f t="shared" si="3"/>
        <v>1.455674507368421</v>
      </c>
      <c r="O9" s="90">
        <f t="shared" si="3"/>
        <v>1.4038957034999999</v>
      </c>
      <c r="P9" s="90">
        <f t="shared" si="3"/>
        <v>1.1155975889943999</v>
      </c>
      <c r="Q9" s="654"/>
      <c r="R9" s="109"/>
    </row>
    <row r="10" spans="1:19" s="42" customFormat="1" ht="15" customHeight="1">
      <c r="A10" s="104" t="s">
        <v>48</v>
      </c>
      <c r="B10" s="598">
        <f>B7-B5</f>
        <v>811.92970000000059</v>
      </c>
      <c r="C10" s="598">
        <f>C7-C5</f>
        <v>3424.4049666666542</v>
      </c>
      <c r="D10" s="598">
        <f>D7-D5</f>
        <v>18533.425799999997</v>
      </c>
      <c r="E10" s="653"/>
      <c r="F10" s="598">
        <f>F7-F5</f>
        <v>26643.445299999999</v>
      </c>
      <c r="G10" s="598">
        <f>G7-G5</f>
        <v>14218.583333333314</v>
      </c>
      <c r="H10" s="598">
        <f>H7-H5</f>
        <v>35284.585899999976</v>
      </c>
      <c r="I10" s="653"/>
      <c r="J10" s="598">
        <f>J7-J5</f>
        <v>31849.601599999987</v>
      </c>
      <c r="K10" s="598">
        <f>K7-K5</f>
        <v>23856.790433333314</v>
      </c>
      <c r="L10" s="598">
        <f>L7-L5</f>
        <v>20096.535199999955</v>
      </c>
      <c r="M10" s="657"/>
      <c r="N10" s="598">
        <f>N7-N5</f>
        <v>28859.385466666667</v>
      </c>
      <c r="O10" s="598">
        <f>O7-O5</f>
        <v>53852.760466666659</v>
      </c>
      <c r="P10" s="598">
        <f>P7-P5</f>
        <v>23737.964899999992</v>
      </c>
      <c r="Q10" s="653"/>
      <c r="R10" s="105"/>
    </row>
    <row r="11" spans="1:19" s="19" customFormat="1" ht="15" customHeight="1">
      <c r="A11" s="106" t="s">
        <v>201</v>
      </c>
      <c r="B11" s="204">
        <f>SUMIF(I!A:A,$A$1,I!G:G)</f>
        <v>157021.6875</v>
      </c>
      <c r="C11" s="203">
        <f>SUMIF(II!A:A,$A$1,II!G:G)</f>
        <v>251790.73439999999</v>
      </c>
      <c r="D11" s="203">
        <f>SUMIF(III!A:A,$A$1,III!G:G)</f>
        <v>269560.96879999997</v>
      </c>
      <c r="E11" s="653">
        <f>SUM(B11:D11)</f>
        <v>678373.39069999987</v>
      </c>
      <c r="F11" s="203">
        <f>SUMIF(IV!A:A,$A$1,IV!G:G)</f>
        <v>245867.98439999999</v>
      </c>
      <c r="G11" s="203">
        <f>SUMIF(V!A:A,$A$1,V!G:G)</f>
        <v>154197.2813</v>
      </c>
      <c r="H11" s="203">
        <f>SUMIF(VI!A:A,$A$1,VI!G:G)</f>
        <v>266192.28129999997</v>
      </c>
      <c r="I11" s="653">
        <f>SUM(F11:H11)</f>
        <v>666257.54700000002</v>
      </c>
      <c r="J11" s="203">
        <f>SUMIF(VII!A:A,$A$1,VII!G:G)</f>
        <v>267822.96879999997</v>
      </c>
      <c r="K11" s="203">
        <f>SUMIF(VIII!A:A,$A$1,VIII!G:G)</f>
        <v>184649.17189999999</v>
      </c>
      <c r="L11" s="203">
        <f>SUMIF(IX!A:A,$A$1,IX!G:G)</f>
        <v>195394.8125</v>
      </c>
      <c r="M11" s="657">
        <f>SUM(J11:L11)</f>
        <v>647866.95319999999</v>
      </c>
      <c r="N11" s="203">
        <f>SUMIF(X!A:A,$A$1,X!G:G)</f>
        <v>269468.0625</v>
      </c>
      <c r="O11" s="203">
        <f>SUMIF(XI!A:A,$A$1,XI!G:G)</f>
        <v>248502.54689999999</v>
      </c>
      <c r="P11" s="203">
        <f>SUMIF(XII!A:A,$A$1,XII!G:G)</f>
        <v>142416.4063</v>
      </c>
      <c r="Q11" s="653">
        <f>SUM(N11:P11)</f>
        <v>660387.01569999999</v>
      </c>
      <c r="R11" s="103">
        <f>E11+I11+M11+Q11</f>
        <v>2652884.9065999999</v>
      </c>
    </row>
    <row r="12" spans="1:19" customFormat="1">
      <c r="A12" s="104" t="s">
        <v>202</v>
      </c>
      <c r="B12" s="599">
        <f>B11</f>
        <v>157021.6875</v>
      </c>
      <c r="C12" s="599">
        <f>C11+B12</f>
        <v>408812.42189999996</v>
      </c>
      <c r="D12" s="599">
        <f>D11+C12</f>
        <v>678373.39069999987</v>
      </c>
      <c r="E12" s="613"/>
      <c r="F12" s="599">
        <f>F11</f>
        <v>245867.98439999999</v>
      </c>
      <c r="G12" s="599">
        <f>G11+F12</f>
        <v>400065.26569999999</v>
      </c>
      <c r="H12" s="599">
        <f>H11+G12</f>
        <v>666257.54700000002</v>
      </c>
      <c r="I12" s="613"/>
      <c r="J12" s="599">
        <f>J11</f>
        <v>267822.96879999997</v>
      </c>
      <c r="K12" s="599">
        <f>K11+J12</f>
        <v>452472.14069999999</v>
      </c>
      <c r="L12" s="599">
        <f>L11+K12</f>
        <v>647866.95319999999</v>
      </c>
      <c r="M12" s="180"/>
      <c r="N12" s="599">
        <f>N11</f>
        <v>269468.0625</v>
      </c>
      <c r="O12" s="599">
        <f>O11+N12</f>
        <v>517970.60939999996</v>
      </c>
      <c r="P12" s="599">
        <f>P11+O12</f>
        <v>660387.01569999999</v>
      </c>
      <c r="Q12" s="613"/>
      <c r="R12" s="105"/>
    </row>
    <row r="13" spans="1:19" s="19" customFormat="1" ht="15" customHeight="1">
      <c r="A13" s="111" t="s">
        <v>32</v>
      </c>
      <c r="B13" s="600">
        <f t="shared" ref="B13:D14" si="4">B6/B11</f>
        <v>0.35098291565615736</v>
      </c>
      <c r="C13" s="600">
        <f t="shared" si="4"/>
        <v>0.24999255333996118</v>
      </c>
      <c r="D13" s="600">
        <f t="shared" si="4"/>
        <v>0.30225328192988749</v>
      </c>
      <c r="E13" s="182"/>
      <c r="F13" s="600">
        <f t="shared" ref="F13:H14" si="5">F6/F11</f>
        <v>0.35605874231098145</v>
      </c>
      <c r="G13" s="600">
        <f t="shared" si="5"/>
        <v>0.35825407707755741</v>
      </c>
      <c r="H13" s="600">
        <f t="shared" si="5"/>
        <v>0.35876072526825747</v>
      </c>
      <c r="I13" s="182"/>
      <c r="J13" s="600">
        <f t="shared" ref="J13:L14" si="6">J6/J11</f>
        <v>0.34966979127893233</v>
      </c>
      <c r="K13" s="600">
        <f t="shared" si="6"/>
        <v>0.32858991391989018</v>
      </c>
      <c r="L13" s="600">
        <f t="shared" si="6"/>
        <v>0.33994289433860991</v>
      </c>
      <c r="M13" s="182"/>
      <c r="N13" s="600">
        <f t="shared" ref="N13:P14" si="7">N6/N11</f>
        <v>0.34212855484497351</v>
      </c>
      <c r="O13" s="600">
        <f t="shared" si="7"/>
        <v>0.38226318476416388</v>
      </c>
      <c r="P13" s="600">
        <f t="shared" si="7"/>
        <v>0.2942208147826294</v>
      </c>
      <c r="Q13" s="182"/>
      <c r="R13" s="112"/>
    </row>
    <row r="14" spans="1:19" s="19" customFormat="1" ht="15" customHeight="1">
      <c r="A14" s="111" t="s">
        <v>33</v>
      </c>
      <c r="B14" s="600">
        <f t="shared" si="4"/>
        <v>0.35098291565615736</v>
      </c>
      <c r="C14" s="600">
        <f t="shared" si="4"/>
        <v>0.28878216995294292</v>
      </c>
      <c r="D14" s="600">
        <f t="shared" si="4"/>
        <v>0.29413510101583651</v>
      </c>
      <c r="E14" s="182" t="s">
        <v>217</v>
      </c>
      <c r="F14" s="600">
        <f t="shared" si="5"/>
        <v>0.35605874231098145</v>
      </c>
      <c r="G14" s="600">
        <f t="shared" si="5"/>
        <v>0.35690489088115807</v>
      </c>
      <c r="H14" s="600">
        <f t="shared" si="5"/>
        <v>0.35764635908882242</v>
      </c>
      <c r="I14" s="182"/>
      <c r="J14" s="600">
        <f t="shared" si="6"/>
        <v>0.34966979127893233</v>
      </c>
      <c r="K14" s="600">
        <f t="shared" si="6"/>
        <v>0.34106731269963469</v>
      </c>
      <c r="L14" s="600">
        <f t="shared" si="6"/>
        <v>0.34072819135112509</v>
      </c>
      <c r="M14" s="182"/>
      <c r="N14" s="600">
        <f t="shared" si="7"/>
        <v>0.34212855484497351</v>
      </c>
      <c r="O14" s="600">
        <f t="shared" si="7"/>
        <v>0.36138361984829637</v>
      </c>
      <c r="P14" s="600">
        <f t="shared" si="7"/>
        <v>0.34689955958199797</v>
      </c>
      <c r="Q14" s="182"/>
      <c r="R14" s="112"/>
    </row>
    <row r="15" spans="1:19" s="66" customFormat="1" ht="15" customHeight="1">
      <c r="A15" s="93"/>
      <c r="B15" s="94"/>
      <c r="C15" s="94"/>
      <c r="D15" s="94"/>
      <c r="E15" s="183"/>
      <c r="F15" s="94"/>
      <c r="G15" s="94"/>
      <c r="H15" s="94"/>
      <c r="I15" s="183"/>
      <c r="J15" s="94"/>
      <c r="K15" s="94"/>
      <c r="L15" s="94"/>
      <c r="M15" s="183"/>
      <c r="N15" s="94"/>
      <c r="O15" s="94"/>
      <c r="P15" s="94"/>
      <c r="Q15" s="183"/>
      <c r="R15" s="113"/>
      <c r="S15" s="65"/>
    </row>
    <row r="16" spans="1:19" s="19" customFormat="1" ht="24.75" customHeight="1">
      <c r="A16" s="51"/>
      <c r="B16" s="611" t="s">
        <v>26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171"/>
      <c r="N16" s="612"/>
      <c r="O16" s="612"/>
      <c r="P16" s="612"/>
      <c r="Q16" s="612"/>
      <c r="R16" s="202"/>
    </row>
    <row r="17" spans="1:19" s="19" customFormat="1" ht="15" customHeight="1">
      <c r="A17" s="68" t="s">
        <v>75</v>
      </c>
      <c r="B17" s="92">
        <v>4700</v>
      </c>
      <c r="C17" s="92">
        <v>4700</v>
      </c>
      <c r="D17" s="92">
        <v>4700</v>
      </c>
      <c r="E17" s="185"/>
      <c r="F17" s="92">
        <v>5500</v>
      </c>
      <c r="G17" s="92">
        <v>5500</v>
      </c>
      <c r="H17" s="92">
        <v>5500</v>
      </c>
      <c r="I17" s="185"/>
      <c r="J17" s="92">
        <v>5500</v>
      </c>
      <c r="K17" s="92">
        <v>5500</v>
      </c>
      <c r="L17" s="92">
        <v>5500</v>
      </c>
      <c r="M17" s="185"/>
      <c r="N17" s="92">
        <v>5500</v>
      </c>
      <c r="O17" s="92">
        <v>5500</v>
      </c>
      <c r="P17" s="92">
        <v>5500</v>
      </c>
      <c r="Q17" s="185"/>
      <c r="R17" s="117"/>
    </row>
    <row r="18" spans="1:19" s="19" customFormat="1" ht="15" customHeight="1">
      <c r="A18" s="18" t="s">
        <v>50</v>
      </c>
      <c r="B18" s="73">
        <f>B5</f>
        <v>54300</v>
      </c>
      <c r="C18" s="73">
        <f>C5</f>
        <v>114633.33333333334</v>
      </c>
      <c r="D18" s="73">
        <f>D5</f>
        <v>181000</v>
      </c>
      <c r="E18" s="186"/>
      <c r="F18" s="73">
        <f>F5</f>
        <v>60900.000000000007</v>
      </c>
      <c r="G18" s="73">
        <f>G5</f>
        <v>128566.66666666669</v>
      </c>
      <c r="H18" s="73">
        <f>H5</f>
        <v>203000.00000000003</v>
      </c>
      <c r="I18" s="186"/>
      <c r="J18" s="73">
        <f>J5</f>
        <v>61800.000000000007</v>
      </c>
      <c r="K18" s="73">
        <f>K5</f>
        <v>130466.66666666669</v>
      </c>
      <c r="L18" s="73">
        <f>L5</f>
        <v>200650.00000000003</v>
      </c>
      <c r="M18" s="186"/>
      <c r="N18" s="73">
        <f>N5</f>
        <v>63333.333333333336</v>
      </c>
      <c r="O18" s="73">
        <f>O5</f>
        <v>133333.33333333334</v>
      </c>
      <c r="P18" s="73">
        <f>P5</f>
        <v>205350</v>
      </c>
      <c r="Q18" s="186"/>
      <c r="R18" s="119"/>
    </row>
    <row r="19" spans="1:19" s="19" customFormat="1" ht="15" customHeight="1">
      <c r="A19" s="38" t="s">
        <v>51</v>
      </c>
      <c r="B19" s="76">
        <f>B7</f>
        <v>55111.929700000001</v>
      </c>
      <c r="C19" s="76">
        <f>C7</f>
        <v>118057.7383</v>
      </c>
      <c r="D19" s="76">
        <f>D7</f>
        <v>199533.4258</v>
      </c>
      <c r="E19" s="187"/>
      <c r="F19" s="76">
        <f>F7</f>
        <v>87543.445300000007</v>
      </c>
      <c r="G19" s="76">
        <f>G7</f>
        <v>142785.25</v>
      </c>
      <c r="H19" s="76">
        <f>H7</f>
        <v>238284.58590000001</v>
      </c>
      <c r="I19" s="187"/>
      <c r="J19" s="76">
        <f>J7</f>
        <v>93649.601599999995</v>
      </c>
      <c r="K19" s="76">
        <f>K7</f>
        <v>154323.4571</v>
      </c>
      <c r="L19" s="76">
        <f>L7</f>
        <v>220746.53519999998</v>
      </c>
      <c r="M19" s="187"/>
      <c r="N19" s="76">
        <f>N7</f>
        <v>92192.718800000002</v>
      </c>
      <c r="O19" s="76">
        <f>O7</f>
        <v>187186.0938</v>
      </c>
      <c r="P19" s="76">
        <f>P7</f>
        <v>229087.96489999999</v>
      </c>
      <c r="Q19" s="187"/>
      <c r="R19" s="119"/>
    </row>
    <row r="20" spans="1:19" s="19" customFormat="1" ht="15" customHeight="1">
      <c r="A20" s="38" t="s">
        <v>52</v>
      </c>
      <c r="B20" s="121">
        <f>B19/B18</f>
        <v>1.014952664825046</v>
      </c>
      <c r="C20" s="121">
        <f>C19/C18</f>
        <v>1.0298726807211398</v>
      </c>
      <c r="D20" s="121">
        <f>D19/D18</f>
        <v>1.102394617679558</v>
      </c>
      <c r="E20" s="188"/>
      <c r="F20" s="121">
        <f>F19/F18</f>
        <v>1.4374949967159276</v>
      </c>
      <c r="G20" s="121">
        <f>G19/G18</f>
        <v>1.1105930775213895</v>
      </c>
      <c r="H20" s="121">
        <f>H19/H18</f>
        <v>1.1738156940886697</v>
      </c>
      <c r="I20" s="188"/>
      <c r="J20" s="121">
        <f>J19/J18</f>
        <v>1.5153657216828476</v>
      </c>
      <c r="K20" s="121">
        <f>K19/K18</f>
        <v>1.1828573615227387</v>
      </c>
      <c r="L20" s="121">
        <f>L19/L18</f>
        <v>1.1001571652130573</v>
      </c>
      <c r="M20" s="188"/>
      <c r="N20" s="121">
        <f>N19/N18</f>
        <v>1.455674507368421</v>
      </c>
      <c r="O20" s="121">
        <f>O19/O18</f>
        <v>1.4038957034999999</v>
      </c>
      <c r="P20" s="121">
        <f>P19/P18</f>
        <v>1.1155975889943999</v>
      </c>
      <c r="Q20" s="188"/>
      <c r="R20" s="119"/>
    </row>
    <row r="21" spans="1:19" s="19" customFormat="1" ht="15" customHeight="1">
      <c r="A21" s="37" t="s">
        <v>60</v>
      </c>
      <c r="B21" s="80">
        <f>B17*0.35</f>
        <v>1645</v>
      </c>
      <c r="C21" s="80">
        <f>C17*0.35</f>
        <v>1645</v>
      </c>
      <c r="D21" s="80">
        <f>D17*0.35</f>
        <v>1645</v>
      </c>
      <c r="E21" s="189"/>
      <c r="F21" s="80">
        <f>F17*0.35</f>
        <v>1924.9999999999998</v>
      </c>
      <c r="G21" s="80">
        <f>G17*0.35</f>
        <v>1924.9999999999998</v>
      </c>
      <c r="H21" s="80">
        <f>H17*0.35</f>
        <v>1924.9999999999998</v>
      </c>
      <c r="I21" s="189"/>
      <c r="J21" s="80">
        <f>J17*0.35</f>
        <v>1924.9999999999998</v>
      </c>
      <c r="K21" s="80">
        <f>K17*0.35</f>
        <v>1924.9999999999998</v>
      </c>
      <c r="L21" s="80">
        <f>L17*0.35</f>
        <v>1924.9999999999998</v>
      </c>
      <c r="M21" s="189"/>
      <c r="N21" s="80">
        <f>N17*0.35</f>
        <v>1924.9999999999998</v>
      </c>
      <c r="O21" s="80">
        <f>O17*0.35</f>
        <v>1924.9999999999998</v>
      </c>
      <c r="P21" s="80">
        <f>P17*0.35</f>
        <v>1924.9999999999998</v>
      </c>
      <c r="Q21" s="189"/>
      <c r="R21" s="122"/>
    </row>
    <row r="22" spans="1:19" s="19" customFormat="1" ht="15" customHeight="1">
      <c r="A22" s="38" t="s">
        <v>53</v>
      </c>
      <c r="B22" s="76">
        <f>IF(B20&lt;80%,0,IF(B20&lt;90%,0.5,IF(B20&lt;95%,0.75,1)))</f>
        <v>1</v>
      </c>
      <c r="C22" s="76">
        <f>IF(C20&lt;80%,0,IF(C20&lt;90%,0.5,IF(C20&lt;95%,0.75,1)))</f>
        <v>1</v>
      </c>
      <c r="D22" s="76">
        <f>IF(D20&lt;80%,0,IF(D20&lt;90%,0.5,IF(D20&lt;95%,0.75,1)))</f>
        <v>1</v>
      </c>
      <c r="E22" s="187"/>
      <c r="F22" s="76">
        <f>IF(F20&lt;80%,0,IF(F20&lt;90%,0.5,IF(F20&lt;95%,0.75,1)))</f>
        <v>1</v>
      </c>
      <c r="G22" s="76">
        <f>IF(G20&lt;80%,0,IF(G20&lt;90%,0.5,IF(G20&lt;95%,0.75,1)))</f>
        <v>1</v>
      </c>
      <c r="H22" s="76">
        <f>IF(H20&lt;80%,0,IF(H20&lt;90%,0.5,IF(H20&lt;95%,0.75,1)))</f>
        <v>1</v>
      </c>
      <c r="I22" s="187"/>
      <c r="J22" s="76">
        <f>IF(J20&lt;80%,0,IF(J20&lt;90%,0.5,IF(J20&lt;95%,0.75,1)))</f>
        <v>1</v>
      </c>
      <c r="K22" s="76">
        <f>IF(K20&lt;80%,0,IF(K20&lt;90%,0.5,IF(K20&lt;95%,0.75,1)))</f>
        <v>1</v>
      </c>
      <c r="L22" s="76">
        <f>IF(L20&lt;80%,0,IF(L20&lt;90%,0.5,IF(L20&lt;95%,0.75,1)))</f>
        <v>1</v>
      </c>
      <c r="M22" s="187"/>
      <c r="N22" s="76">
        <f>IF(N20&lt;80%,0,IF(N20&lt;90%,0.5,IF(N20&lt;95%,0.75,1)))</f>
        <v>1</v>
      </c>
      <c r="O22" s="76">
        <f>IF(O20&lt;80%,0,IF(O20&lt;90%,0.5,IF(O20&lt;95%,0.75,1)))</f>
        <v>1</v>
      </c>
      <c r="P22" s="76">
        <f>IF(P20&lt;80%,0,IF(P20&lt;90%,0.5,IF(P20&lt;95%,0.75,1)))</f>
        <v>1</v>
      </c>
      <c r="Q22" s="187"/>
      <c r="R22" s="119"/>
    </row>
    <row r="23" spans="1:19" s="19" customFormat="1" ht="15" customHeight="1">
      <c r="A23" s="54" t="s">
        <v>54</v>
      </c>
      <c r="B23" s="75">
        <f>B22*B21</f>
        <v>1645</v>
      </c>
      <c r="C23" s="75">
        <f>C22*C21</f>
        <v>1645</v>
      </c>
      <c r="D23" s="75">
        <f>D22*D21</f>
        <v>1645</v>
      </c>
      <c r="E23" s="190"/>
      <c r="F23" s="75">
        <f>F22*F21</f>
        <v>1924.9999999999998</v>
      </c>
      <c r="G23" s="75">
        <f>G22*G21</f>
        <v>1924.9999999999998</v>
      </c>
      <c r="H23" s="75">
        <f>H22*H21</f>
        <v>1924.9999999999998</v>
      </c>
      <c r="I23" s="190"/>
      <c r="J23" s="75">
        <f>J22*J21</f>
        <v>1924.9999999999998</v>
      </c>
      <c r="K23" s="75">
        <f>K22*K21</f>
        <v>1924.9999999999998</v>
      </c>
      <c r="L23" s="75">
        <f>L22*L21</f>
        <v>1924.9999999999998</v>
      </c>
      <c r="M23" s="190"/>
      <c r="N23" s="75">
        <f>N22*N21</f>
        <v>1924.9999999999998</v>
      </c>
      <c r="O23" s="75">
        <f>O22*O21</f>
        <v>1924.9999999999998</v>
      </c>
      <c r="P23" s="75">
        <f>P22*P21</f>
        <v>1924.9999999999998</v>
      </c>
      <c r="Q23" s="190"/>
      <c r="R23" s="123"/>
    </row>
    <row r="24" spans="1:19" s="19" customFormat="1" ht="15" customHeight="1">
      <c r="A24" s="18" t="s">
        <v>34</v>
      </c>
      <c r="B24" s="73"/>
      <c r="C24" s="73"/>
      <c r="D24" s="73"/>
      <c r="E24" s="186"/>
      <c r="F24" s="73"/>
      <c r="G24" s="73"/>
      <c r="H24" s="73"/>
      <c r="I24" s="186"/>
      <c r="J24" s="73"/>
      <c r="K24" s="73"/>
      <c r="L24" s="73"/>
      <c r="M24" s="186"/>
      <c r="N24" s="73"/>
      <c r="O24" s="73"/>
      <c r="P24" s="73"/>
      <c r="Q24" s="186"/>
      <c r="R24" s="124"/>
      <c r="S24" s="21"/>
    </row>
    <row r="25" spans="1:19" s="21" customFormat="1" ht="15" customHeight="1">
      <c r="A25" s="48" t="s">
        <v>59</v>
      </c>
      <c r="B25" s="125">
        <f>B17*0.05</f>
        <v>235</v>
      </c>
      <c r="C25" s="125">
        <f>C17*0.05</f>
        <v>235</v>
      </c>
      <c r="D25" s="125">
        <f>D17*0.05</f>
        <v>235</v>
      </c>
      <c r="E25" s="191"/>
      <c r="F25" s="125">
        <f>F17*0.05</f>
        <v>275</v>
      </c>
      <c r="G25" s="125">
        <f>G17*0.05</f>
        <v>275</v>
      </c>
      <c r="H25" s="125">
        <f>H17*0.05</f>
        <v>275</v>
      </c>
      <c r="I25" s="191"/>
      <c r="J25" s="125">
        <f>J17*0.05</f>
        <v>275</v>
      </c>
      <c r="K25" s="125">
        <f>K17*0.05</f>
        <v>275</v>
      </c>
      <c r="L25" s="125">
        <f>L17*0.05</f>
        <v>275</v>
      </c>
      <c r="M25" s="191"/>
      <c r="N25" s="125">
        <f>N17*0.05</f>
        <v>275</v>
      </c>
      <c r="O25" s="125">
        <f>O17*0.05</f>
        <v>275</v>
      </c>
      <c r="P25" s="125">
        <f>P17*0.05</f>
        <v>275</v>
      </c>
      <c r="Q25" s="191"/>
      <c r="R25" s="122"/>
    </row>
    <row r="26" spans="1:19" s="20" customFormat="1" ht="15" customHeight="1">
      <c r="A26" s="38" t="s">
        <v>62</v>
      </c>
      <c r="B26" s="76">
        <v>1</v>
      </c>
      <c r="C26" s="76">
        <v>1</v>
      </c>
      <c r="D26" s="76">
        <v>1</v>
      </c>
      <c r="E26" s="187"/>
      <c r="F26" s="76">
        <v>1</v>
      </c>
      <c r="G26" s="76">
        <v>1</v>
      </c>
      <c r="H26" s="76">
        <v>1</v>
      </c>
      <c r="I26" s="187"/>
      <c r="J26" s="76">
        <v>1</v>
      </c>
      <c r="K26" s="76">
        <v>1</v>
      </c>
      <c r="L26" s="76">
        <v>1</v>
      </c>
      <c r="M26" s="187"/>
      <c r="N26" s="76">
        <v>1</v>
      </c>
      <c r="O26" s="76">
        <v>1</v>
      </c>
      <c r="P26" s="76">
        <v>1</v>
      </c>
      <c r="Q26" s="187"/>
      <c r="R26" s="119"/>
      <c r="S26" s="35"/>
    </row>
    <row r="27" spans="1:19" s="20" customFormat="1" ht="15" customHeight="1">
      <c r="A27" s="61" t="s">
        <v>63</v>
      </c>
      <c r="B27" s="75">
        <f>B26*B25</f>
        <v>235</v>
      </c>
      <c r="C27" s="75">
        <f>C26*C25</f>
        <v>235</v>
      </c>
      <c r="D27" s="75">
        <f>D26*D25</f>
        <v>235</v>
      </c>
      <c r="E27" s="190"/>
      <c r="F27" s="75">
        <f>F26*F25</f>
        <v>275</v>
      </c>
      <c r="G27" s="75">
        <f>G26*G25</f>
        <v>275</v>
      </c>
      <c r="H27" s="75">
        <f>H26*H25</f>
        <v>275</v>
      </c>
      <c r="I27" s="190"/>
      <c r="J27" s="75">
        <f>J26*J25</f>
        <v>275</v>
      </c>
      <c r="K27" s="75">
        <f>K26*K25</f>
        <v>275</v>
      </c>
      <c r="L27" s="75">
        <f>L26*L25</f>
        <v>275</v>
      </c>
      <c r="M27" s="190"/>
      <c r="N27" s="75">
        <f>N26*N25</f>
        <v>275</v>
      </c>
      <c r="O27" s="75">
        <f>O26*O25</f>
        <v>275</v>
      </c>
      <c r="P27" s="75">
        <f>P26*P25</f>
        <v>275</v>
      </c>
      <c r="Q27" s="190"/>
      <c r="R27" s="126"/>
      <c r="S27" s="13"/>
    </row>
    <row r="28" spans="1:19" s="41" customFormat="1" ht="15" customHeight="1">
      <c r="A28" s="51" t="s">
        <v>67</v>
      </c>
      <c r="B28" s="78">
        <f>B23+B27</f>
        <v>1880</v>
      </c>
      <c r="C28" s="78">
        <f>C23+C27</f>
        <v>1880</v>
      </c>
      <c r="D28" s="78">
        <f>D23+D27</f>
        <v>1880</v>
      </c>
      <c r="E28" s="192"/>
      <c r="F28" s="78">
        <f>F23+F27</f>
        <v>2200</v>
      </c>
      <c r="G28" s="78">
        <f>G23+G27</f>
        <v>2200</v>
      </c>
      <c r="H28" s="78">
        <f>H23+H27</f>
        <v>2200</v>
      </c>
      <c r="I28" s="192"/>
      <c r="J28" s="78">
        <f>J23+J27</f>
        <v>2200</v>
      </c>
      <c r="K28" s="78">
        <f>K23+K27</f>
        <v>2200</v>
      </c>
      <c r="L28" s="78">
        <f>L23+L27</f>
        <v>2200</v>
      </c>
      <c r="M28" s="192"/>
      <c r="N28" s="78">
        <f>N23+N27</f>
        <v>2200</v>
      </c>
      <c r="O28" s="78">
        <f>O23+O27</f>
        <v>2200</v>
      </c>
      <c r="P28" s="78">
        <f>P23+P27</f>
        <v>2200</v>
      </c>
      <c r="Q28" s="192"/>
      <c r="R28" s="127"/>
      <c r="S28" s="15"/>
    </row>
    <row r="29" spans="1:19" s="21" customFormat="1" ht="15" customHeight="1">
      <c r="A29" s="118" t="s">
        <v>123</v>
      </c>
      <c r="B29" s="720">
        <f>D5</f>
        <v>181000</v>
      </c>
      <c r="C29" s="721"/>
      <c r="D29" s="721"/>
      <c r="E29" s="731"/>
      <c r="F29" s="720">
        <f>H5</f>
        <v>203000.00000000003</v>
      </c>
      <c r="G29" s="721"/>
      <c r="H29" s="721"/>
      <c r="I29" s="731"/>
      <c r="J29" s="720">
        <f>L5</f>
        <v>200650.00000000003</v>
      </c>
      <c r="K29" s="721"/>
      <c r="L29" s="721"/>
      <c r="M29" s="731"/>
      <c r="N29" s="720">
        <f>P5</f>
        <v>205350</v>
      </c>
      <c r="O29" s="721"/>
      <c r="P29" s="721"/>
      <c r="Q29" s="731"/>
      <c r="R29" s="122"/>
    </row>
    <row r="30" spans="1:19" s="20" customFormat="1" ht="15" customHeight="1">
      <c r="A30" s="120" t="s">
        <v>69</v>
      </c>
      <c r="B30" s="732">
        <f>D7</f>
        <v>199533.4258</v>
      </c>
      <c r="C30" s="733"/>
      <c r="D30" s="733"/>
      <c r="E30" s="731"/>
      <c r="F30" s="732">
        <f>H7</f>
        <v>238284.58590000001</v>
      </c>
      <c r="G30" s="733"/>
      <c r="H30" s="733"/>
      <c r="I30" s="731"/>
      <c r="J30" s="732">
        <f>L7</f>
        <v>220746.53519999998</v>
      </c>
      <c r="K30" s="733"/>
      <c r="L30" s="733"/>
      <c r="M30" s="731"/>
      <c r="N30" s="732">
        <f>P7</f>
        <v>229087.96489999999</v>
      </c>
      <c r="O30" s="733"/>
      <c r="P30" s="733"/>
      <c r="Q30" s="731"/>
      <c r="R30" s="122"/>
      <c r="S30" s="35"/>
    </row>
    <row r="31" spans="1:19" s="19" customFormat="1" ht="15" customHeight="1">
      <c r="A31" s="120" t="s">
        <v>68</v>
      </c>
      <c r="B31" s="734">
        <f>B30/B29</f>
        <v>1.102394617679558</v>
      </c>
      <c r="C31" s="735"/>
      <c r="D31" s="735"/>
      <c r="E31" s="731"/>
      <c r="F31" s="734">
        <f>F30/F29</f>
        <v>1.1738156940886697</v>
      </c>
      <c r="G31" s="735"/>
      <c r="H31" s="735"/>
      <c r="I31" s="731"/>
      <c r="J31" s="734">
        <f>J30/J29</f>
        <v>1.1001571652130573</v>
      </c>
      <c r="K31" s="735"/>
      <c r="L31" s="735"/>
      <c r="M31" s="731"/>
      <c r="N31" s="734">
        <f>N30/N29</f>
        <v>1.1155975889943999</v>
      </c>
      <c r="O31" s="735"/>
      <c r="P31" s="735"/>
      <c r="Q31" s="731"/>
      <c r="R31" s="128"/>
    </row>
    <row r="32" spans="1:19" s="19" customFormat="1" ht="15" customHeight="1">
      <c r="A32" s="120" t="s">
        <v>65</v>
      </c>
      <c r="B32" s="729">
        <f>D17</f>
        <v>4700</v>
      </c>
      <c r="C32" s="730"/>
      <c r="D32" s="730"/>
      <c r="E32" s="731"/>
      <c r="F32" s="729">
        <f>H17</f>
        <v>5500</v>
      </c>
      <c r="G32" s="730"/>
      <c r="H32" s="730"/>
      <c r="I32" s="731"/>
      <c r="J32" s="729">
        <f>L17</f>
        <v>5500</v>
      </c>
      <c r="K32" s="730"/>
      <c r="L32" s="730"/>
      <c r="M32" s="731"/>
      <c r="N32" s="729">
        <f>P17</f>
        <v>5500</v>
      </c>
      <c r="O32" s="730"/>
      <c r="P32" s="730"/>
      <c r="Q32" s="731"/>
      <c r="R32" s="122"/>
      <c r="S32" s="21"/>
    </row>
    <row r="33" spans="1:19" s="21" customFormat="1" ht="15" customHeight="1">
      <c r="A33" s="82" t="s">
        <v>66</v>
      </c>
      <c r="B33" s="724">
        <f>IF(B31&lt;100%,0,IF(B31&lt;105%,0.5,IF(B31&lt;110%,0.7,1)))</f>
        <v>1</v>
      </c>
      <c r="C33" s="725"/>
      <c r="D33" s="725"/>
      <c r="E33" s="719"/>
      <c r="F33" s="724">
        <f>IF(F31&lt;100%,0,IF(F31&lt;105%,0.5,IF(F31&lt;110%,0.7,1)))</f>
        <v>1</v>
      </c>
      <c r="G33" s="725"/>
      <c r="H33" s="725"/>
      <c r="I33" s="719"/>
      <c r="J33" s="724">
        <f>IF(J31&lt;100%,0,IF(J31&lt;105%,0.5,IF(J31&lt;110%,0.7,1)))</f>
        <v>1</v>
      </c>
      <c r="K33" s="725"/>
      <c r="L33" s="725"/>
      <c r="M33" s="719"/>
      <c r="N33" s="724">
        <f>IF(N31&lt;100%,0,IF(N31&lt;105%,0.5,IF(N31&lt;110%,0.7,1)))</f>
        <v>1</v>
      </c>
      <c r="O33" s="725"/>
      <c r="P33" s="725"/>
      <c r="Q33" s="719"/>
      <c r="R33" s="129"/>
    </row>
    <row r="34" spans="1:19" s="20" customFormat="1" ht="15" customHeight="1">
      <c r="A34" s="51" t="s">
        <v>64</v>
      </c>
      <c r="B34" s="726">
        <f>B33*B32</f>
        <v>4700</v>
      </c>
      <c r="C34" s="727"/>
      <c r="D34" s="727"/>
      <c r="E34" s="719"/>
      <c r="F34" s="726">
        <f>F33*F32</f>
        <v>5500</v>
      </c>
      <c r="G34" s="727"/>
      <c r="H34" s="727"/>
      <c r="I34" s="719"/>
      <c r="J34" s="726">
        <f>J33*J32</f>
        <v>5500</v>
      </c>
      <c r="K34" s="727"/>
      <c r="L34" s="727"/>
      <c r="M34" s="719"/>
      <c r="N34" s="726">
        <f>N33*N32</f>
        <v>5500</v>
      </c>
      <c r="O34" s="727"/>
      <c r="P34" s="727"/>
      <c r="Q34" s="719"/>
      <c r="R34" s="130"/>
      <c r="S34" s="35"/>
    </row>
    <row r="35" spans="1:19" s="19" customFormat="1" ht="15" customHeight="1" thickBot="1">
      <c r="A35" s="58"/>
      <c r="B35" s="59"/>
      <c r="C35" s="59"/>
      <c r="D35" s="59"/>
      <c r="E35" s="132"/>
      <c r="F35" s="59"/>
      <c r="G35" s="59"/>
      <c r="H35" s="59"/>
      <c r="I35" s="132"/>
      <c r="J35" s="59"/>
      <c r="K35" s="59"/>
      <c r="L35" s="59"/>
      <c r="M35" s="132"/>
      <c r="N35" s="59"/>
      <c r="O35" s="59"/>
      <c r="P35" s="59"/>
      <c r="Q35" s="132"/>
      <c r="R35" s="133"/>
      <c r="S35" s="35"/>
    </row>
    <row r="36" spans="1:19" ht="13.8" thickBot="1">
      <c r="A36" s="325" t="s">
        <v>94</v>
      </c>
      <c r="B36" s="336" t="s">
        <v>1</v>
      </c>
      <c r="C36" s="336" t="s">
        <v>2</v>
      </c>
      <c r="D36" s="336" t="s">
        <v>3</v>
      </c>
      <c r="E36" s="334" t="s">
        <v>96</v>
      </c>
      <c r="F36" s="336" t="s">
        <v>4</v>
      </c>
      <c r="G36" s="336" t="s">
        <v>5</v>
      </c>
      <c r="H36" s="336" t="s">
        <v>6</v>
      </c>
      <c r="I36" s="334" t="s">
        <v>96</v>
      </c>
      <c r="J36" s="336" t="s">
        <v>7</v>
      </c>
      <c r="K36" s="336" t="s">
        <v>8</v>
      </c>
      <c r="L36" s="336" t="s">
        <v>9</v>
      </c>
      <c r="M36" s="334" t="s">
        <v>96</v>
      </c>
      <c r="N36" s="336" t="s">
        <v>95</v>
      </c>
      <c r="O36" s="336" t="s">
        <v>11</v>
      </c>
      <c r="P36" s="336" t="s">
        <v>12</v>
      </c>
      <c r="Q36" s="334" t="s">
        <v>96</v>
      </c>
      <c r="R36" s="334" t="s">
        <v>96</v>
      </c>
    </row>
    <row r="37" spans="1:19" ht="13.8" thickTop="1">
      <c r="A37" s="326" t="s">
        <v>97</v>
      </c>
      <c r="B37" s="151">
        <v>0</v>
      </c>
      <c r="C37" s="151">
        <v>0</v>
      </c>
      <c r="D37" s="151">
        <v>0</v>
      </c>
      <c r="E37" s="335">
        <f>SUM(B37:D37)</f>
        <v>0</v>
      </c>
      <c r="F37" s="151">
        <v>2</v>
      </c>
      <c r="G37" s="151">
        <v>2</v>
      </c>
      <c r="H37" s="151">
        <v>1</v>
      </c>
      <c r="I37" s="335">
        <f>SUM(F37:H37)</f>
        <v>5</v>
      </c>
      <c r="J37" s="511">
        <v>0</v>
      </c>
      <c r="K37" s="511">
        <v>0</v>
      </c>
      <c r="L37" s="151">
        <v>0</v>
      </c>
      <c r="M37" s="335">
        <f>SUM(J37:L37)</f>
        <v>0</v>
      </c>
      <c r="N37" s="151">
        <v>1</v>
      </c>
      <c r="O37" s="151">
        <v>1</v>
      </c>
      <c r="P37" s="151">
        <v>1</v>
      </c>
      <c r="Q37" s="335">
        <f>SUM(N37:P37)</f>
        <v>3</v>
      </c>
      <c r="R37" s="335">
        <f>I37+M37+Q37+E37</f>
        <v>8</v>
      </c>
      <c r="S37" s="64"/>
    </row>
    <row r="38" spans="1:19">
      <c r="A38" s="327" t="s">
        <v>98</v>
      </c>
      <c r="B38" s="152">
        <v>130</v>
      </c>
      <c r="C38" s="152">
        <v>132</v>
      </c>
      <c r="D38" s="152">
        <v>132</v>
      </c>
      <c r="E38" s="196"/>
      <c r="F38" s="152">
        <v>134</v>
      </c>
      <c r="G38" s="152">
        <v>136</v>
      </c>
      <c r="H38" s="152">
        <v>137</v>
      </c>
      <c r="I38" s="196"/>
      <c r="J38" s="510">
        <v>138</v>
      </c>
      <c r="K38" s="510">
        <v>138</v>
      </c>
      <c r="L38" s="152">
        <v>138</v>
      </c>
      <c r="M38" s="196"/>
      <c r="N38" s="152">
        <v>139</v>
      </c>
      <c r="O38" s="152">
        <v>140</v>
      </c>
      <c r="P38" s="152">
        <v>141</v>
      </c>
      <c r="Q38" s="196"/>
      <c r="R38" s="196"/>
      <c r="S38" s="64"/>
    </row>
    <row r="39" spans="1:19">
      <c r="A39" s="327" t="s">
        <v>99</v>
      </c>
      <c r="B39" s="152">
        <v>35</v>
      </c>
      <c r="C39" s="152">
        <v>36</v>
      </c>
      <c r="D39" s="152">
        <v>34</v>
      </c>
      <c r="E39" s="196"/>
      <c r="F39" s="152">
        <v>34</v>
      </c>
      <c r="G39" s="152">
        <v>35</v>
      </c>
      <c r="H39" s="152">
        <v>28</v>
      </c>
      <c r="I39" s="196"/>
      <c r="J39" s="510">
        <v>27</v>
      </c>
      <c r="K39" s="510">
        <v>29</v>
      </c>
      <c r="L39" s="152">
        <v>29</v>
      </c>
      <c r="M39" s="196"/>
      <c r="N39" s="152">
        <v>29</v>
      </c>
      <c r="O39" s="152">
        <v>30</v>
      </c>
      <c r="P39" s="152">
        <v>30</v>
      </c>
      <c r="Q39" s="196"/>
      <c r="R39" s="196"/>
      <c r="S39" s="64"/>
    </row>
    <row r="40" spans="1:19">
      <c r="A40" s="327" t="s">
        <v>133</v>
      </c>
      <c r="B40" s="152">
        <v>50</v>
      </c>
      <c r="C40" s="152">
        <v>48</v>
      </c>
      <c r="D40" s="152">
        <v>48</v>
      </c>
      <c r="E40" s="196"/>
      <c r="F40" s="152">
        <v>53</v>
      </c>
      <c r="G40" s="152">
        <v>52</v>
      </c>
      <c r="H40" s="152">
        <v>52</v>
      </c>
      <c r="I40" s="196"/>
      <c r="J40" s="510">
        <v>51</v>
      </c>
      <c r="K40" s="510">
        <v>51</v>
      </c>
      <c r="L40" s="152">
        <v>51</v>
      </c>
      <c r="M40" s="196"/>
      <c r="N40" s="152">
        <v>51</v>
      </c>
      <c r="O40" s="152">
        <v>51</v>
      </c>
      <c r="P40" s="152">
        <v>51</v>
      </c>
      <c r="Q40" s="196"/>
      <c r="R40" s="196"/>
      <c r="S40" s="64"/>
    </row>
    <row r="41" spans="1:19">
      <c r="A41" s="327" t="s">
        <v>100</v>
      </c>
      <c r="B41" s="396">
        <f>SUM(B38:B40)</f>
        <v>215</v>
      </c>
      <c r="C41" s="396">
        <v>216</v>
      </c>
      <c r="D41" s="396">
        <v>214</v>
      </c>
      <c r="E41" s="197"/>
      <c r="F41" s="396">
        <v>221</v>
      </c>
      <c r="G41" s="396">
        <v>223</v>
      </c>
      <c r="H41" s="396">
        <v>217</v>
      </c>
      <c r="I41" s="197"/>
      <c r="J41" s="518">
        <v>216</v>
      </c>
      <c r="K41" s="518">
        <v>218</v>
      </c>
      <c r="L41" s="396">
        <v>218</v>
      </c>
      <c r="M41" s="197"/>
      <c r="N41" s="396">
        <v>219</v>
      </c>
      <c r="O41" s="396">
        <v>221</v>
      </c>
      <c r="P41" s="396">
        <v>222</v>
      </c>
      <c r="Q41" s="197"/>
      <c r="R41" s="197"/>
      <c r="S41" s="64"/>
    </row>
    <row r="42" spans="1:19" ht="13.8" thickBot="1">
      <c r="A42" s="328" t="s">
        <v>101</v>
      </c>
      <c r="B42" s="153">
        <v>3</v>
      </c>
      <c r="C42" s="153">
        <v>3</v>
      </c>
      <c r="D42" s="153">
        <v>1</v>
      </c>
      <c r="E42" s="335">
        <f t="shared" ref="E42:E43" si="8">SUM(B42:D42)</f>
        <v>7</v>
      </c>
      <c r="F42" s="153">
        <v>1</v>
      </c>
      <c r="G42" s="153">
        <v>1</v>
      </c>
      <c r="H42" s="153">
        <v>3</v>
      </c>
      <c r="I42" s="335">
        <f t="shared" ref="I42:I43" si="9">SUM(F42:H42)</f>
        <v>5</v>
      </c>
      <c r="J42" s="512">
        <v>3</v>
      </c>
      <c r="K42" s="512">
        <v>3</v>
      </c>
      <c r="L42" s="153">
        <v>0</v>
      </c>
      <c r="M42" s="335">
        <f t="shared" ref="M42:M43" si="10">SUM(J42:L42)</f>
        <v>6</v>
      </c>
      <c r="N42" s="153">
        <v>3</v>
      </c>
      <c r="O42" s="153">
        <v>0</v>
      </c>
      <c r="P42" s="153">
        <v>3</v>
      </c>
      <c r="Q42" s="335">
        <f>SUM(N42:P42)</f>
        <v>6</v>
      </c>
      <c r="R42" s="335">
        <f>I42+M42+Q42+E42</f>
        <v>24</v>
      </c>
      <c r="S42" s="64"/>
    </row>
    <row r="43" spans="1:19" ht="13.8" thickTop="1">
      <c r="A43" s="329" t="s">
        <v>134</v>
      </c>
      <c r="B43" s="154">
        <v>40</v>
      </c>
      <c r="C43" s="154">
        <v>45</v>
      </c>
      <c r="D43" s="154">
        <v>77</v>
      </c>
      <c r="E43" s="335">
        <f t="shared" si="8"/>
        <v>162</v>
      </c>
      <c r="F43" s="154">
        <v>35</v>
      </c>
      <c r="G43" s="154">
        <v>37</v>
      </c>
      <c r="H43" s="154">
        <v>48</v>
      </c>
      <c r="I43" s="335">
        <f t="shared" si="9"/>
        <v>120</v>
      </c>
      <c r="J43" s="513">
        <v>35</v>
      </c>
      <c r="K43" s="513">
        <v>61</v>
      </c>
      <c r="L43" s="154">
        <v>57</v>
      </c>
      <c r="M43" s="335">
        <f t="shared" si="10"/>
        <v>153</v>
      </c>
      <c r="N43" s="154">
        <v>46</v>
      </c>
      <c r="O43" s="154">
        <v>58</v>
      </c>
      <c r="P43" s="154">
        <v>26</v>
      </c>
      <c r="Q43" s="335">
        <f>SUM(N43:P43)</f>
        <v>130</v>
      </c>
      <c r="R43" s="335">
        <f>I43+M43+Q43+E43</f>
        <v>565</v>
      </c>
      <c r="S43" s="64"/>
    </row>
    <row r="44" spans="1:19">
      <c r="A44" s="327" t="s">
        <v>102</v>
      </c>
      <c r="B44" s="152">
        <v>12</v>
      </c>
      <c r="C44" s="152">
        <v>7</v>
      </c>
      <c r="D44" s="152">
        <v>15</v>
      </c>
      <c r="E44" s="198"/>
      <c r="F44" s="152">
        <v>9</v>
      </c>
      <c r="G44" s="152">
        <v>17</v>
      </c>
      <c r="H44" s="152">
        <v>10</v>
      </c>
      <c r="I44" s="198"/>
      <c r="J44" s="510">
        <v>15</v>
      </c>
      <c r="K44" s="510">
        <v>25</v>
      </c>
      <c r="L44" s="152">
        <v>16</v>
      </c>
      <c r="M44" s="198"/>
      <c r="N44" s="152">
        <v>11</v>
      </c>
      <c r="O44" s="152">
        <v>11</v>
      </c>
      <c r="P44" s="152">
        <v>8</v>
      </c>
      <c r="Q44" s="198"/>
      <c r="R44" s="198"/>
      <c r="S44" s="64"/>
    </row>
    <row r="45" spans="1:19">
      <c r="A45" s="327" t="s">
        <v>103</v>
      </c>
      <c r="B45" s="152">
        <v>25</v>
      </c>
      <c r="C45" s="152">
        <v>33</v>
      </c>
      <c r="D45" s="152">
        <v>45</v>
      </c>
      <c r="E45" s="335">
        <f t="shared" ref="E45:E49" si="11">SUM(B45:D45)</f>
        <v>103</v>
      </c>
      <c r="F45" s="152">
        <v>24</v>
      </c>
      <c r="G45" s="152">
        <v>24</v>
      </c>
      <c r="H45" s="152">
        <v>32</v>
      </c>
      <c r="I45" s="335">
        <f t="shared" ref="I45:I49" si="12">SUM(F45:H45)</f>
        <v>80</v>
      </c>
      <c r="J45" s="510">
        <v>16</v>
      </c>
      <c r="K45" s="510">
        <v>32</v>
      </c>
      <c r="L45" s="152">
        <v>32</v>
      </c>
      <c r="M45" s="335">
        <f t="shared" ref="M45:M49" si="13">SUM(J45:L45)</f>
        <v>80</v>
      </c>
      <c r="N45" s="152">
        <v>30</v>
      </c>
      <c r="O45" s="152">
        <v>27</v>
      </c>
      <c r="P45" s="152">
        <v>19</v>
      </c>
      <c r="Q45" s="335">
        <f>SUM(N45:P45)</f>
        <v>76</v>
      </c>
      <c r="R45" s="335">
        <f>I45+M45+Q45+E45</f>
        <v>339</v>
      </c>
      <c r="S45" s="64"/>
    </row>
    <row r="46" spans="1:19" ht="13.8" thickBot="1">
      <c r="A46" s="330" t="s">
        <v>104</v>
      </c>
      <c r="B46" s="155">
        <v>20</v>
      </c>
      <c r="C46" s="155">
        <v>16</v>
      </c>
      <c r="D46" s="155">
        <v>27</v>
      </c>
      <c r="E46" s="335">
        <f t="shared" si="11"/>
        <v>63</v>
      </c>
      <c r="F46" s="155">
        <v>15</v>
      </c>
      <c r="G46" s="155">
        <v>10</v>
      </c>
      <c r="H46" s="155">
        <v>18</v>
      </c>
      <c r="I46" s="335">
        <f t="shared" si="12"/>
        <v>43</v>
      </c>
      <c r="J46" s="514">
        <v>13</v>
      </c>
      <c r="K46" s="514">
        <v>20</v>
      </c>
      <c r="L46" s="155">
        <v>32</v>
      </c>
      <c r="M46" s="335">
        <f t="shared" si="13"/>
        <v>65</v>
      </c>
      <c r="N46" s="155">
        <v>17</v>
      </c>
      <c r="O46" s="155">
        <v>36</v>
      </c>
      <c r="P46" s="155">
        <v>10</v>
      </c>
      <c r="Q46" s="335">
        <f>SUM(N46:P46)</f>
        <v>63</v>
      </c>
      <c r="R46" s="335">
        <f>I46+M46+Q46+E46</f>
        <v>234</v>
      </c>
      <c r="S46" s="64"/>
    </row>
    <row r="47" spans="1:19" ht="13.8" thickTop="1">
      <c r="A47" s="326" t="s">
        <v>184</v>
      </c>
      <c r="B47" s="151">
        <v>1</v>
      </c>
      <c r="C47" s="151">
        <v>1</v>
      </c>
      <c r="D47" s="151">
        <v>0</v>
      </c>
      <c r="E47" s="335">
        <f t="shared" si="11"/>
        <v>2</v>
      </c>
      <c r="F47" s="151">
        <v>3</v>
      </c>
      <c r="G47" s="151">
        <v>2</v>
      </c>
      <c r="H47" s="151">
        <v>3</v>
      </c>
      <c r="I47" s="335">
        <f t="shared" si="12"/>
        <v>8</v>
      </c>
      <c r="J47" s="511">
        <v>0</v>
      </c>
      <c r="K47" s="511">
        <v>2</v>
      </c>
      <c r="L47" s="151">
        <v>0</v>
      </c>
      <c r="M47" s="335">
        <f t="shared" si="13"/>
        <v>2</v>
      </c>
      <c r="N47" s="151">
        <v>2</v>
      </c>
      <c r="O47" s="151">
        <v>2</v>
      </c>
      <c r="P47" s="151">
        <v>2</v>
      </c>
      <c r="Q47" s="335">
        <f>SUM(N47:P47)</f>
        <v>6</v>
      </c>
      <c r="R47" s="335">
        <f>I47+M47+Q47+E47</f>
        <v>18</v>
      </c>
      <c r="S47" s="64"/>
    </row>
    <row r="48" spans="1:19" ht="13.8" thickBot="1">
      <c r="A48" s="328" t="s">
        <v>105</v>
      </c>
      <c r="B48" s="153">
        <v>0</v>
      </c>
      <c r="C48" s="153">
        <v>0</v>
      </c>
      <c r="D48" s="153">
        <v>0</v>
      </c>
      <c r="E48" s="335">
        <f t="shared" si="11"/>
        <v>0</v>
      </c>
      <c r="F48" s="153">
        <v>0</v>
      </c>
      <c r="G48" s="153">
        <v>0</v>
      </c>
      <c r="H48" s="153">
        <v>0</v>
      </c>
      <c r="I48" s="335">
        <f t="shared" si="12"/>
        <v>0</v>
      </c>
      <c r="J48" s="512">
        <v>0</v>
      </c>
      <c r="K48" s="512">
        <v>0</v>
      </c>
      <c r="L48" s="153">
        <v>0</v>
      </c>
      <c r="M48" s="335">
        <f t="shared" si="13"/>
        <v>0</v>
      </c>
      <c r="N48" s="153">
        <v>0</v>
      </c>
      <c r="O48" s="153">
        <v>0</v>
      </c>
      <c r="P48" s="153">
        <v>0</v>
      </c>
      <c r="Q48" s="335">
        <f>SUM(N48:P48)</f>
        <v>0</v>
      </c>
      <c r="R48" s="335">
        <f>I48+M48+Q48+E48</f>
        <v>0</v>
      </c>
      <c r="S48" s="64"/>
    </row>
    <row r="49" spans="1:19" ht="14.4" thickTop="1" thickBot="1">
      <c r="A49" s="328" t="s">
        <v>106</v>
      </c>
      <c r="B49" s="153">
        <v>0</v>
      </c>
      <c r="C49" s="153">
        <v>0</v>
      </c>
      <c r="D49" s="153">
        <v>0</v>
      </c>
      <c r="E49" s="335">
        <f t="shared" si="11"/>
        <v>0</v>
      </c>
      <c r="F49" s="153">
        <v>0</v>
      </c>
      <c r="G49" s="153">
        <v>1</v>
      </c>
      <c r="H49" s="153">
        <v>2</v>
      </c>
      <c r="I49" s="335">
        <f t="shared" si="12"/>
        <v>3</v>
      </c>
      <c r="J49" s="512">
        <v>2</v>
      </c>
      <c r="K49" s="512">
        <v>3</v>
      </c>
      <c r="L49" s="153">
        <v>7</v>
      </c>
      <c r="M49" s="335">
        <f t="shared" si="13"/>
        <v>12</v>
      </c>
      <c r="N49" s="153">
        <v>2</v>
      </c>
      <c r="O49" s="153">
        <v>0</v>
      </c>
      <c r="P49" s="153">
        <v>9</v>
      </c>
      <c r="Q49" s="335">
        <f>SUM(N49:P49)</f>
        <v>11</v>
      </c>
      <c r="R49" s="335">
        <f>I49+M49+Q49+E49</f>
        <v>26</v>
      </c>
      <c r="S49" s="64"/>
    </row>
    <row r="50" spans="1:19" ht="13.8" thickTop="1">
      <c r="A50" s="331" t="s">
        <v>107</v>
      </c>
      <c r="B50" s="158">
        <v>26</v>
      </c>
      <c r="C50" s="158">
        <v>30</v>
      </c>
      <c r="D50" s="158">
        <v>33</v>
      </c>
      <c r="E50" s="150"/>
      <c r="F50" s="158">
        <v>26</v>
      </c>
      <c r="G50" s="158">
        <v>29</v>
      </c>
      <c r="H50" s="158">
        <v>18</v>
      </c>
      <c r="I50" s="150"/>
      <c r="J50" s="515">
        <v>20</v>
      </c>
      <c r="K50" s="515">
        <v>20</v>
      </c>
      <c r="L50" s="194">
        <v>26</v>
      </c>
      <c r="M50" s="150"/>
      <c r="N50" s="158">
        <v>20</v>
      </c>
      <c r="O50" s="158">
        <v>25</v>
      </c>
      <c r="P50" s="158">
        <v>26</v>
      </c>
      <c r="Q50" s="150"/>
      <c r="R50" s="150"/>
      <c r="S50" s="64"/>
    </row>
    <row r="51" spans="1:19">
      <c r="A51" s="332" t="s">
        <v>108</v>
      </c>
      <c r="B51" s="159">
        <v>6</v>
      </c>
      <c r="C51" s="159">
        <v>11</v>
      </c>
      <c r="D51" s="159">
        <v>10</v>
      </c>
      <c r="E51" s="335">
        <f t="shared" ref="E51:E53" si="14">SUM(B51:D51)</f>
        <v>27</v>
      </c>
      <c r="F51" s="159">
        <v>9</v>
      </c>
      <c r="G51" s="159">
        <v>12</v>
      </c>
      <c r="H51" s="159">
        <v>8</v>
      </c>
      <c r="I51" s="335">
        <f t="shared" ref="I51:I53" si="15">SUM(F51:H51)</f>
        <v>29</v>
      </c>
      <c r="J51" s="516">
        <v>4</v>
      </c>
      <c r="K51" s="516">
        <v>11</v>
      </c>
      <c r="L51" s="195">
        <v>13</v>
      </c>
      <c r="M51" s="335">
        <f t="shared" ref="M51:M53" si="16">SUM(J51:L51)</f>
        <v>28</v>
      </c>
      <c r="N51" s="159">
        <v>6</v>
      </c>
      <c r="O51" s="159">
        <v>14</v>
      </c>
      <c r="P51" s="159">
        <v>9</v>
      </c>
      <c r="Q51" s="335">
        <f>SUM(N51:P51)</f>
        <v>29</v>
      </c>
      <c r="R51" s="335">
        <f>I51+M51+Q51+E51</f>
        <v>113</v>
      </c>
      <c r="S51" s="64"/>
    </row>
    <row r="52" spans="1:19">
      <c r="A52" s="332" t="s">
        <v>109</v>
      </c>
      <c r="B52" s="159">
        <v>9</v>
      </c>
      <c r="C52" s="159">
        <v>3</v>
      </c>
      <c r="D52" s="159">
        <v>5</v>
      </c>
      <c r="E52" s="335">
        <f t="shared" si="14"/>
        <v>17</v>
      </c>
      <c r="F52" s="159">
        <v>3</v>
      </c>
      <c r="G52" s="159">
        <v>5</v>
      </c>
      <c r="H52" s="159">
        <v>6</v>
      </c>
      <c r="I52" s="335">
        <f t="shared" si="15"/>
        <v>14</v>
      </c>
      <c r="J52" s="516">
        <v>1</v>
      </c>
      <c r="K52" s="516">
        <v>5</v>
      </c>
      <c r="L52" s="195">
        <v>3</v>
      </c>
      <c r="M52" s="335">
        <f t="shared" si="16"/>
        <v>9</v>
      </c>
      <c r="N52" s="159">
        <v>7</v>
      </c>
      <c r="O52" s="379">
        <v>5</v>
      </c>
      <c r="P52" s="381">
        <v>7</v>
      </c>
      <c r="Q52" s="335">
        <f>SUM(N52:P52)</f>
        <v>19</v>
      </c>
      <c r="R52" s="335">
        <f>I52+M52+Q52+E52</f>
        <v>59</v>
      </c>
      <c r="S52" s="64"/>
    </row>
    <row r="53" spans="1:19">
      <c r="A53" s="332" t="s">
        <v>110</v>
      </c>
      <c r="B53" s="159">
        <v>7</v>
      </c>
      <c r="C53" s="159">
        <v>3</v>
      </c>
      <c r="D53" s="159">
        <v>4</v>
      </c>
      <c r="E53" s="335">
        <f t="shared" si="14"/>
        <v>14</v>
      </c>
      <c r="F53" s="159">
        <v>10</v>
      </c>
      <c r="G53" s="159">
        <v>6</v>
      </c>
      <c r="H53" s="159">
        <v>13</v>
      </c>
      <c r="I53" s="335">
        <f t="shared" si="15"/>
        <v>29</v>
      </c>
      <c r="J53" s="516">
        <v>1</v>
      </c>
      <c r="K53" s="516">
        <v>6</v>
      </c>
      <c r="L53" s="195">
        <v>4</v>
      </c>
      <c r="M53" s="335">
        <f t="shared" si="16"/>
        <v>11</v>
      </c>
      <c r="N53" s="159">
        <v>5</v>
      </c>
      <c r="O53" s="379">
        <v>5</v>
      </c>
      <c r="P53" s="381">
        <v>1</v>
      </c>
      <c r="Q53" s="335">
        <f>SUM(N53:P53)</f>
        <v>11</v>
      </c>
      <c r="R53" s="335">
        <f>I53+M53+Q53+E53</f>
        <v>65</v>
      </c>
      <c r="S53" s="64"/>
    </row>
    <row r="54" spans="1:19" ht="13.8" thickBot="1">
      <c r="A54" s="333" t="s">
        <v>111</v>
      </c>
      <c r="B54" s="345">
        <v>1</v>
      </c>
      <c r="C54" s="345">
        <v>1</v>
      </c>
      <c r="D54" s="345">
        <v>1</v>
      </c>
      <c r="E54" s="199"/>
      <c r="F54" s="345">
        <v>1</v>
      </c>
      <c r="G54" s="345">
        <v>1</v>
      </c>
      <c r="H54" s="345">
        <v>0</v>
      </c>
      <c r="I54" s="199"/>
      <c r="J54" s="517">
        <v>0</v>
      </c>
      <c r="K54" s="517">
        <v>0</v>
      </c>
      <c r="L54" s="347">
        <v>0</v>
      </c>
      <c r="M54" s="199"/>
      <c r="N54" s="345">
        <v>0</v>
      </c>
      <c r="O54" s="380">
        <v>0</v>
      </c>
      <c r="P54" s="382">
        <v>0</v>
      </c>
      <c r="Q54" s="199"/>
      <c r="R54" s="199"/>
      <c r="S54" s="64"/>
    </row>
    <row r="55" spans="1:19" ht="13.8" thickTop="1">
      <c r="A55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156"/>
      <c r="Q55" s="64"/>
      <c r="R55" s="64"/>
    </row>
  </sheetData>
  <mergeCells count="28"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zoomScale="85" zoomScaleNormal="85" workbookViewId="0">
      <selection activeCell="P3" sqref="P3:P4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0" t="s">
        <v>186</v>
      </c>
      <c r="B1" s="728" t="s">
        <v>212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  <c r="R1" s="737"/>
    </row>
    <row r="2" spans="1:33" ht="15.75" customHeight="1" thickBot="1">
      <c r="A2" s="222" t="s">
        <v>0</v>
      </c>
      <c r="B2" s="223" t="s">
        <v>1</v>
      </c>
      <c r="C2" s="223" t="s">
        <v>2</v>
      </c>
      <c r="D2" s="223" t="s">
        <v>3</v>
      </c>
      <c r="E2" s="223" t="s">
        <v>135</v>
      </c>
      <c r="F2" s="223" t="s">
        <v>4</v>
      </c>
      <c r="G2" s="223" t="s">
        <v>5</v>
      </c>
      <c r="H2" s="223" t="s">
        <v>6</v>
      </c>
      <c r="I2" s="223"/>
      <c r="J2" s="223" t="s">
        <v>7</v>
      </c>
      <c r="K2" s="223" t="s">
        <v>8</v>
      </c>
      <c r="L2" s="223" t="s">
        <v>9</v>
      </c>
      <c r="M2" s="223"/>
      <c r="N2" s="223" t="s">
        <v>10</v>
      </c>
      <c r="O2" s="223" t="s">
        <v>11</v>
      </c>
      <c r="P2" s="223" t="s">
        <v>12</v>
      </c>
      <c r="Q2" s="223"/>
      <c r="R2" s="223" t="s">
        <v>13</v>
      </c>
    </row>
    <row r="3" spans="1:33" s="214" customFormat="1">
      <c r="A3" s="267" t="s">
        <v>210</v>
      </c>
      <c r="B3" s="683">
        <v>238812.96280000004</v>
      </c>
      <c r="C3" s="683">
        <v>236054.89290000001</v>
      </c>
      <c r="D3" s="683">
        <v>310381.30080000003</v>
      </c>
      <c r="E3" s="684">
        <v>785249.15650000004</v>
      </c>
      <c r="F3" s="683">
        <v>269725.26189999998</v>
      </c>
      <c r="G3" s="683">
        <v>258627.64840000001</v>
      </c>
      <c r="H3" s="683">
        <v>273225.81559999997</v>
      </c>
      <c r="I3" s="683">
        <v>801578.72589999996</v>
      </c>
      <c r="J3" s="683">
        <v>274412.58620000002</v>
      </c>
      <c r="K3" s="683">
        <v>251738.51490000001</v>
      </c>
      <c r="L3" s="683">
        <v>250442.74310000002</v>
      </c>
      <c r="M3" s="683">
        <v>776593.84420000017</v>
      </c>
      <c r="N3" s="683">
        <v>258681.26309999998</v>
      </c>
      <c r="O3" s="683">
        <v>284693.27740000002</v>
      </c>
      <c r="P3" s="683">
        <v>346932.84580000001</v>
      </c>
      <c r="Q3" s="683">
        <v>890307.38630000001</v>
      </c>
      <c r="R3" s="444">
        <v>3253729.1129000001</v>
      </c>
      <c r="T3" s="531">
        <f>R8*1.1</f>
        <v>4060647.7780000004</v>
      </c>
    </row>
    <row r="4" spans="1:33" s="214" customFormat="1" ht="13.8" thickBot="1">
      <c r="A4" s="266" t="s">
        <v>211</v>
      </c>
      <c r="B4" s="685">
        <v>238812.96280000004</v>
      </c>
      <c r="C4" s="685">
        <v>474867.85570000007</v>
      </c>
      <c r="D4" s="685">
        <v>785249.15650000004</v>
      </c>
      <c r="E4" s="686"/>
      <c r="F4" s="685">
        <v>1054974.4184000001</v>
      </c>
      <c r="G4" s="685">
        <v>1313602.0668000001</v>
      </c>
      <c r="H4" s="685">
        <v>1586827.8824</v>
      </c>
      <c r="I4" s="686"/>
      <c r="J4" s="685">
        <v>1861240.4686</v>
      </c>
      <c r="K4" s="685">
        <v>2112978.9835000001</v>
      </c>
      <c r="L4" s="685">
        <v>2363421.7266000002</v>
      </c>
      <c r="M4" s="686"/>
      <c r="N4" s="685">
        <v>2622102.9897000003</v>
      </c>
      <c r="O4" s="685">
        <v>2906796.2671000003</v>
      </c>
      <c r="P4" s="685">
        <v>3253729.1129000001</v>
      </c>
      <c r="Q4" s="685">
        <v>27570.887099999934</v>
      </c>
      <c r="R4" s="532"/>
      <c r="S4" s="220" t="s">
        <v>139</v>
      </c>
      <c r="T4" s="215" t="s">
        <v>140</v>
      </c>
      <c r="U4" s="216" t="s">
        <v>132</v>
      </c>
    </row>
    <row r="5" spans="1:33" s="208" customFormat="1" ht="13.8" thickBot="1">
      <c r="A5" s="225" t="s">
        <v>213</v>
      </c>
      <c r="B5" s="687">
        <f>B9/B4-1</f>
        <v>3.6625174351716527E-2</v>
      </c>
      <c r="C5" s="687">
        <f>C9/C4-1</f>
        <v>0.13248477770149458</v>
      </c>
      <c r="D5" s="687">
        <f>D9/D4-1</f>
        <v>0.1652123663249041</v>
      </c>
      <c r="E5" s="687">
        <f>E8/E3-1</f>
        <v>0.1652123663249041</v>
      </c>
      <c r="F5" s="687">
        <f t="shared" ref="F5:P5" si="0">F9/F4-1</f>
        <v>0.17898416218127311</v>
      </c>
      <c r="G5" s="687">
        <f t="shared" si="0"/>
        <v>0.18190260227139277</v>
      </c>
      <c r="H5" s="687">
        <f t="shared" si="0"/>
        <v>0.17477063093985357</v>
      </c>
      <c r="I5" s="687">
        <f>I8/I3-1</f>
        <v>0.18413417688235079</v>
      </c>
      <c r="J5" s="687">
        <f t="shared" si="0"/>
        <v>0.17916758684644019</v>
      </c>
      <c r="K5" s="687">
        <f t="shared" si="0"/>
        <v>0.17658301947800692</v>
      </c>
      <c r="L5" s="687">
        <f t="shared" si="0"/>
        <v>0.18589582145038741</v>
      </c>
      <c r="M5" s="687">
        <f>M8/M3-1</f>
        <v>0.20862811920290514</v>
      </c>
      <c r="N5" s="687">
        <f t="shared" si="0"/>
        <v>0.1987443391991337</v>
      </c>
      <c r="O5" s="687">
        <f t="shared" si="0"/>
        <v>0.19479633512977812</v>
      </c>
      <c r="P5" s="687">
        <f t="shared" si="0"/>
        <v>0.13454373486851923</v>
      </c>
      <c r="Q5" s="687">
        <f>Q8/Q3-1</f>
        <v>-1.7761912619548292E-3</v>
      </c>
      <c r="R5" s="226">
        <f>R8/R3-1</f>
        <v>0.13454373486851923</v>
      </c>
      <c r="S5" s="221">
        <f>S6/R3</f>
        <v>1.0452621844013132</v>
      </c>
      <c r="T5" s="209">
        <f>T6/R3</f>
        <v>1.1002759835803295</v>
      </c>
      <c r="U5" s="209">
        <f>U6/R3</f>
        <v>1.155289782759346</v>
      </c>
    </row>
    <row r="6" spans="1:33" ht="15.75" customHeight="1">
      <c r="A6" s="231" t="s">
        <v>36</v>
      </c>
      <c r="B6" s="688">
        <f>'Target 2022'!B22</f>
        <v>259200</v>
      </c>
      <c r="C6" s="688">
        <f>'Target 2022'!C22</f>
        <v>288000</v>
      </c>
      <c r="D6" s="688">
        <f>'Target 2022'!D22</f>
        <v>316800</v>
      </c>
      <c r="E6" s="688">
        <f>SUM(B6:D6)</f>
        <v>864000</v>
      </c>
      <c r="F6" s="688">
        <f>'Target 2022'!E22</f>
        <v>301777.77777777775</v>
      </c>
      <c r="G6" s="688">
        <f>'Target 2022'!F22</f>
        <v>301777.77777777775</v>
      </c>
      <c r="H6" s="688">
        <f>'Target 2022'!G22</f>
        <v>301777.77777777775</v>
      </c>
      <c r="I6" s="688">
        <f>SUM(F6:H6)</f>
        <v>905333.33333333326</v>
      </c>
      <c r="J6" s="688">
        <f>'Target 2022'!H22</f>
        <v>301777.77777777775</v>
      </c>
      <c r="K6" s="688">
        <f>'Target 2022'!I22</f>
        <v>301777.77777777775</v>
      </c>
      <c r="L6" s="688">
        <f>'Target 2022'!J22</f>
        <v>301777.77777777775</v>
      </c>
      <c r="M6" s="688">
        <f>SUM(J6:L6)</f>
        <v>905333.33333333326</v>
      </c>
      <c r="N6" s="688">
        <f>'Target 2022'!K22</f>
        <v>301777.77777777775</v>
      </c>
      <c r="O6" s="688">
        <f>'Target 2022'!L22</f>
        <v>301777.77777777775</v>
      </c>
      <c r="P6" s="688">
        <f>'Target 2022'!M22</f>
        <v>301777.77777777775</v>
      </c>
      <c r="Q6" s="688">
        <f>SUM(N6:P6)</f>
        <v>905333.33333333326</v>
      </c>
      <c r="R6" s="232">
        <f>B6+C6+D6+F6+G6+H6+J6+K6+L6+N6+O6+P6</f>
        <v>3580000.0000000009</v>
      </c>
      <c r="S6" s="228">
        <f>DH!R6*0.95</f>
        <v>3401000.0000000009</v>
      </c>
      <c r="T6" s="212">
        <f>R6</f>
        <v>3580000.0000000009</v>
      </c>
      <c r="U6" s="210">
        <f>'Target 2022'!H26</f>
        <v>3759000.0000000009</v>
      </c>
    </row>
    <row r="7" spans="1:33" ht="15.75" customHeight="1">
      <c r="A7" s="233" t="s">
        <v>35</v>
      </c>
      <c r="B7" s="603">
        <f>B6</f>
        <v>259200</v>
      </c>
      <c r="C7" s="603">
        <f>C6+B7</f>
        <v>547200</v>
      </c>
      <c r="D7" s="603">
        <f>D6+C7</f>
        <v>864000</v>
      </c>
      <c r="E7" s="689"/>
      <c r="F7" s="603">
        <f>F6+D7</f>
        <v>1165777.7777777778</v>
      </c>
      <c r="G7" s="603">
        <f>G6+F7</f>
        <v>1467555.5555555555</v>
      </c>
      <c r="H7" s="603">
        <f>H6+G7</f>
        <v>1769333.3333333333</v>
      </c>
      <c r="I7" s="603"/>
      <c r="J7" s="603">
        <f>J6+H7</f>
        <v>2071111.111111111</v>
      </c>
      <c r="K7" s="603">
        <f>K6+J7</f>
        <v>2372888.888888889</v>
      </c>
      <c r="L7" s="603">
        <f>L6+K7</f>
        <v>2674666.666666667</v>
      </c>
      <c r="M7" s="603"/>
      <c r="N7" s="603">
        <f>N6+L7</f>
        <v>2976444.444444445</v>
      </c>
      <c r="O7" s="603">
        <f>O6+N7</f>
        <v>3278222.2222222229</v>
      </c>
      <c r="P7" s="603">
        <f>P6+O7</f>
        <v>3580000.0000000009</v>
      </c>
      <c r="Q7" s="603"/>
      <c r="R7" s="234"/>
      <c r="S7" s="229"/>
      <c r="T7" s="99"/>
      <c r="U7" s="163"/>
      <c r="V7" s="264">
        <f>T6/T19</f>
        <v>0.33457943925233652</v>
      </c>
    </row>
    <row r="8" spans="1:33" s="161" customFormat="1" ht="15.75" customHeight="1">
      <c r="A8" s="235" t="s">
        <v>37</v>
      </c>
      <c r="B8" s="203">
        <f>TOMEK!B6+RCKIK!B6+'1'!N6+BARTEK!B6+PIOTR!B6+KRZYSZTOF!B6+'0'!N6</f>
        <v>247559.52920000002</v>
      </c>
      <c r="C8" s="203">
        <f>TOMEK!C6+RCKIK!C6+'1'!O6+BARTEK!C6+PIOTR!C6+KRZYSZTOF!C6+'0'!O6</f>
        <v>290221.08880000003</v>
      </c>
      <c r="D8" s="203">
        <f>TOMEK!D6+RCKIK!D6+'1'!P6+BARTEK!D6+PIOTR!D6+KRZYSZTOF!D6+'0'!P6</f>
        <v>377201.40979999996</v>
      </c>
      <c r="E8" s="690">
        <f>SUM(B8:D8)</f>
        <v>914982.02780000004</v>
      </c>
      <c r="F8" s="203">
        <f>TOMEK!F6+RCKIK!F6+'1'!J6+BARTEK!F6+PIOTR!F6+KRZYSZTOF!F6++'0'!J6</f>
        <v>328816.103</v>
      </c>
      <c r="G8" s="203">
        <f>TOMEK!G6+RCKIK!G6+'1'!K6+BARTEK!G6+PIOTR!G6+KRZYSZTOF!G6+'0'!K6</f>
        <v>308751.57029999996</v>
      </c>
      <c r="H8" s="203">
        <f>TOMEK!H6+RCKIK!H6+'1'!L6+BARTEK!H6+PIOTR!H6+KRZYSZTOF!H6+'0'!L6</f>
        <v>311609.09149999998</v>
      </c>
      <c r="I8" s="203">
        <f>SUM(F8:H8)</f>
        <v>949176.76479999989</v>
      </c>
      <c r="J8" s="203">
        <f>TOMEK!J6+RCKIK!J6+'0'!F6+BARTEK!J6+PIOTR!J6+KRZYSZTOF!J6+'1'!F6</f>
        <v>330555.63929999998</v>
      </c>
      <c r="K8" s="203">
        <f>TOMEK!K6+RCKIK!K6+'0'!G6+BARTEK!K6+PIOTR!K6+KRZYSZTOF!K6+'1'!G6+SUMIF(VIII!A:A,$A$1,VIII!I:I)</f>
        <v>291380.76060000004</v>
      </c>
      <c r="L8" s="203">
        <f>TOMEK!L6+RCKIK!L6+'0'!H6+BARTEK!L6+PIOTR!L6+KRZYSZTOF!L6+'1'!H6</f>
        <v>316676.7574</v>
      </c>
      <c r="M8" s="203">
        <f>SUM(J8:L8)</f>
        <v>938613.15730000008</v>
      </c>
      <c r="N8" s="203">
        <f>TOMEK!N6+RCKIK!N6+'0'!B6+BARTEK!N6+PIOTR!N6+KRZYSZTOF!N6+'1'!B6</f>
        <v>340459.16580000002</v>
      </c>
      <c r="O8" s="203">
        <f>TOMEK!O6+RCKIK!O6+'0'!C6+BARTEK!O6+PIOTR!O6+KRZYSZTOF!O6+'1'!C6</f>
        <v>329798.41119999997</v>
      </c>
      <c r="P8" s="203">
        <f>TOMEK!P6+RCKIK!P6+'0'!D6+BARTEK!P6+PIOTR!P6+KRZYSZTOF!P6+'1'!D6</f>
        <v>218468.45309999998</v>
      </c>
      <c r="Q8" s="203">
        <f>SUM(N8:P8)</f>
        <v>888726.03010000009</v>
      </c>
      <c r="R8" s="236">
        <f>B8+C8+D8+F8+G8+H8+J8+K8+L8+N8+O8+P8</f>
        <v>3691497.98</v>
      </c>
      <c r="S8" s="453">
        <f>R8-R3</f>
        <v>437768.86709999992</v>
      </c>
      <c r="T8" s="297">
        <v>2</v>
      </c>
      <c r="U8" s="298">
        <v>3</v>
      </c>
      <c r="V8" s="299"/>
      <c r="W8" s="299">
        <v>4</v>
      </c>
      <c r="X8" s="299">
        <v>5</v>
      </c>
      <c r="Y8" s="299">
        <v>6</v>
      </c>
      <c r="Z8" s="299"/>
      <c r="AA8" s="299">
        <v>7</v>
      </c>
      <c r="AB8" s="299">
        <v>8</v>
      </c>
      <c r="AC8" s="299">
        <v>9</v>
      </c>
      <c r="AD8" s="299"/>
      <c r="AE8" s="299">
        <v>10</v>
      </c>
      <c r="AF8" s="299">
        <v>11</v>
      </c>
      <c r="AG8" s="299">
        <v>12</v>
      </c>
    </row>
    <row r="9" spans="1:33" ht="15.75" customHeight="1" thickBot="1">
      <c r="A9" s="233" t="s">
        <v>38</v>
      </c>
      <c r="B9" s="599">
        <f>B8</f>
        <v>247559.52920000002</v>
      </c>
      <c r="C9" s="599">
        <f>C8+B9</f>
        <v>537780.61800000002</v>
      </c>
      <c r="D9" s="599">
        <f>D8+C9</f>
        <v>914982.02780000004</v>
      </c>
      <c r="E9" s="687"/>
      <c r="F9" s="599">
        <f>F8+D9</f>
        <v>1243798.1307999999</v>
      </c>
      <c r="G9" s="599">
        <f>G8+F9</f>
        <v>1552549.7010999999</v>
      </c>
      <c r="H9" s="599">
        <f>H8+G9</f>
        <v>1864158.7925999998</v>
      </c>
      <c r="I9" s="691">
        <f>H9-H4</f>
        <v>277330.91019999981</v>
      </c>
      <c r="J9" s="599">
        <f>J8+H9</f>
        <v>2194714.4318999997</v>
      </c>
      <c r="K9" s="599">
        <f>K8+J9</f>
        <v>2486095.1924999999</v>
      </c>
      <c r="L9" s="599">
        <f>L8+K9</f>
        <v>2802771.9498999999</v>
      </c>
      <c r="M9" s="687">
        <f>M8/M3-1</f>
        <v>0.20862811920290514</v>
      </c>
      <c r="N9" s="599">
        <f>N8+L9</f>
        <v>3143231.1157</v>
      </c>
      <c r="O9" s="599">
        <f>O8+N9</f>
        <v>3473029.5268999999</v>
      </c>
      <c r="P9" s="599">
        <f>P8+O9</f>
        <v>3691497.98</v>
      </c>
      <c r="Q9" s="599">
        <f>P7*0.95-P9</f>
        <v>-290497.97999999905</v>
      </c>
      <c r="R9" s="237"/>
      <c r="S9" s="449"/>
      <c r="T9" s="99"/>
      <c r="U9" s="99"/>
    </row>
    <row r="10" spans="1:33" ht="15.75" customHeight="1">
      <c r="A10" s="238" t="s">
        <v>39</v>
      </c>
      <c r="B10" s="90">
        <f>B8/B6</f>
        <v>0.95509077623456795</v>
      </c>
      <c r="C10" s="90">
        <f>C8/C6</f>
        <v>1.0077121138888889</v>
      </c>
      <c r="D10" s="90">
        <f>D8/D6</f>
        <v>1.1906610157828281</v>
      </c>
      <c r="E10" s="77">
        <f>D7*0.95</f>
        <v>820800</v>
      </c>
      <c r="F10" s="90">
        <f>F8/F6</f>
        <v>1.0895968067010311</v>
      </c>
      <c r="G10" s="90">
        <f>G8/G6</f>
        <v>1.023109032658321</v>
      </c>
      <c r="H10" s="90">
        <f>H8/H6</f>
        <v>1.0325779909793815</v>
      </c>
      <c r="I10" s="692"/>
      <c r="J10" s="90">
        <f>J8/J6</f>
        <v>1.09536110224595</v>
      </c>
      <c r="K10" s="90">
        <f>K8/K6</f>
        <v>0.96554743939617105</v>
      </c>
      <c r="L10" s="90">
        <f>L8/L6</f>
        <v>1.0493706983063329</v>
      </c>
      <c r="M10" s="692">
        <f>L4-L9</f>
        <v>-439350.22329999972</v>
      </c>
      <c r="N10" s="90">
        <f>N8/N6</f>
        <v>1.1281783844624449</v>
      </c>
      <c r="O10" s="90">
        <f>O8/O6</f>
        <v>1.0928518780559646</v>
      </c>
      <c r="P10" s="90">
        <f>P8/P6</f>
        <v>0.72393817301178209</v>
      </c>
      <c r="Q10" s="692">
        <f>P4-P9</f>
        <v>-437768.86709999992</v>
      </c>
      <c r="R10" s="237"/>
      <c r="S10" s="455"/>
      <c r="T10" s="454"/>
      <c r="U10" s="454"/>
      <c r="X10">
        <v>2019</v>
      </c>
      <c r="Y10" s="164">
        <f>R3/12</f>
        <v>271144.09274166665</v>
      </c>
    </row>
    <row r="11" spans="1:33" ht="15.75" customHeight="1">
      <c r="A11" s="233" t="s">
        <v>48</v>
      </c>
      <c r="B11" s="598">
        <f>B9-B7</f>
        <v>-11640.470799999981</v>
      </c>
      <c r="C11" s="598">
        <f>C9-C7</f>
        <v>-9419.3819999999832</v>
      </c>
      <c r="D11" s="598">
        <f>D9-D7</f>
        <v>50982.02780000004</v>
      </c>
      <c r="E11" s="598">
        <f>E10-D9</f>
        <v>-94182.02780000004</v>
      </c>
      <c r="F11" s="598">
        <f>F9-F7</f>
        <v>78020.353022222174</v>
      </c>
      <c r="G11" s="598">
        <f>G9-G7</f>
        <v>84994.145544444444</v>
      </c>
      <c r="H11" s="598">
        <f>H9-H7</f>
        <v>94825.459266666556</v>
      </c>
      <c r="I11" s="598">
        <f>H7*0.9-H9</f>
        <v>-271758.79259999981</v>
      </c>
      <c r="J11" s="598">
        <f>J9-J7</f>
        <v>123603.32078888873</v>
      </c>
      <c r="K11" s="598">
        <f>K9-K7</f>
        <v>113206.3036111109</v>
      </c>
      <c r="L11" s="598">
        <f>L9-L7</f>
        <v>128105.28323333291</v>
      </c>
      <c r="M11" s="598">
        <f>J7*0.9-J9</f>
        <v>-330714.43189999973</v>
      </c>
      <c r="N11" s="598">
        <f>N9-N7</f>
        <v>166786.671255555</v>
      </c>
      <c r="O11" s="598">
        <f>O9-O7</f>
        <v>194807.30467777699</v>
      </c>
      <c r="P11" s="598">
        <f>P9-P7</f>
        <v>111497.97999999905</v>
      </c>
      <c r="Q11" s="598"/>
      <c r="R11" s="239"/>
      <c r="S11" s="455"/>
      <c r="T11" s="454"/>
      <c r="U11" s="454"/>
      <c r="X11">
        <v>2020</v>
      </c>
      <c r="Y11" s="193">
        <f>D9/3</f>
        <v>304994.00926666666</v>
      </c>
      <c r="Z11" s="368">
        <f>1-Y10/Y11</f>
        <v>0.1109855128183973</v>
      </c>
    </row>
    <row r="12" spans="1:33" s="162" customFormat="1" ht="15.75" customHeight="1" thickBot="1">
      <c r="A12" s="240" t="s">
        <v>40</v>
      </c>
      <c r="B12" s="241">
        <f>B9/B7</f>
        <v>0.95509077623456795</v>
      </c>
      <c r="C12" s="241">
        <f>C9/C7</f>
        <v>0.98278621710526315</v>
      </c>
      <c r="D12" s="241">
        <f>D9/D7</f>
        <v>1.0590069766203705</v>
      </c>
      <c r="E12" s="241"/>
      <c r="F12" s="241">
        <f>F9/F7</f>
        <v>1.0669255792222645</v>
      </c>
      <c r="G12" s="241">
        <f>G9/G7</f>
        <v>1.0579154535054514</v>
      </c>
      <c r="H12" s="241">
        <f>H9/H7</f>
        <v>1.0535938918236623</v>
      </c>
      <c r="I12" s="241"/>
      <c r="J12" s="241">
        <f>J9/J7</f>
        <v>1.0596797149731758</v>
      </c>
      <c r="K12" s="241">
        <f>K9/K7</f>
        <v>1.0477082193528751</v>
      </c>
      <c r="L12" s="241">
        <f>L9/L7</f>
        <v>1.0478957938310067</v>
      </c>
      <c r="M12" s="410"/>
      <c r="N12" s="241">
        <f>N9/N7</f>
        <v>1.0560355398424666</v>
      </c>
      <c r="O12" s="241">
        <f>O9/O7</f>
        <v>1.0594246794366864</v>
      </c>
      <c r="P12" s="241">
        <f>P9/P7</f>
        <v>1.0311446871508376</v>
      </c>
      <c r="Q12" s="241"/>
      <c r="R12" s="242"/>
      <c r="S12" s="230"/>
      <c r="T12" s="211"/>
      <c r="U12" s="211"/>
      <c r="X12" s="162" t="s">
        <v>81</v>
      </c>
      <c r="Y12" s="409">
        <f>F8</f>
        <v>328816.103</v>
      </c>
      <c r="Z12" s="368">
        <f>1-Y11/Y12</f>
        <v>7.2448075127675038E-2</v>
      </c>
    </row>
    <row r="13" spans="1:33" s="219" customFormat="1" ht="15.75" customHeight="1">
      <c r="A13" s="256" t="s">
        <v>141</v>
      </c>
      <c r="B13" s="693" t="e">
        <f>TOMEK!B4+RCKIK!B4+'1'!N4+BARTEK!B4+PIOTR!B4+KRZYSZTOF!B4</f>
        <v>#REF!</v>
      </c>
      <c r="C13" s="693" t="e">
        <f>TOMEK!C4+RCKIK!C4+'1'!O4+BARTEK!C4+PIOTR!C4+KRZYSZTOF!C4+B13</f>
        <v>#REF!</v>
      </c>
      <c r="D13" s="693" t="e">
        <f>TOMEK!D4+RCKIK!D4+'1'!P4+BARTEK!D4+PIOTR!D4+KRZYSZTOF!D4+C13</f>
        <v>#REF!</v>
      </c>
      <c r="E13" s="694"/>
      <c r="F13" s="693" t="e">
        <f>TOMEK!F4+RCKIK!F4+'1'!J4+BARTEK!F4+PIOTR!F4+KRZYSZTOF!F4</f>
        <v>#REF!</v>
      </c>
      <c r="G13" s="693" t="e">
        <f>TOMEK!G4+RCKIK!G4+'1'!K4+BARTEK!G4+PIOTR!G4+KRZYSZTOF!G4+F13</f>
        <v>#REF!</v>
      </c>
      <c r="H13" s="693" t="e">
        <f>TOMEK!H4+RCKIK!H4+'1'!L4+BARTEK!H4+PIOTR!H4+KRZYSZTOF!H4+G13</f>
        <v>#REF!</v>
      </c>
      <c r="I13" s="694"/>
      <c r="J13" s="693" t="e">
        <f>TOMEK!J4+RCKIK!J4+'0'!B4+BARTEK!J4+PIOTR!J4+KRZYSZTOF!J4</f>
        <v>#REF!</v>
      </c>
      <c r="K13" s="693" t="e">
        <f>TOMEK!K4+RCKIK!K4+'0'!C4+BARTEK!K4+PIOTR!K4+KRZYSZTOF!K4+J13</f>
        <v>#REF!</v>
      </c>
      <c r="L13" s="693" t="e">
        <f>TOMEK!L4+RCKIK!L4+'0'!D4+BARTEK!L4+PIOTR!L4+KRZYSZTOF!L4+K13</f>
        <v>#REF!</v>
      </c>
      <c r="M13" s="694"/>
      <c r="N13" s="693" t="e">
        <f>TOMEK!N4+RCKIK!N4+'0'!N4+BARTEK!N4+PIOTR!N4+KRZYSZTOF!N4</f>
        <v>#REF!</v>
      </c>
      <c r="O13" s="693" t="e">
        <f>TOMEK!O4+RCKIK!O4+'0'!O4+BARTEK!O4+PIOTR!O4+KRZYSZTOF!O4+N13</f>
        <v>#REF!</v>
      </c>
      <c r="P13" s="693" t="e">
        <f>TOMEK!P4+RCKIK!P4+'0'!P4+BARTEK!P4+PIOTR!P4+KRZYSZTOF!P4+O13</f>
        <v>#REF!</v>
      </c>
      <c r="Q13" s="694" t="e">
        <f>SUM(N13:P13)</f>
        <v>#REF!</v>
      </c>
      <c r="R13" s="257"/>
      <c r="S13" s="243"/>
      <c r="T13" s="218"/>
      <c r="U13" s="218"/>
      <c r="Z13" s="368">
        <f>1-Y10/Y12</f>
        <v>0.17539290117532158</v>
      </c>
    </row>
    <row r="14" spans="1:33" s="219" customFormat="1" ht="15.75" customHeight="1" thickBot="1">
      <c r="A14" s="258" t="s">
        <v>142</v>
      </c>
      <c r="B14" s="259" t="e">
        <f>B8/B13</f>
        <v>#REF!</v>
      </c>
      <c r="C14" s="259" t="e">
        <f>(B8+C8)/C13</f>
        <v>#REF!</v>
      </c>
      <c r="D14" s="259" t="e">
        <f>(D8+C8+B8)/D13</f>
        <v>#REF!</v>
      </c>
      <c r="E14" s="259"/>
      <c r="F14" s="259" t="e">
        <f>F8/F13</f>
        <v>#REF!</v>
      </c>
      <c r="G14" s="259" t="e">
        <f>(F8+G8)/G13</f>
        <v>#REF!</v>
      </c>
      <c r="H14" s="259" t="e">
        <f>(H8+G8+F8)/H13</f>
        <v>#REF!</v>
      </c>
      <c r="I14" s="695"/>
      <c r="J14" s="259" t="e">
        <f>J8/J13</f>
        <v>#REF!</v>
      </c>
      <c r="K14" s="259" t="e">
        <f>(J8+K8)/K13</f>
        <v>#REF!</v>
      </c>
      <c r="L14" s="259" t="e">
        <f>(L8+K8+J8)/L13</f>
        <v>#REF!</v>
      </c>
      <c r="M14" s="695"/>
      <c r="N14" s="259" t="e">
        <f>N8/N13</f>
        <v>#REF!</v>
      </c>
      <c r="O14" s="259" t="e">
        <f>(N8+O8)/O13</f>
        <v>#REF!</v>
      </c>
      <c r="P14" s="259" t="e">
        <f>(P8+O8+N8)/P13</f>
        <v>#REF!</v>
      </c>
      <c r="Q14" s="696"/>
      <c r="R14" s="260"/>
      <c r="S14" s="243"/>
      <c r="T14" s="218"/>
      <c r="U14" s="218"/>
    </row>
    <row r="15" spans="1:33" ht="12" customHeight="1" thickBot="1">
      <c r="A15" s="244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245"/>
      <c r="S15" s="454"/>
      <c r="T15" s="454"/>
      <c r="U15" s="454"/>
    </row>
    <row r="16" spans="1:33" s="214" customFormat="1">
      <c r="A16" s="267" t="s">
        <v>214</v>
      </c>
      <c r="B16" s="568">
        <v>703250.41410000005</v>
      </c>
      <c r="C16" s="568">
        <v>769350.78130000003</v>
      </c>
      <c r="D16" s="568">
        <v>898341.46880000003</v>
      </c>
      <c r="E16" s="568">
        <v>2370942.6642</v>
      </c>
      <c r="F16" s="568">
        <v>763220.79689999996</v>
      </c>
      <c r="G16" s="568">
        <v>815724.28910000005</v>
      </c>
      <c r="H16" s="568">
        <v>849156.39069999999</v>
      </c>
      <c r="I16" s="568">
        <v>2428101.4767</v>
      </c>
      <c r="J16" s="568">
        <v>818261.7969999999</v>
      </c>
      <c r="K16" s="568">
        <v>847995.24219999998</v>
      </c>
      <c r="L16" s="568">
        <v>724519.67969999998</v>
      </c>
      <c r="M16" s="568">
        <v>2390776.7188999997</v>
      </c>
      <c r="N16" s="568">
        <v>805920.16410000005</v>
      </c>
      <c r="O16" s="568">
        <v>790809.80469999998</v>
      </c>
      <c r="P16" s="568">
        <v>999030.63290000008</v>
      </c>
      <c r="Q16" s="568">
        <v>2595760.6017</v>
      </c>
      <c r="R16" s="445">
        <f>Q16+M16+I16+E16</f>
        <v>9785581.4615000002</v>
      </c>
      <c r="S16" s="220"/>
      <c r="T16" s="215"/>
      <c r="U16" s="215"/>
    </row>
    <row r="17" spans="1:23" s="214" customFormat="1">
      <c r="A17" s="266" t="s">
        <v>215</v>
      </c>
      <c r="B17" s="569">
        <v>703250.41410000005</v>
      </c>
      <c r="C17" s="569">
        <v>1472601.1954000001</v>
      </c>
      <c r="D17" s="569">
        <v>2370942.6642</v>
      </c>
      <c r="E17" s="569"/>
      <c r="F17" s="569">
        <v>3134163.4611</v>
      </c>
      <c r="G17" s="569">
        <v>3949887.7502000001</v>
      </c>
      <c r="H17" s="569">
        <v>4799044.1409</v>
      </c>
      <c r="I17" s="569"/>
      <c r="J17" s="569">
        <v>5617305.9379000003</v>
      </c>
      <c r="K17" s="569">
        <v>6465301.1801000005</v>
      </c>
      <c r="L17" s="569">
        <v>7189820.8598000007</v>
      </c>
      <c r="M17" s="569"/>
      <c r="N17" s="569">
        <v>7995741.0239000004</v>
      </c>
      <c r="O17" s="569">
        <v>8786550.8286000006</v>
      </c>
      <c r="P17" s="569">
        <v>9785581.4615000002</v>
      </c>
      <c r="Q17" s="569"/>
      <c r="R17" s="346"/>
      <c r="S17" s="220" t="s">
        <v>139</v>
      </c>
      <c r="T17" s="215" t="s">
        <v>140</v>
      </c>
      <c r="U17" s="216" t="s">
        <v>132</v>
      </c>
    </row>
    <row r="18" spans="1:23" s="207" customFormat="1" ht="13.8" thickBot="1">
      <c r="A18" s="225" t="s">
        <v>216</v>
      </c>
      <c r="B18" s="687">
        <f>B22/B17-1</f>
        <v>2.0242245172678475E-2</v>
      </c>
      <c r="C18" s="687">
        <f>C22/C17-1</f>
        <v>8.9224545253957954E-2</v>
      </c>
      <c r="D18" s="687">
        <f>D22/D17-1</f>
        <v>0.13189459547960647</v>
      </c>
      <c r="E18" s="687"/>
      <c r="F18" s="687">
        <f>F22/F17-1</f>
        <v>0.19569725555562845</v>
      </c>
      <c r="G18" s="687">
        <f>G22/G17-1</f>
        <v>0.2245052467010229</v>
      </c>
      <c r="H18" s="687">
        <f>H22/H17-1</f>
        <v>0.21397980057074806</v>
      </c>
      <c r="I18" s="687"/>
      <c r="J18" s="687">
        <f>J22/J17-1</f>
        <v>0.20693286081451312</v>
      </c>
      <c r="K18" s="687">
        <f>K22/K17-1</f>
        <v>0.18126666426727422</v>
      </c>
      <c r="L18" s="687">
        <f>L22/L17-1</f>
        <v>0.18470250701586166</v>
      </c>
      <c r="M18" s="687"/>
      <c r="N18" s="687">
        <f>N22/N17-1</f>
        <v>0.19048102301556558</v>
      </c>
      <c r="O18" s="687">
        <f>O22/O17-1</f>
        <v>0.19674986571214625</v>
      </c>
      <c r="P18" s="687">
        <f>P22/P17-1</f>
        <v>0.14916580310969563</v>
      </c>
      <c r="Q18" s="687">
        <f>Q21/Q16</f>
        <v>1.0507351023487106</v>
      </c>
      <c r="R18" s="227">
        <f>R21/R16</f>
        <v>1.1491658031096956</v>
      </c>
      <c r="S18" s="221">
        <f>S19/R16</f>
        <v>1.0436273041290038</v>
      </c>
      <c r="T18" s="209">
        <f>T19/R16</f>
        <v>1.0934454985733502</v>
      </c>
      <c r="U18" s="209">
        <f>U19/R16</f>
        <v>1.1534828098267935</v>
      </c>
    </row>
    <row r="19" spans="1:23" ht="15.75" customHeight="1">
      <c r="A19" s="224" t="s">
        <v>41</v>
      </c>
      <c r="B19" s="697">
        <f>'Target 2022'!B23</f>
        <v>780000</v>
      </c>
      <c r="C19" s="697">
        <f>'Target 2022'!C23</f>
        <v>866666.66666666663</v>
      </c>
      <c r="D19" s="697">
        <f>'Target 2022'!D23</f>
        <v>953333.33333333337</v>
      </c>
      <c r="E19" s="697"/>
      <c r="F19" s="697">
        <f>'Target 2022'!E23</f>
        <v>905555.55555555562</v>
      </c>
      <c r="G19" s="697">
        <f>'Target 2022'!F23</f>
        <v>905555.55555555562</v>
      </c>
      <c r="H19" s="697">
        <f>'Target 2022'!G23</f>
        <v>905555.55555555562</v>
      </c>
      <c r="I19" s="697"/>
      <c r="J19" s="697">
        <f>'Target 2022'!H23</f>
        <v>905555.55555555562</v>
      </c>
      <c r="K19" s="697">
        <f>'Target 2022'!I23</f>
        <v>905555.55555555562</v>
      </c>
      <c r="L19" s="697">
        <f>'Target 2022'!J23</f>
        <v>905555.55555555562</v>
      </c>
      <c r="M19" s="697"/>
      <c r="N19" s="697">
        <f>'Target 2022'!K23</f>
        <v>905555.55555555562</v>
      </c>
      <c r="O19" s="697">
        <f>'Target 2022'!L23</f>
        <v>905555.55555555562</v>
      </c>
      <c r="P19" s="697">
        <f>'Target 2022'!M23</f>
        <v>905555.55555555562</v>
      </c>
      <c r="Q19" s="698"/>
      <c r="R19" s="292">
        <f>B19+C19+D19+F19+G19+H19+J19+K19+L19+N19+O19+P19</f>
        <v>10750000.000000002</v>
      </c>
      <c r="S19" s="212">
        <f>DH!R19*0.95</f>
        <v>10212500.000000002</v>
      </c>
      <c r="T19" s="212">
        <v>10700000</v>
      </c>
      <c r="U19" s="210">
        <f>'Target 2022'!H27</f>
        <v>11287500.000000002</v>
      </c>
    </row>
    <row r="20" spans="1:23" ht="15.75" customHeight="1">
      <c r="A20" s="7" t="s">
        <v>42</v>
      </c>
      <c r="B20" s="323">
        <f>B19</f>
        <v>780000</v>
      </c>
      <c r="C20" s="323">
        <f>C19+B20</f>
        <v>1646666.6666666665</v>
      </c>
      <c r="D20" s="323">
        <f>D19+C20</f>
        <v>2600000</v>
      </c>
      <c r="E20" s="323"/>
      <c r="F20" s="323">
        <f>F19+D20</f>
        <v>3505555.5555555555</v>
      </c>
      <c r="G20" s="323">
        <f>G19+F20</f>
        <v>4411111.111111111</v>
      </c>
      <c r="H20" s="323">
        <f>H19+G20</f>
        <v>5316666.666666667</v>
      </c>
      <c r="I20" s="323">
        <f>H17-H22</f>
        <v>-1026898.5081999991</v>
      </c>
      <c r="J20" s="323">
        <f>J19+H20</f>
        <v>6222222.2222222229</v>
      </c>
      <c r="K20" s="323">
        <f>K19+J20</f>
        <v>7127777.7777777789</v>
      </c>
      <c r="L20" s="323">
        <f>L19+K20</f>
        <v>8033333.3333333349</v>
      </c>
      <c r="M20" s="323"/>
      <c r="N20" s="323">
        <f>N19+L20</f>
        <v>8938888.8888888899</v>
      </c>
      <c r="O20" s="323">
        <f>O19+N20</f>
        <v>9844444.4444444459</v>
      </c>
      <c r="P20" s="323">
        <f>P19+O20</f>
        <v>10750000.000000002</v>
      </c>
      <c r="Q20" s="323"/>
      <c r="R20" s="294"/>
    </row>
    <row r="21" spans="1:23" ht="15.75" customHeight="1">
      <c r="A21" s="29" t="s">
        <v>43</v>
      </c>
      <c r="B21" s="203">
        <f>TOMEK!B11+RCKIK!B11+'1'!N13+BARTEK!B11+PIOTR!B11+KRZYSZTOF!B11+'0'!N13</f>
        <v>717485.78139999998</v>
      </c>
      <c r="C21" s="203">
        <f>TOMEK!C11+RCKIK!C11+'1'!O13+BARTEK!C11+PIOTR!C11+KRZYSZTOF!C11+'0'!O13</f>
        <v>886507.58599999989</v>
      </c>
      <c r="D21" s="203">
        <f>TOMEK!D11+RCKIK!D11+'1'!P13+BARTEK!D11+PIOTR!D11+KRZYSZTOF!D11+'0'!P13</f>
        <v>1079663.8203999999</v>
      </c>
      <c r="E21" s="203">
        <f>SUM(B21:D21)</f>
        <v>2683657.1877999995</v>
      </c>
      <c r="F21" s="203">
        <f>TOMEK!F11+RCKIK!F11+'1'!J13+BARTEK!F11+PIOTR!F11+KRZYSZTOF!F11+'0'!J13</f>
        <v>1063853.4611</v>
      </c>
      <c r="G21" s="203">
        <f>TOMEK!G11+RCKIK!G11+'1'!K13+BARTEK!G11+PIOTR!G11+KRZYSZTOF!G11+'0'!K13</f>
        <v>1089147.6251000001</v>
      </c>
      <c r="H21" s="203">
        <f>TOMEK!H11+RCKIK!H11+'1'!L13+BARTEK!H11+PIOTR!H11+KRZYSZTOF!H11+'0'!L13</f>
        <v>989284.37509999983</v>
      </c>
      <c r="I21" s="203">
        <f>SUM(F21:H21)</f>
        <v>3142285.4612999996</v>
      </c>
      <c r="J21" s="203">
        <f>TOMEK!J11+RCKIK!J11+'0'!F13+BARTEK!J11+PIOTR!J11+KRZYSZTOF!J11+'1'!F13</f>
        <v>953768.47659999994</v>
      </c>
      <c r="K21" s="203">
        <f>TOMEK!K11+RCKIK!K11+'0'!G13+BARTEK!K11+PIOTR!K11+KRZYSZTOF!K11+'1'!G13+SUMIF(VIII!A:A,$A$1,VIII!G:G)</f>
        <v>857533.63280000002</v>
      </c>
      <c r="L21" s="203">
        <f>TOMEK!L11+RCKIK!L11+'0'!H13+BARTEK!L11+PIOTR!L11+KRZYSZTOF!L11+'1'!H13</f>
        <v>880554.03909999994</v>
      </c>
      <c r="M21" s="203">
        <f>SUM(J21:L21)</f>
        <v>2691856.1485000001</v>
      </c>
      <c r="N21" s="203">
        <f>TOMEK!N11+RCKIK!N11+'0'!B13+BARTEK!N11+PIOTR!N11+KRZYSZTOF!N11+'1'!B13</f>
        <v>1000979.1562999999</v>
      </c>
      <c r="O21" s="203">
        <f>TOMEK!O11+RCKIK!O11+'0'!C13+BARTEK!O11+PIOTR!O11+KRZYSZTOF!O11+'1'!C13</f>
        <v>996525.57030000002</v>
      </c>
      <c r="P21" s="203">
        <f>TOMEK!P11+RCKIK!P11+'0'!D13+BARTEK!P11+PIOTR!P11+KRZYSZTOF!P11+'1'!D13</f>
        <v>729952.05489999999</v>
      </c>
      <c r="Q21" s="203">
        <f>SUM(N21:P21)</f>
        <v>2727456.7815</v>
      </c>
      <c r="R21" s="217">
        <f>B21+C21+D21+F21+G21+H21+J21+K21+L21+N21+O21+P21</f>
        <v>11245255.579099998</v>
      </c>
    </row>
    <row r="22" spans="1:23" ht="15.75" customHeight="1">
      <c r="A22" s="7" t="s">
        <v>44</v>
      </c>
      <c r="B22" s="599">
        <f>B21</f>
        <v>717485.78139999998</v>
      </c>
      <c r="C22" s="599">
        <f>C21+B22</f>
        <v>1603993.3673999999</v>
      </c>
      <c r="D22" s="599">
        <f>D21+C22</f>
        <v>2683657.1877999995</v>
      </c>
      <c r="E22" s="599"/>
      <c r="F22" s="599">
        <f>F21+D22</f>
        <v>3747510.6488999994</v>
      </c>
      <c r="G22" s="599">
        <f>G21+F22</f>
        <v>4836658.2739999993</v>
      </c>
      <c r="H22" s="599">
        <f>H21+G22</f>
        <v>5825942.6490999991</v>
      </c>
      <c r="I22" s="599"/>
      <c r="J22" s="599">
        <f>J21+H22</f>
        <v>6779711.1256999988</v>
      </c>
      <c r="K22" s="599">
        <f>K21+J22</f>
        <v>7637244.7584999986</v>
      </c>
      <c r="L22" s="599">
        <f>L21+K22</f>
        <v>8517798.7975999992</v>
      </c>
      <c r="M22" s="599"/>
      <c r="N22" s="599">
        <f>N21+L22</f>
        <v>9518777.9538999982</v>
      </c>
      <c r="O22" s="599">
        <f>O21+N22</f>
        <v>10515303.524199998</v>
      </c>
      <c r="P22" s="599">
        <f>P21+O22</f>
        <v>11245255.579099998</v>
      </c>
      <c r="Q22" s="599"/>
      <c r="R22" s="8"/>
    </row>
    <row r="23" spans="1:23" ht="15.75" customHeight="1">
      <c r="A23" s="24" t="s">
        <v>45</v>
      </c>
      <c r="B23" s="90">
        <f t="shared" ref="B23:D24" si="1">B21/B19</f>
        <v>0.91985356589743583</v>
      </c>
      <c r="C23" s="90">
        <f t="shared" si="1"/>
        <v>1.0228933684615384</v>
      </c>
      <c r="D23" s="90">
        <f t="shared" si="1"/>
        <v>1.1325144969230767</v>
      </c>
      <c r="E23" s="90"/>
      <c r="F23" s="90">
        <f t="shared" ref="F23:H24" si="2">F21/F19</f>
        <v>1.1748075030552145</v>
      </c>
      <c r="G23" s="90">
        <f t="shared" si="2"/>
        <v>1.2027397086993865</v>
      </c>
      <c r="H23" s="90">
        <f t="shared" si="2"/>
        <v>1.0924612731165642</v>
      </c>
      <c r="I23" s="692">
        <f>G17-G22</f>
        <v>-886770.52379999915</v>
      </c>
      <c r="J23" s="90">
        <f t="shared" ref="J23:L24" si="3">J21/J19</f>
        <v>1.0532412625030674</v>
      </c>
      <c r="K23" s="90">
        <f t="shared" si="3"/>
        <v>0.94696965585276072</v>
      </c>
      <c r="L23" s="90">
        <f t="shared" si="3"/>
        <v>0.97239096342331277</v>
      </c>
      <c r="M23" s="90"/>
      <c r="N23" s="90">
        <f t="shared" ref="N23:P24" si="4">N21/N19</f>
        <v>1.1053757554233128</v>
      </c>
      <c r="O23" s="90">
        <f t="shared" si="4"/>
        <v>1.100457684993865</v>
      </c>
      <c r="P23" s="90">
        <f t="shared" si="4"/>
        <v>0.80608202381595084</v>
      </c>
      <c r="Q23" s="692">
        <f>P17-P22</f>
        <v>-1459674.1175999977</v>
      </c>
      <c r="R23" s="8"/>
      <c r="T23" s="193"/>
    </row>
    <row r="24" spans="1:23" s="162" customFormat="1" ht="15.75" customHeight="1">
      <c r="A24" s="54" t="s">
        <v>46</v>
      </c>
      <c r="B24" s="376">
        <f t="shared" si="1"/>
        <v>0.91985356589743583</v>
      </c>
      <c r="C24" s="376">
        <f t="shared" si="1"/>
        <v>0.9740850409311741</v>
      </c>
      <c r="D24" s="376">
        <f t="shared" si="1"/>
        <v>1.0321758414615383</v>
      </c>
      <c r="E24" s="376"/>
      <c r="F24" s="376">
        <f t="shared" si="2"/>
        <v>1.0690204703676702</v>
      </c>
      <c r="G24" s="376">
        <f>G22/G20</f>
        <v>1.0964716490176321</v>
      </c>
      <c r="H24" s="376">
        <f t="shared" si="2"/>
        <v>1.0957885860376173</v>
      </c>
      <c r="I24" s="376"/>
      <c r="J24" s="376">
        <f t="shared" si="3"/>
        <v>1.0895964309160711</v>
      </c>
      <c r="K24" s="376">
        <f t="shared" si="3"/>
        <v>1.0714762716523769</v>
      </c>
      <c r="L24" s="376">
        <f t="shared" si="3"/>
        <v>1.06030690426556</v>
      </c>
      <c r="M24" s="376"/>
      <c r="N24" s="376">
        <f t="shared" si="4"/>
        <v>1.0648726113747666</v>
      </c>
      <c r="O24" s="376">
        <f t="shared" si="4"/>
        <v>1.0681459561828439</v>
      </c>
      <c r="P24" s="376">
        <f t="shared" si="4"/>
        <v>1.0460702864279066</v>
      </c>
      <c r="Q24" s="376"/>
      <c r="R24" s="213"/>
    </row>
    <row r="25" spans="1:23" ht="15.75" customHeight="1">
      <c r="A25" s="246" t="s">
        <v>47</v>
      </c>
      <c r="B25" s="699">
        <f>B22-B20</f>
        <v>-62514.218600000022</v>
      </c>
      <c r="C25" s="699">
        <f>C22-C20</f>
        <v>-42673.29926666664</v>
      </c>
      <c r="D25" s="699">
        <f>D22-D20</f>
        <v>83657.18779999949</v>
      </c>
      <c r="E25" s="699"/>
      <c r="F25" s="699">
        <f>F22-F20</f>
        <v>241955.09334444394</v>
      </c>
      <c r="G25" s="699">
        <f>G22-G20</f>
        <v>425547.16288888827</v>
      </c>
      <c r="H25" s="699">
        <f>H22-H20</f>
        <v>509275.98243333213</v>
      </c>
      <c r="I25" s="699"/>
      <c r="J25" s="699">
        <f>J22-J20</f>
        <v>557488.90347777586</v>
      </c>
      <c r="K25" s="699">
        <f>K22-K20</f>
        <v>509466.98072221968</v>
      </c>
      <c r="L25" s="699">
        <f>L22-L20</f>
        <v>484465.46426666435</v>
      </c>
      <c r="M25" s="699"/>
      <c r="N25" s="699">
        <f>N22-N20</f>
        <v>579889.06501110829</v>
      </c>
      <c r="O25" s="699">
        <f>O22-O20</f>
        <v>670859.07975555211</v>
      </c>
      <c r="P25" s="699">
        <f>P22-P20</f>
        <v>495255.57909999602</v>
      </c>
      <c r="Q25" s="699"/>
      <c r="R25" s="247"/>
    </row>
    <row r="26" spans="1:23" ht="15.75" customHeight="1" thickBot="1">
      <c r="A26" s="244"/>
      <c r="B26" s="354"/>
      <c r="C26" s="354"/>
      <c r="D26" s="354"/>
      <c r="E26" s="354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248"/>
      <c r="V26" s="264"/>
      <c r="W26" s="264"/>
    </row>
    <row r="27" spans="1:23" ht="15.75" customHeight="1">
      <c r="A27" s="252" t="s">
        <v>32</v>
      </c>
      <c r="B27" s="589">
        <f t="shared" ref="B27:D28" si="5">B8/B21</f>
        <v>0.34503754027981914</v>
      </c>
      <c r="C27" s="589">
        <f t="shared" si="5"/>
        <v>0.32737575333055308</v>
      </c>
      <c r="D27" s="589">
        <f t="shared" si="5"/>
        <v>0.3493693154043564</v>
      </c>
      <c r="E27" s="589"/>
      <c r="F27" s="589">
        <f t="shared" ref="F27:H28" si="6">F8/F21</f>
        <v>0.30908025872286182</v>
      </c>
      <c r="G27" s="589">
        <f t="shared" si="6"/>
        <v>0.2834800014108757</v>
      </c>
      <c r="H27" s="589">
        <f t="shared" si="6"/>
        <v>0.31498434559678717</v>
      </c>
      <c r="I27" s="589"/>
      <c r="J27" s="589">
        <f t="shared" ref="J27:L28" si="7">J8/J21</f>
        <v>0.34657849091256077</v>
      </c>
      <c r="K27" s="589">
        <f t="shared" si="7"/>
        <v>0.33978930907769761</v>
      </c>
      <c r="L27" s="589">
        <f t="shared" si="7"/>
        <v>0.35963352995765052</v>
      </c>
      <c r="M27" s="589"/>
      <c r="N27" s="589">
        <f>N8/N21</f>
        <v>0.34012612915784052</v>
      </c>
      <c r="O27" s="589">
        <f>O8/O21</f>
        <v>0.33094826769042712</v>
      </c>
      <c r="P27" s="589">
        <f>P8/P21</f>
        <v>0.29929151049506825</v>
      </c>
      <c r="Q27" s="589"/>
      <c r="R27" s="253"/>
    </row>
    <row r="28" spans="1:23" ht="15.75" customHeight="1" thickBot="1">
      <c r="A28" s="254" t="s">
        <v>33</v>
      </c>
      <c r="B28" s="593">
        <f t="shared" si="5"/>
        <v>0.34503754027981914</v>
      </c>
      <c r="C28" s="593">
        <f t="shared" si="5"/>
        <v>0.33527608588040353</v>
      </c>
      <c r="D28" s="593">
        <f t="shared" si="5"/>
        <v>0.34094594196290817</v>
      </c>
      <c r="E28" s="593"/>
      <c r="F28" s="593">
        <f t="shared" si="6"/>
        <v>0.33189982559891856</v>
      </c>
      <c r="G28" s="593">
        <f t="shared" si="6"/>
        <v>0.32099636012035532</v>
      </c>
      <c r="H28" s="593">
        <f t="shared" si="6"/>
        <v>0.31997547948536331</v>
      </c>
      <c r="I28" s="593"/>
      <c r="J28" s="593">
        <f t="shared" si="7"/>
        <v>0.3237179860924233</v>
      </c>
      <c r="K28" s="593">
        <f t="shared" si="7"/>
        <v>0.32552252430211287</v>
      </c>
      <c r="L28" s="593">
        <f t="shared" si="7"/>
        <v>0.32904885598961525</v>
      </c>
      <c r="M28" s="593"/>
      <c r="N28" s="593">
        <f>N9/N22</f>
        <v>0.33021372395940457</v>
      </c>
      <c r="O28" s="593">
        <f>O9/O22</f>
        <v>0.33028333598808096</v>
      </c>
      <c r="P28" s="593" t="s">
        <v>165</v>
      </c>
      <c r="Q28" s="593"/>
      <c r="R28" s="255"/>
    </row>
    <row r="29" spans="1:23" s="66" customFormat="1" ht="15.75" customHeight="1">
      <c r="A29" s="249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1"/>
      <c r="T29" s="65"/>
    </row>
    <row r="30" spans="1:23" ht="33.6" customHeight="1">
      <c r="A30" s="51"/>
      <c r="B30" s="738" t="s">
        <v>26</v>
      </c>
      <c r="C30" s="739"/>
      <c r="D30" s="739"/>
      <c r="E30" s="739"/>
      <c r="F30" s="739"/>
      <c r="G30" s="739"/>
      <c r="H30" s="739"/>
      <c r="I30" s="739"/>
      <c r="J30" s="739"/>
      <c r="K30" s="739"/>
      <c r="L30" s="739"/>
      <c r="M30" s="739"/>
      <c r="N30" s="739"/>
      <c r="O30" s="739"/>
      <c r="P30" s="739"/>
      <c r="Q30" s="739"/>
      <c r="R30" s="740"/>
    </row>
    <row r="31" spans="1:23" s="70" customFormat="1" ht="10.199999999999999">
      <c r="A31" s="68" t="s">
        <v>75</v>
      </c>
      <c r="B31" s="72">
        <v>8400</v>
      </c>
      <c r="C31" s="72">
        <v>8400</v>
      </c>
      <c r="D31" s="72">
        <v>8400</v>
      </c>
      <c r="E31" s="72"/>
      <c r="F31" s="72">
        <v>9300</v>
      </c>
      <c r="G31" s="72">
        <v>9300</v>
      </c>
      <c r="H31" s="72">
        <v>9300</v>
      </c>
      <c r="I31" s="72"/>
      <c r="J31" s="72">
        <v>0</v>
      </c>
      <c r="K31" s="72">
        <v>0</v>
      </c>
      <c r="L31" s="72">
        <v>0</v>
      </c>
      <c r="M31" s="72"/>
      <c r="N31" s="72">
        <v>0</v>
      </c>
      <c r="O31" s="72">
        <v>0</v>
      </c>
      <c r="P31" s="72">
        <v>0</v>
      </c>
      <c r="Q31" s="72"/>
      <c r="R31" s="69"/>
    </row>
    <row r="32" spans="1:23">
      <c r="A32" s="18" t="s">
        <v>50</v>
      </c>
      <c r="B32" s="73">
        <f>B7</f>
        <v>259200</v>
      </c>
      <c r="C32" s="73">
        <f>C7</f>
        <v>547200</v>
      </c>
      <c r="D32" s="73">
        <f>D7</f>
        <v>864000</v>
      </c>
      <c r="E32" s="73"/>
      <c r="F32" s="73">
        <f>F7</f>
        <v>1165777.7777777778</v>
      </c>
      <c r="G32" s="73">
        <f>G7</f>
        <v>1467555.5555555555</v>
      </c>
      <c r="H32" s="73">
        <f>H7</f>
        <v>1769333.3333333333</v>
      </c>
      <c r="I32" s="73"/>
      <c r="J32" s="73">
        <f>J7</f>
        <v>2071111.111111111</v>
      </c>
      <c r="K32" s="73">
        <f>K7</f>
        <v>2372888.888888889</v>
      </c>
      <c r="L32" s="73">
        <f>L7</f>
        <v>2674666.666666667</v>
      </c>
      <c r="M32" s="73"/>
      <c r="N32" s="73">
        <f>N7</f>
        <v>2976444.444444445</v>
      </c>
      <c r="O32" s="73">
        <f>O7</f>
        <v>3278222.2222222229</v>
      </c>
      <c r="P32" s="40">
        <f>P7</f>
        <v>3580000.0000000009</v>
      </c>
      <c r="Q32" s="40"/>
      <c r="R32" s="31"/>
    </row>
    <row r="33" spans="1:20">
      <c r="A33" s="38" t="s">
        <v>51</v>
      </c>
      <c r="B33" s="50">
        <f>B9</f>
        <v>247559.52920000002</v>
      </c>
      <c r="C33" s="50">
        <f>C9</f>
        <v>537780.61800000002</v>
      </c>
      <c r="D33" s="50">
        <f>D9</f>
        <v>914982.02780000004</v>
      </c>
      <c r="E33" s="50"/>
      <c r="F33" s="50">
        <f>F9</f>
        <v>1243798.1307999999</v>
      </c>
      <c r="G33" s="50">
        <f>G9</f>
        <v>1552549.7010999999</v>
      </c>
      <c r="H33" s="50">
        <f>H9</f>
        <v>1864158.7925999998</v>
      </c>
      <c r="I33" s="50"/>
      <c r="J33" s="50">
        <f>J9</f>
        <v>2194714.4318999997</v>
      </c>
      <c r="K33" s="50">
        <f>K9</f>
        <v>2486095.1924999999</v>
      </c>
      <c r="L33" s="50">
        <f>L9</f>
        <v>2802771.9498999999</v>
      </c>
      <c r="M33" s="50"/>
      <c r="N33" s="50">
        <f>N9</f>
        <v>3143231.1157</v>
      </c>
      <c r="O33" s="50">
        <f>O9</f>
        <v>3473029.5268999999</v>
      </c>
      <c r="P33" s="39">
        <f>P9</f>
        <v>3691497.98</v>
      </c>
      <c r="Q33" s="39"/>
      <c r="R33" s="31"/>
    </row>
    <row r="34" spans="1:20">
      <c r="A34" s="38" t="s">
        <v>52</v>
      </c>
      <c r="B34" s="87">
        <f>B33/B32</f>
        <v>0.95509077623456795</v>
      </c>
      <c r="C34" s="87">
        <f>C33/C32</f>
        <v>0.98278621710526315</v>
      </c>
      <c r="D34" s="87">
        <f>D33/D32</f>
        <v>1.0590069766203705</v>
      </c>
      <c r="E34" s="87"/>
      <c r="F34" s="87">
        <f t="shared" ref="F34:P34" si="8">F33/F32</f>
        <v>1.0669255792222645</v>
      </c>
      <c r="G34" s="87">
        <f t="shared" si="8"/>
        <v>1.0579154535054514</v>
      </c>
      <c r="H34" s="87">
        <f t="shared" si="8"/>
        <v>1.0535938918236623</v>
      </c>
      <c r="I34" s="87"/>
      <c r="J34" s="87">
        <f t="shared" si="8"/>
        <v>1.0596797149731758</v>
      </c>
      <c r="K34" s="87">
        <f t="shared" si="8"/>
        <v>1.0477082193528751</v>
      </c>
      <c r="L34" s="87">
        <f t="shared" si="8"/>
        <v>1.0478957938310067</v>
      </c>
      <c r="M34" s="87"/>
      <c r="N34" s="87">
        <f t="shared" si="8"/>
        <v>1.0560355398424666</v>
      </c>
      <c r="O34" s="87">
        <f t="shared" si="8"/>
        <v>1.0594246794366864</v>
      </c>
      <c r="P34" s="47">
        <f t="shared" si="8"/>
        <v>1.0311446871508376</v>
      </c>
      <c r="Q34" s="47"/>
      <c r="R34" s="31"/>
    </row>
    <row r="35" spans="1:20">
      <c r="A35" s="37" t="s">
        <v>60</v>
      </c>
      <c r="B35" s="53">
        <f>B31*0.3</f>
        <v>2520</v>
      </c>
      <c r="C35" s="53">
        <f>C31*0.3</f>
        <v>2520</v>
      </c>
      <c r="D35" s="53">
        <f>D31*0.3</f>
        <v>2520</v>
      </c>
      <c r="E35" s="53"/>
      <c r="F35" s="53">
        <f>F31*0.3</f>
        <v>2790</v>
      </c>
      <c r="G35" s="53">
        <f>G31*0.3</f>
        <v>2790</v>
      </c>
      <c r="H35" s="53">
        <f>H31*0.3</f>
        <v>2790</v>
      </c>
      <c r="I35" s="53"/>
      <c r="J35" s="53">
        <f>J31*0.3</f>
        <v>0</v>
      </c>
      <c r="K35" s="53">
        <f>K31*0.3</f>
        <v>0</v>
      </c>
      <c r="L35" s="53">
        <f>L31*0.3</f>
        <v>0</v>
      </c>
      <c r="M35" s="53"/>
      <c r="N35" s="53">
        <f>N31*0.3</f>
        <v>0</v>
      </c>
      <c r="O35" s="53">
        <f>O31*0.3</f>
        <v>0</v>
      </c>
      <c r="P35" s="53">
        <f>P31*0.3</f>
        <v>0</v>
      </c>
      <c r="Q35" s="53"/>
      <c r="R35" s="34"/>
    </row>
    <row r="36" spans="1:20">
      <c r="A36" s="38" t="s">
        <v>53</v>
      </c>
      <c r="B36" s="76">
        <f>IF(B34&lt;80%,0,IF(B34&lt;90%,0.5,IF(B34&lt;95%,0.75,1)))</f>
        <v>1</v>
      </c>
      <c r="C36" s="76">
        <f t="shared" ref="C36:P36" si="9">IF(C34&lt;80%,0,IF(C34&lt;90%,0.5,IF(C34&lt;95%,0.75,1)))</f>
        <v>1</v>
      </c>
      <c r="D36" s="76">
        <f t="shared" si="9"/>
        <v>1</v>
      </c>
      <c r="E36" s="76"/>
      <c r="F36" s="76">
        <f t="shared" si="9"/>
        <v>1</v>
      </c>
      <c r="G36" s="76">
        <f t="shared" si="9"/>
        <v>1</v>
      </c>
      <c r="H36" s="76">
        <f>IF(H34&lt;80%,0,IF(H34&lt;90%,0.5,IF(H34&lt;95%,0.75,1)))</f>
        <v>1</v>
      </c>
      <c r="I36" s="76"/>
      <c r="J36" s="76">
        <f t="shared" si="9"/>
        <v>1</v>
      </c>
      <c r="K36" s="76">
        <f t="shared" si="9"/>
        <v>1</v>
      </c>
      <c r="L36" s="76">
        <f t="shared" si="9"/>
        <v>1</v>
      </c>
      <c r="M36" s="76"/>
      <c r="N36" s="76">
        <f t="shared" si="9"/>
        <v>1</v>
      </c>
      <c r="O36" s="76">
        <f t="shared" si="9"/>
        <v>1</v>
      </c>
      <c r="P36" s="76">
        <f t="shared" si="9"/>
        <v>1</v>
      </c>
      <c r="Q36" s="76"/>
      <c r="R36" s="31"/>
    </row>
    <row r="37" spans="1:20">
      <c r="A37" s="54" t="s">
        <v>54</v>
      </c>
      <c r="B37" s="74">
        <f>B36*B35</f>
        <v>2520</v>
      </c>
      <c r="C37" s="74">
        <f t="shared" ref="C37:P37" si="10">C36*C35</f>
        <v>2520</v>
      </c>
      <c r="D37" s="74">
        <f t="shared" si="10"/>
        <v>2520</v>
      </c>
      <c r="E37" s="74"/>
      <c r="F37" s="74">
        <f t="shared" si="10"/>
        <v>2790</v>
      </c>
      <c r="G37" s="74">
        <f t="shared" si="10"/>
        <v>2790</v>
      </c>
      <c r="H37" s="74">
        <f t="shared" si="10"/>
        <v>2790</v>
      </c>
      <c r="I37" s="74"/>
      <c r="J37" s="74">
        <f t="shared" si="10"/>
        <v>0</v>
      </c>
      <c r="K37" s="74">
        <f t="shared" si="10"/>
        <v>0</v>
      </c>
      <c r="L37" s="74">
        <f t="shared" si="10"/>
        <v>0</v>
      </c>
      <c r="M37" s="74"/>
      <c r="N37" s="74">
        <f t="shared" si="10"/>
        <v>0</v>
      </c>
      <c r="O37" s="74">
        <f t="shared" si="10"/>
        <v>0</v>
      </c>
      <c r="P37" s="74">
        <f t="shared" si="10"/>
        <v>0</v>
      </c>
      <c r="Q37" s="74"/>
      <c r="R37" s="55"/>
    </row>
    <row r="38" spans="1:20" s="41" customFormat="1" ht="15" customHeight="1">
      <c r="A38" s="51" t="s">
        <v>67</v>
      </c>
      <c r="B38" s="78">
        <f>B37</f>
        <v>2520</v>
      </c>
      <c r="C38" s="78">
        <f>C37</f>
        <v>2520</v>
      </c>
      <c r="D38" s="78">
        <f>D37</f>
        <v>2520</v>
      </c>
      <c r="E38" s="78"/>
      <c r="F38" s="78">
        <f>F37</f>
        <v>2790</v>
      </c>
      <c r="G38" s="78">
        <f>G37</f>
        <v>2790</v>
      </c>
      <c r="H38" s="78">
        <f>H37</f>
        <v>2790</v>
      </c>
      <c r="I38" s="78"/>
      <c r="J38" s="78">
        <f>J37</f>
        <v>0</v>
      </c>
      <c r="K38" s="78">
        <f>K37</f>
        <v>0</v>
      </c>
      <c r="L38" s="78">
        <f>L37</f>
        <v>0</v>
      </c>
      <c r="M38" s="78"/>
      <c r="N38" s="78">
        <f>N37</f>
        <v>0</v>
      </c>
      <c r="O38" s="78">
        <f>O37</f>
        <v>0</v>
      </c>
      <c r="P38" s="78">
        <f>P37</f>
        <v>0</v>
      </c>
      <c r="Q38" s="78"/>
      <c r="R38" s="52"/>
      <c r="T38" s="15"/>
    </row>
    <row r="39" spans="1:20" ht="13.8" thickBo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60"/>
    </row>
    <row r="40" spans="1:20" ht="13.8" thickBot="1">
      <c r="A40" s="325" t="s">
        <v>94</v>
      </c>
      <c r="B40" s="336" t="s">
        <v>1</v>
      </c>
      <c r="C40" s="336" t="s">
        <v>2</v>
      </c>
      <c r="D40" s="336" t="s">
        <v>3</v>
      </c>
      <c r="E40" s="334" t="s">
        <v>96</v>
      </c>
      <c r="F40" s="336" t="s">
        <v>4</v>
      </c>
      <c r="G40" s="336" t="s">
        <v>5</v>
      </c>
      <c r="H40" s="336" t="s">
        <v>6</v>
      </c>
      <c r="I40" s="334" t="s">
        <v>96</v>
      </c>
      <c r="J40" s="336" t="s">
        <v>7</v>
      </c>
      <c r="K40" s="336" t="s">
        <v>8</v>
      </c>
      <c r="L40" s="336" t="s">
        <v>9</v>
      </c>
      <c r="M40" s="334" t="s">
        <v>96</v>
      </c>
      <c r="N40" s="336" t="s">
        <v>95</v>
      </c>
      <c r="O40" s="336" t="s">
        <v>11</v>
      </c>
      <c r="P40" s="337" t="s">
        <v>12</v>
      </c>
      <c r="Q40" s="334" t="s">
        <v>96</v>
      </c>
      <c r="R40" s="334" t="s">
        <v>96</v>
      </c>
    </row>
    <row r="41" spans="1:20" ht="13.8" thickTop="1">
      <c r="A41" s="326" t="s">
        <v>97</v>
      </c>
      <c r="B41" s="157">
        <f>TOMEK!B37+RCKIK!B17+'1'!N48+BARTEK!B37+PIOTR!B37+KRZYSZTOF!B37+'0'!N48</f>
        <v>2</v>
      </c>
      <c r="C41" s="157">
        <f>TOMEK!C37+RCKIK!C17+'1'!O48+BARTEK!C37+PIOTR!C37+KRZYSZTOF!C37+'0'!O48</f>
        <v>5</v>
      </c>
      <c r="D41" s="157">
        <f>TOMEK!D37+RCKIK!D17+'1'!P48+BARTEK!D37+PIOTR!D37+KRZYSZTOF!D37+'0'!P48</f>
        <v>5</v>
      </c>
      <c r="E41" s="335">
        <f>SUM(B41:D41)</f>
        <v>12</v>
      </c>
      <c r="F41" s="157">
        <f>TOMEK!F37+RCKIK!F17+'1'!J48+BARTEK!F37+PIOTR!F37+KRZYSZTOF!F37+'0'!J48</f>
        <v>5</v>
      </c>
      <c r="G41" s="157">
        <f>TOMEK!G37+RCKIK!G17+'1'!K48+BARTEK!G37+PIOTR!G37+KRZYSZTOF!G37+'0'!K48</f>
        <v>3</v>
      </c>
      <c r="H41" s="157">
        <f>TOMEK!H37+RCKIK!H17+'1'!L48+BARTEK!H37+PIOTR!H37+KRZYSZTOF!H37+'0'!L48</f>
        <v>2</v>
      </c>
      <c r="I41" s="335">
        <f>SUM(F41:H41)</f>
        <v>10</v>
      </c>
      <c r="J41" s="157">
        <f>TOMEK!J37+RCKIK!J17+'1'!F48+BARTEK!J37+PIOTR!J37+KRZYSZTOF!J37+'0'!F48</f>
        <v>3</v>
      </c>
      <c r="K41" s="157">
        <f>TOMEK!K37+RCKIK!K17+'1'!G48+BARTEK!K37+PIOTR!K37+KRZYSZTOF!K37+'0'!G48</f>
        <v>4</v>
      </c>
      <c r="L41" s="157">
        <f>TOMEK!L37+RCKIK!L17+'1'!H48+BARTEK!L37+PIOTR!L37+KRZYSZTOF!L37+'0'!H48</f>
        <v>3</v>
      </c>
      <c r="M41" s="335">
        <f>SUM(J41:L41)</f>
        <v>10</v>
      </c>
      <c r="N41" s="157">
        <f>TOMEK!N37+RCKIK!N17+'1'!B48+BARTEK!N37+PIOTR!N37+KRZYSZTOF!N37+'0'!B48</f>
        <v>6</v>
      </c>
      <c r="O41" s="157">
        <f>TOMEK!O37+RCKIK!O17+'1'!C48+BARTEK!O37+PIOTR!O37+KRZYSZTOF!O37+'0'!C48</f>
        <v>3</v>
      </c>
      <c r="P41" s="157">
        <f>TOMEK!P37+RCKIK!P17+'1'!D48+BARTEK!P37+PIOTR!P37+KRZYSZTOF!P37+'0'!D48</f>
        <v>3</v>
      </c>
      <c r="Q41" s="335">
        <f>SUM(N41:P41)</f>
        <v>12</v>
      </c>
      <c r="R41" s="335">
        <f>Q41+M41+I41+E41</f>
        <v>44</v>
      </c>
      <c r="T41" s="64"/>
    </row>
    <row r="42" spans="1:20">
      <c r="A42" s="327" t="s">
        <v>98</v>
      </c>
      <c r="B42" s="157">
        <f>TOMEK!B38+RCKIK!B18+'1'!N49+BARTEK!B38+PIOTR!B38+KRZYSZTOF!B38+'0'!N49</f>
        <v>704</v>
      </c>
      <c r="C42" s="157">
        <f>TOMEK!C38+RCKIK!C18+'1'!O49+BARTEK!C38+PIOTR!C38+KRZYSZTOF!C38+'0'!O49</f>
        <v>714</v>
      </c>
      <c r="D42" s="157">
        <f>TOMEK!D38+RCKIK!D18+'1'!P49+BARTEK!D38+PIOTR!D38+KRZYSZTOF!D38+'0'!P49</f>
        <v>724</v>
      </c>
      <c r="E42" s="196"/>
      <c r="F42" s="157">
        <f>TOMEK!F38+RCKIK!F18+'1'!J49+BARTEK!F38+PIOTR!F38+KRZYSZTOF!F38+'0'!J49</f>
        <v>735</v>
      </c>
      <c r="G42" s="157">
        <f>TOMEK!G38+RCKIK!G18+'1'!K49+BARTEK!G38+PIOTR!G38+KRZYSZTOF!G38+'0'!K49</f>
        <v>743</v>
      </c>
      <c r="H42" s="157">
        <f>TOMEK!H38+RCKIK!H18+'1'!L49+BARTEK!H38+PIOTR!H38+KRZYSZTOF!H38+'0'!L49</f>
        <v>727</v>
      </c>
      <c r="I42" s="196"/>
      <c r="J42" s="157">
        <f>TOMEK!J38+RCKIK!J18+'1'!F49+BARTEK!J38+PIOTR!J38+KRZYSZTOF!J38+'0'!F49</f>
        <v>736</v>
      </c>
      <c r="K42" s="157">
        <f>TOMEK!K38+RCKIK!K18+'1'!G49+BARTEK!K38+PIOTR!K38+KRZYSZTOF!K38+'0'!G49</f>
        <v>743</v>
      </c>
      <c r="L42" s="157">
        <f>TOMEK!L38+RCKIK!L18+'1'!H49+BARTEK!L38+PIOTR!L38+KRZYSZTOF!L38+'0'!H49</f>
        <v>748</v>
      </c>
      <c r="M42" s="196"/>
      <c r="N42" s="157">
        <f>TOMEK!N38+RCKIK!N18+'1'!B49+BARTEK!N38+PIOTR!N38+KRZYSZTOF!N38+'0'!B49</f>
        <v>754</v>
      </c>
      <c r="O42" s="157">
        <f>TOMEK!O38+RCKIK!O18+'1'!C49+BARTEK!O38+PIOTR!O38+KRZYSZTOF!O38+'0'!C49</f>
        <v>761</v>
      </c>
      <c r="P42" s="157">
        <f>TOMEK!P38+RCKIK!P18+'1'!D49+BARTEK!P38+PIOTR!P38+KRZYSZTOF!P38+'0'!D49</f>
        <v>770</v>
      </c>
      <c r="Q42" s="196"/>
      <c r="R42" s="196"/>
      <c r="T42" s="64"/>
    </row>
    <row r="43" spans="1:20">
      <c r="A43" s="327" t="s">
        <v>99</v>
      </c>
      <c r="B43" s="157">
        <f>TOMEK!B39+RCKIK!B19+'1'!N50+BARTEK!B39+PIOTR!B39+KRZYSZTOF!B39+'0'!N50</f>
        <v>93</v>
      </c>
      <c r="C43" s="157">
        <f>TOMEK!C39+RCKIK!C19+'1'!O50+BARTEK!C39+PIOTR!C39+KRZYSZTOF!C39+'0'!O50</f>
        <v>93</v>
      </c>
      <c r="D43" s="157">
        <f>TOMEK!D39+RCKIK!D19+'1'!P50+BARTEK!D39+PIOTR!D39+KRZYSZTOF!D39+'0'!P50</f>
        <v>89</v>
      </c>
      <c r="E43" s="196"/>
      <c r="F43" s="157">
        <f>TOMEK!F39+RCKIK!F19+'1'!J50+BARTEK!F39+PIOTR!F39+KRZYSZTOF!F39+'0'!J50</f>
        <v>106</v>
      </c>
      <c r="G43" s="157">
        <f>TOMEK!G39+RCKIK!G19+'1'!K50+BARTEK!G39+PIOTR!G39+KRZYSZTOF!G39+'0'!K50</f>
        <v>108</v>
      </c>
      <c r="H43" s="157">
        <f>TOMEK!H39+RCKIK!H19+'1'!L50+BARTEK!H39+PIOTR!H39+KRZYSZTOF!H39+'0'!L50</f>
        <v>101</v>
      </c>
      <c r="I43" s="196"/>
      <c r="J43" s="157">
        <f>TOMEK!J39+RCKIK!J19+'1'!F50+BARTEK!J39+PIOTR!J39+KRZYSZTOF!J39+'0'!F50</f>
        <v>101</v>
      </c>
      <c r="K43" s="157">
        <f>TOMEK!K39+RCKIK!K19+'1'!G50+BARTEK!K39+PIOTR!K39+KRZYSZTOF!K39+'0'!G50</f>
        <v>103</v>
      </c>
      <c r="L43" s="157">
        <f>TOMEK!L39+RCKIK!L19+'1'!H50+BARTEK!L39+PIOTR!L39+KRZYSZTOF!L39+'0'!H50</f>
        <v>106</v>
      </c>
      <c r="M43" s="196"/>
      <c r="N43" s="157">
        <f>TOMEK!N39+RCKIK!N19+'1'!B50+BARTEK!N39+PIOTR!N39+KRZYSZTOF!N39+'0'!B50</f>
        <v>108</v>
      </c>
      <c r="O43" s="157">
        <f>TOMEK!O39+RCKIK!O19+'1'!C50+BARTEK!O39+PIOTR!O39+KRZYSZTOF!O39+'0'!C50</f>
        <v>112</v>
      </c>
      <c r="P43" s="157">
        <f>TOMEK!P39+RCKIK!P19+'1'!D50+BARTEK!P39+PIOTR!P39+KRZYSZTOF!P39+'0'!D50</f>
        <v>114</v>
      </c>
      <c r="Q43" s="196"/>
      <c r="R43" s="196"/>
      <c r="T43" s="64"/>
    </row>
    <row r="44" spans="1:20">
      <c r="A44" s="327" t="s">
        <v>133</v>
      </c>
      <c r="B44" s="157">
        <f>TOMEK!B40+RCKIK!B20+'1'!N51+BARTEK!B40+PIOTR!B40+KRZYSZTOF!B40+'0'!N51</f>
        <v>899</v>
      </c>
      <c r="C44" s="157">
        <f>TOMEK!C40+RCKIK!C20+'1'!O51+BARTEK!C40+PIOTR!C40+KRZYSZTOF!C40+'0'!O51</f>
        <v>897</v>
      </c>
      <c r="D44" s="157">
        <f>TOMEK!D40+RCKIK!D20+'1'!P51+BARTEK!D40+PIOTR!D40+KRZYSZTOF!D40+'0'!P51</f>
        <v>896</v>
      </c>
      <c r="E44" s="196"/>
      <c r="F44" s="157">
        <f>TOMEK!F40+RCKIK!F20+'1'!J51+BARTEK!F40+PIOTR!F40+KRZYSZTOF!F40+'0'!J51</f>
        <v>1017</v>
      </c>
      <c r="G44" s="157">
        <f>TOMEK!G40+RCKIK!G20+'1'!K51+BARTEK!G40+PIOTR!G40+KRZYSZTOF!G40+'0'!K51</f>
        <v>1012</v>
      </c>
      <c r="H44" s="157">
        <f>TOMEK!H40+RCKIK!H20+'1'!L51+BARTEK!H40+PIOTR!H40+KRZYSZTOF!H40+'0'!L51</f>
        <v>1009</v>
      </c>
      <c r="I44" s="196"/>
      <c r="J44" s="157">
        <f>TOMEK!J40+RCKIK!J20+'1'!F51+BARTEK!J40+PIOTR!J40+KRZYSZTOF!J40+'0'!F51</f>
        <v>1003</v>
      </c>
      <c r="K44" s="157">
        <f>TOMEK!K40+RCKIK!K20+'1'!G51+BARTEK!K40+PIOTR!K40+KRZYSZTOF!K40+'0'!G51</f>
        <v>999</v>
      </c>
      <c r="L44" s="157">
        <f>TOMEK!L40+RCKIK!L20+'1'!H51+BARTEK!L40+PIOTR!L40+KRZYSZTOF!L40+'0'!H51</f>
        <v>997</v>
      </c>
      <c r="M44" s="196"/>
      <c r="N44" s="157">
        <f>TOMEK!N40+RCKIK!N20+'1'!B51+BARTEK!N40+PIOTR!N40+KRZYSZTOF!N40+'0'!B51</f>
        <v>995</v>
      </c>
      <c r="O44" s="157">
        <f>TOMEK!O40+RCKIK!O20+'1'!C51+BARTEK!O40+PIOTR!O40+KRZYSZTOF!O40+'0'!C51</f>
        <v>992</v>
      </c>
      <c r="P44" s="157">
        <f>TOMEK!P40+RCKIK!P20+'1'!D51+BARTEK!P40+PIOTR!P40+KRZYSZTOF!P40+'0'!D51</f>
        <v>990</v>
      </c>
      <c r="Q44" s="196"/>
      <c r="R44" s="196"/>
      <c r="T44" s="64"/>
    </row>
    <row r="45" spans="1:20">
      <c r="A45" s="327" t="s">
        <v>100</v>
      </c>
      <c r="B45" s="338">
        <f>TOMEK!B41+RCKIK!B21+'1'!N52+BARTEK!B41+PIOTR!B41+KRZYSZTOF!B41+'0'!N52</f>
        <v>1696</v>
      </c>
      <c r="C45" s="338">
        <f>TOMEK!C41+RCKIK!C21+'1'!O52+BARTEK!C41+PIOTR!C41+KRZYSZTOF!C41+'0'!O52</f>
        <v>1704</v>
      </c>
      <c r="D45" s="338">
        <f>TOMEK!D41+RCKIK!D21+'1'!P52+BARTEK!D41+PIOTR!D41+KRZYSZTOF!D41+'0'!P52</f>
        <v>1709</v>
      </c>
      <c r="E45" s="335"/>
      <c r="F45" s="338">
        <f>TOMEK!F41+RCKIK!F21+'1'!J52+BARTEK!F41+PIOTR!F41+KRZYSZTOF!F41+'0'!J52</f>
        <v>1858</v>
      </c>
      <c r="G45" s="338">
        <f>TOMEK!G41+RCKIK!G21+'1'!K52+BARTEK!G41+PIOTR!G41+KRZYSZTOF!G41+'0'!K52</f>
        <v>1863</v>
      </c>
      <c r="H45" s="338">
        <f>TOMEK!H41+RCKIK!H21+'1'!L52+BARTEK!H41+PIOTR!H41+KRZYSZTOF!H41+'0'!L52</f>
        <v>1837</v>
      </c>
      <c r="I45" s="335"/>
      <c r="J45" s="338">
        <f t="shared" ref="J45:N45" si="11">SUM(J43:J44)</f>
        <v>1104</v>
      </c>
      <c r="K45" s="338">
        <f t="shared" ref="K45:L45" si="12">SUM(K43:K44)</f>
        <v>1102</v>
      </c>
      <c r="L45" s="338">
        <f t="shared" si="12"/>
        <v>1103</v>
      </c>
      <c r="M45" s="335"/>
      <c r="N45" s="338">
        <f t="shared" si="11"/>
        <v>1103</v>
      </c>
      <c r="O45" s="338">
        <f t="shared" ref="O45:P45" si="13">SUM(O43:O44)</f>
        <v>1104</v>
      </c>
      <c r="P45" s="338">
        <f t="shared" si="13"/>
        <v>1104</v>
      </c>
      <c r="Q45" s="335"/>
      <c r="R45" s="335"/>
      <c r="T45" s="64"/>
    </row>
    <row r="46" spans="1:20" ht="13.8" thickBot="1">
      <c r="A46" s="328" t="s">
        <v>101</v>
      </c>
      <c r="B46" s="157">
        <f>TOMEK!B42+RCKIK!B22+'1'!N53+BARTEK!B42+PIOTR!B42+KRZYSZTOF!B42+'0'!N53</f>
        <v>21</v>
      </c>
      <c r="C46" s="157">
        <f>TOMEK!C42+RCKIK!C22+'1'!O53+BARTEK!C42+PIOTR!C42+KRZYSZTOF!C42+'0'!O53</f>
        <v>17</v>
      </c>
      <c r="D46" s="157">
        <f>TOMEK!D42+RCKIK!D22+'1'!P53+BARTEK!D42+PIOTR!D42+KRZYSZTOF!D42+'0'!P53</f>
        <v>7</v>
      </c>
      <c r="E46" s="335">
        <f t="shared" ref="E46:E47" si="14">SUM(B46:D46)</f>
        <v>45</v>
      </c>
      <c r="F46" s="157">
        <f>TOMEK!F42+RCKIK!F22+'1'!J53+BARTEK!F42+PIOTR!F42+KRZYSZTOF!F42+'0'!J53</f>
        <v>8</v>
      </c>
      <c r="G46" s="157">
        <f>TOMEK!G42+RCKIK!G22+'1'!K53+BARTEK!G42+PIOTR!G42+KRZYSZTOF!G42+'0'!K53</f>
        <v>9</v>
      </c>
      <c r="H46" s="157">
        <f>TOMEK!H42+RCKIK!H22+'1'!L53+BARTEK!H42+PIOTR!H42+KRZYSZTOF!H42+'0'!L53</f>
        <v>9</v>
      </c>
      <c r="I46" s="335">
        <f t="shared" ref="I46:I47" si="15">SUM(F46:H46)</f>
        <v>26</v>
      </c>
      <c r="J46" s="157">
        <f>TOMEK!J42+RCKIK!J22+'1'!F53+BARTEK!J42+PIOTR!J42+KRZYSZTOF!J42+'0'!F53</f>
        <v>5</v>
      </c>
      <c r="K46" s="157">
        <f>TOMEK!K42+RCKIK!K22+'1'!G53+BARTEK!K42+PIOTR!K42+KRZYSZTOF!K42+'0'!G53</f>
        <v>7</v>
      </c>
      <c r="L46" s="157">
        <f>TOMEK!L42+RCKIK!L22+'1'!H53+BARTEK!L42+PIOTR!L42+KRZYSZTOF!L42+'0'!H53</f>
        <v>2</v>
      </c>
      <c r="M46" s="335">
        <f t="shared" ref="M46:M47" si="16">SUM(J46:L46)</f>
        <v>14</v>
      </c>
      <c r="N46" s="157">
        <f>TOMEK!N42+RCKIK!N22+'1'!B53+BARTEK!N42+PIOTR!N42+KRZYSZTOF!N42+'0'!B53</f>
        <v>6</v>
      </c>
      <c r="O46" s="157">
        <f>TOMEK!O42+RCKIK!O22+'1'!C53+BARTEK!O42+PIOTR!O42+KRZYSZTOF!O42+'0'!C53</f>
        <v>3</v>
      </c>
      <c r="P46" s="157">
        <f>TOMEK!P42+RCKIK!P22+'1'!D53+BARTEK!P42+PIOTR!P42+KRZYSZTOF!P42+'0'!D53</f>
        <v>7</v>
      </c>
      <c r="Q46" s="335">
        <f t="shared" ref="Q46:Q47" si="17">SUM(N46:P46)</f>
        <v>16</v>
      </c>
      <c r="R46" s="335">
        <f>Q46+M46+I46+E46</f>
        <v>101</v>
      </c>
      <c r="T46" s="64"/>
    </row>
    <row r="47" spans="1:20" ht="13.8" thickTop="1">
      <c r="A47" s="329" t="s">
        <v>134</v>
      </c>
      <c r="B47" s="157">
        <f>TOMEK!B43+RCKIK!B23+'1'!N54+BARTEK!B43+PIOTR!B43+KRZYSZTOF!B43+'0'!N54</f>
        <v>131</v>
      </c>
      <c r="C47" s="157">
        <f>TOMEK!C43+RCKIK!C23+'1'!O54+BARTEK!C43+PIOTR!C43+KRZYSZTOF!C43+'0'!O54</f>
        <v>180</v>
      </c>
      <c r="D47" s="157">
        <f>TOMEK!D43+RCKIK!D23+'1'!P54+BARTEK!D43+PIOTR!D43+KRZYSZTOF!D43+'0'!P54</f>
        <v>223</v>
      </c>
      <c r="E47" s="335">
        <f t="shared" si="14"/>
        <v>534</v>
      </c>
      <c r="F47" s="157">
        <f>TOMEK!F43+RCKIK!F23+'1'!J54+BARTEK!F43+PIOTR!F43+KRZYSZTOF!F43+'0'!J54</f>
        <v>138</v>
      </c>
      <c r="G47" s="157">
        <f>TOMEK!G43+RCKIK!G23+'1'!K54+BARTEK!G43+PIOTR!G43+KRZYSZTOF!G43+'0'!K54</f>
        <v>144</v>
      </c>
      <c r="H47" s="157">
        <f>TOMEK!H43+RCKIK!H23+'1'!L54+BARTEK!H43+PIOTR!H43+KRZYSZTOF!H43+'0'!L54</f>
        <v>139</v>
      </c>
      <c r="I47" s="335">
        <f t="shared" si="15"/>
        <v>421</v>
      </c>
      <c r="J47" s="157">
        <f>TOMEK!J43+RCKIK!J23+'1'!F54+BARTEK!J43+PIOTR!J43+KRZYSZTOF!J43+'0'!F54</f>
        <v>126</v>
      </c>
      <c r="K47" s="157">
        <f>TOMEK!K43+RCKIK!K23+'1'!G54+BARTEK!K43+PIOTR!K43+KRZYSZTOF!K43+'0'!G54</f>
        <v>145</v>
      </c>
      <c r="L47" s="157">
        <f>TOMEK!L43+RCKIK!L23+'1'!H54+BARTEK!L43+PIOTR!L43+KRZYSZTOF!L43+'0'!H54</f>
        <v>146</v>
      </c>
      <c r="M47" s="335">
        <f t="shared" si="16"/>
        <v>417</v>
      </c>
      <c r="N47" s="157">
        <f>TOMEK!N43+RCKIK!N23+'1'!B54+BARTEK!N43+PIOTR!N43+KRZYSZTOF!N43+'0'!B54</f>
        <v>146</v>
      </c>
      <c r="O47" s="157">
        <f>TOMEK!O43+RCKIK!O23+'1'!C54+BARTEK!O43+PIOTR!O43+KRZYSZTOF!O43+'0'!C54</f>
        <v>149</v>
      </c>
      <c r="P47" s="157">
        <f>TOMEK!P43+RCKIK!P23+'1'!D54+BARTEK!P43+PIOTR!P43+KRZYSZTOF!P43+'0'!D54</f>
        <v>111</v>
      </c>
      <c r="Q47" s="335">
        <f t="shared" si="17"/>
        <v>406</v>
      </c>
      <c r="R47" s="335">
        <f>Q47+M47+I47+E47</f>
        <v>1778</v>
      </c>
      <c r="T47" s="64"/>
    </row>
    <row r="48" spans="1:20">
      <c r="A48" s="327" t="s">
        <v>102</v>
      </c>
      <c r="B48" s="157">
        <f>TOMEK!B44+RCKIK!B24+'1'!N55+BARTEK!B44+PIOTR!B44+KRZYSZTOF!B44+'0'!N55</f>
        <v>54</v>
      </c>
      <c r="C48" s="157">
        <f>TOMEK!C44+RCKIK!C24+'1'!O55+BARTEK!C44+PIOTR!C44+KRZYSZTOF!C44+'0'!O55</f>
        <v>61</v>
      </c>
      <c r="D48" s="157">
        <f>TOMEK!D44+RCKIK!D24+'1'!P55+BARTEK!D44+PIOTR!D44+KRZYSZTOF!D44+'0'!P55</f>
        <v>66</v>
      </c>
      <c r="E48" s="198"/>
      <c r="F48" s="157">
        <f>TOMEK!F44+RCKIK!F24+'1'!J55+BARTEK!F44+PIOTR!F44+KRZYSZTOF!F44+'0'!J55</f>
        <v>42</v>
      </c>
      <c r="G48" s="157">
        <f>TOMEK!G44+RCKIK!G24+'1'!K55+BARTEK!G44+PIOTR!G44+KRZYSZTOF!G44+'0'!K55</f>
        <v>58</v>
      </c>
      <c r="H48" s="157">
        <f>TOMEK!H44+RCKIK!H24+'1'!L55+BARTEK!H44+PIOTR!H44+KRZYSZTOF!H44+'0'!L55</f>
        <v>58</v>
      </c>
      <c r="I48" s="198"/>
      <c r="J48" s="157">
        <f>TOMEK!J44+RCKIK!J24+'1'!F55+BARTEK!J44+PIOTR!J44+KRZYSZTOF!J44+'0'!F55</f>
        <v>48</v>
      </c>
      <c r="K48" s="157">
        <f>TOMEK!K44+RCKIK!K24+'1'!G55+BARTEK!K44+PIOTR!K44+KRZYSZTOF!K44+'0'!G55</f>
        <v>46</v>
      </c>
      <c r="L48" s="157">
        <f>TOMEK!L44+RCKIK!L24+'1'!H55+BARTEK!L44+PIOTR!L44+KRZYSZTOF!L44+'0'!H55</f>
        <v>48</v>
      </c>
      <c r="M48" s="198"/>
      <c r="N48" s="157">
        <f>TOMEK!N44+RCKIK!N24+'1'!B55+BARTEK!N44+PIOTR!N44+KRZYSZTOF!N44+'0'!B55</f>
        <v>60</v>
      </c>
      <c r="O48" s="157">
        <f>TOMEK!O44+RCKIK!O24+'1'!C55+BARTEK!O44+PIOTR!O44+KRZYSZTOF!O44+'0'!C55</f>
        <v>51</v>
      </c>
      <c r="P48" s="157">
        <f>TOMEK!P44+RCKIK!P24+'1'!D55+BARTEK!P44+PIOTR!P44+KRZYSZTOF!P44+'0'!D55</f>
        <v>35</v>
      </c>
      <c r="Q48" s="198"/>
      <c r="R48" s="198"/>
      <c r="T48" s="64"/>
    </row>
    <row r="49" spans="1:20">
      <c r="A49" s="327" t="s">
        <v>103</v>
      </c>
      <c r="B49" s="157">
        <f>TOMEK!B45+RCKIK!B25+'1'!N56+BARTEK!B45+PIOTR!B45+KRZYSZTOF!B45+'0'!N56</f>
        <v>60</v>
      </c>
      <c r="C49" s="157">
        <f>TOMEK!C45+RCKIK!C25+'1'!O56+BARTEK!C45+PIOTR!C45+KRZYSZTOF!C45+'0'!O56</f>
        <v>96</v>
      </c>
      <c r="D49" s="157">
        <f>TOMEK!D45+RCKIK!D25+'1'!P56+BARTEK!D45+PIOTR!D45+KRZYSZTOF!D45+'0'!P56</f>
        <v>139</v>
      </c>
      <c r="E49" s="335">
        <f t="shared" ref="E49:E53" si="18">SUM(B49:D49)</f>
        <v>295</v>
      </c>
      <c r="F49" s="157">
        <f>TOMEK!F45+RCKIK!F25+'1'!J56+BARTEK!F45+PIOTR!F45+KRZYSZTOF!F45+'0'!J56</f>
        <v>90</v>
      </c>
      <c r="G49" s="157">
        <f>TOMEK!G45+RCKIK!G25+'1'!K56+BARTEK!G45+PIOTR!G45+KRZYSZTOF!G45+'0'!K56</f>
        <v>88</v>
      </c>
      <c r="H49" s="157">
        <f>TOMEK!H45+RCKIK!H25+'1'!L56+BARTEK!H45+PIOTR!H45+KRZYSZTOF!H45+'0'!L56</f>
        <v>90</v>
      </c>
      <c r="I49" s="335">
        <f t="shared" ref="I49:I53" si="19">SUM(F49:H49)</f>
        <v>268</v>
      </c>
      <c r="J49" s="157">
        <f>TOMEK!J45+RCKIK!J25+'1'!F56+BARTEK!J45+PIOTR!J45+KRZYSZTOF!J45+'0'!F56</f>
        <v>76</v>
      </c>
      <c r="K49" s="157">
        <f>TOMEK!K45+RCKIK!K25+'1'!G56+BARTEK!K45+PIOTR!K45+KRZYSZTOF!K45+'0'!G56</f>
        <v>101</v>
      </c>
      <c r="L49" s="157">
        <f>TOMEK!L45+RCKIK!L25+'1'!H56+BARTEK!L45+PIOTR!L45+KRZYSZTOF!L45+'0'!H56</f>
        <v>79</v>
      </c>
      <c r="M49" s="335">
        <f t="shared" ref="M49:M53" si="20">SUM(J49:L49)</f>
        <v>256</v>
      </c>
      <c r="N49" s="157">
        <f>TOMEK!N45+RCKIK!N25+'1'!B56+BARTEK!N45+PIOTR!N45+KRZYSZTOF!N45+'0'!B56</f>
        <v>82</v>
      </c>
      <c r="O49" s="157">
        <f>TOMEK!O45+RCKIK!O25+'1'!C56+BARTEK!O45+PIOTR!O45+KRZYSZTOF!O45+'0'!C56</f>
        <v>90</v>
      </c>
      <c r="P49" s="157">
        <f>TOMEK!P45+RCKIK!P25+'1'!D56+BARTEK!P45+PIOTR!P45+KRZYSZTOF!P45+'0'!D56</f>
        <v>76</v>
      </c>
      <c r="Q49" s="335">
        <f t="shared" ref="Q49:Q53" si="21">SUM(N49:P49)</f>
        <v>248</v>
      </c>
      <c r="R49" s="335">
        <f>Q49+M49+I49+E49</f>
        <v>1067</v>
      </c>
      <c r="T49" s="64"/>
    </row>
    <row r="50" spans="1:20" ht="13.8" thickBot="1">
      <c r="A50" s="330" t="s">
        <v>104</v>
      </c>
      <c r="B50" s="157">
        <f>TOMEK!B46+RCKIK!B26+'1'!N57+BARTEK!B46+PIOTR!B46+KRZYSZTOF!B46+'0'!N57</f>
        <v>51</v>
      </c>
      <c r="C50" s="157">
        <f>TOMEK!C46+RCKIK!C26+'1'!O57+BARTEK!C46+PIOTR!C46+KRZYSZTOF!C46+'0'!O57</f>
        <v>68</v>
      </c>
      <c r="D50" s="157">
        <f>TOMEK!D46+RCKIK!D26+'1'!P57+BARTEK!D46+PIOTR!D46+KRZYSZTOF!D46+'0'!P57</f>
        <v>85</v>
      </c>
      <c r="E50" s="335">
        <f t="shared" si="18"/>
        <v>204</v>
      </c>
      <c r="F50" s="157">
        <f>TOMEK!F46+RCKIK!F26+'1'!J57+BARTEK!F46+PIOTR!F46+KRZYSZTOF!F46+'0'!J57</f>
        <v>54</v>
      </c>
      <c r="G50" s="157">
        <f>TOMEK!G46+RCKIK!G26+'1'!K57+BARTEK!G46+PIOTR!G46+KRZYSZTOF!G46+'0'!K57</f>
        <v>60</v>
      </c>
      <c r="H50" s="157">
        <f>TOMEK!H46+RCKIK!H26+'1'!L57+BARTEK!H46+PIOTR!H46+KRZYSZTOF!H46+'0'!L57</f>
        <v>46</v>
      </c>
      <c r="I50" s="335">
        <f t="shared" si="19"/>
        <v>160</v>
      </c>
      <c r="J50" s="157">
        <f>TOMEK!J46+RCKIK!J26+'1'!F57+BARTEK!J46+PIOTR!J46+KRZYSZTOF!J46+'0'!F57</f>
        <v>48</v>
      </c>
      <c r="K50" s="157">
        <f>TOMEK!K46+RCKIK!K26+'1'!G57+BARTEK!K46+PIOTR!K46+KRZYSZTOF!K46+'0'!G57</f>
        <v>58</v>
      </c>
      <c r="L50" s="157">
        <f>TOMEK!L46+RCKIK!L26+'1'!H57+BARTEK!L46+PIOTR!L46+KRZYSZTOF!L46+'0'!H57</f>
        <v>57</v>
      </c>
      <c r="M50" s="335">
        <f t="shared" si="20"/>
        <v>163</v>
      </c>
      <c r="N50" s="157">
        <f>TOMEK!N46+RCKIK!N26+'1'!B57+BARTEK!N46+PIOTR!N46+KRZYSZTOF!N46+'0'!B57</f>
        <v>44</v>
      </c>
      <c r="O50" s="157">
        <f>TOMEK!O46+RCKIK!O26+'1'!C57+BARTEK!O46+PIOTR!O46+KRZYSZTOF!O46+'0'!C57</f>
        <v>79</v>
      </c>
      <c r="P50" s="157">
        <f>TOMEK!P46+RCKIK!P26+'1'!D57+BARTEK!P46+PIOTR!P46+KRZYSZTOF!P46+'0'!D57</f>
        <v>53</v>
      </c>
      <c r="Q50" s="335">
        <f t="shared" si="21"/>
        <v>176</v>
      </c>
      <c r="R50" s="335">
        <f>Q50+M50+I50+E50</f>
        <v>703</v>
      </c>
      <c r="T50" s="64"/>
    </row>
    <row r="51" spans="1:20" ht="13.8" thickTop="1">
      <c r="A51" s="326" t="s">
        <v>184</v>
      </c>
      <c r="B51" s="157">
        <f>TOMEK!B47+RCKIK!B27+'1'!N58+BARTEK!B47+PIOTR!B47+KRZYSZTOF!B47+'0'!N58</f>
        <v>14</v>
      </c>
      <c r="C51" s="157">
        <f>TOMEK!C47+RCKIK!C27+'1'!O58+BARTEK!C47+PIOTR!C47+KRZYSZTOF!C47+'0'!O58</f>
        <v>12</v>
      </c>
      <c r="D51" s="157">
        <f>TOMEK!D47+RCKIK!D27+'1'!P58+BARTEK!D47+PIOTR!D47+KRZYSZTOF!D47+'0'!P58</f>
        <v>9</v>
      </c>
      <c r="E51" s="335">
        <f t="shared" si="18"/>
        <v>35</v>
      </c>
      <c r="F51" s="157">
        <f>TOMEK!F47+RCKIK!F27+'1'!J58+BARTEK!F47+PIOTR!F47+KRZYSZTOF!F47+'0'!J58</f>
        <v>11</v>
      </c>
      <c r="G51" s="157">
        <f>TOMEK!G47+RCKIK!G27+'1'!K58+BARTEK!G47+PIOTR!G47+KRZYSZTOF!G47+'0'!K58</f>
        <v>10</v>
      </c>
      <c r="H51" s="157">
        <f>TOMEK!H47+RCKIK!H27+'1'!L58+BARTEK!H47+PIOTR!H47+KRZYSZTOF!H47+'0'!L58</f>
        <v>12</v>
      </c>
      <c r="I51" s="335">
        <f t="shared" si="19"/>
        <v>33</v>
      </c>
      <c r="J51" s="157">
        <f>TOMEK!J47+RCKIK!J27+'1'!F58+BARTEK!J47+PIOTR!J47+KRZYSZTOF!J47+'0'!F58</f>
        <v>10</v>
      </c>
      <c r="K51" s="157">
        <f>TOMEK!K47+RCKIK!K27+'1'!G58+BARTEK!K47+PIOTR!K47+KRZYSZTOF!K47+'0'!G58</f>
        <v>7</v>
      </c>
      <c r="L51" s="157">
        <f>TOMEK!L47+RCKIK!L27+'1'!H58+BARTEK!L47+PIOTR!L47+KRZYSZTOF!L47+'0'!H58</f>
        <v>9</v>
      </c>
      <c r="M51" s="335">
        <f t="shared" si="20"/>
        <v>26</v>
      </c>
      <c r="N51" s="157">
        <f>TOMEK!N47+RCKIK!N27+'1'!B58+BARTEK!N47+PIOTR!N47+KRZYSZTOF!N47+'0'!B58</f>
        <v>20</v>
      </c>
      <c r="O51" s="157">
        <f>TOMEK!O47+RCKIK!O27+'1'!C58+BARTEK!O47+PIOTR!O47+KRZYSZTOF!O47+'0'!C58</f>
        <v>8</v>
      </c>
      <c r="P51" s="157">
        <f>TOMEK!P47+RCKIK!P27+'1'!D58+BARTEK!P47+PIOTR!P47+KRZYSZTOF!P47+'0'!D58</f>
        <v>14</v>
      </c>
      <c r="Q51" s="335">
        <f t="shared" si="21"/>
        <v>42</v>
      </c>
      <c r="R51" s="335">
        <f>Q51+M51+I51+E51</f>
        <v>136</v>
      </c>
      <c r="T51" s="64"/>
    </row>
    <row r="52" spans="1:20" ht="13.8" thickBot="1">
      <c r="A52" s="328" t="s">
        <v>105</v>
      </c>
      <c r="B52" s="157">
        <f>TOMEK!B48+RCKIK!B28+'1'!N59+BARTEK!B48+PIOTR!B48+KRZYSZTOF!B48+'0'!N59</f>
        <v>0</v>
      </c>
      <c r="C52" s="157">
        <f>TOMEK!C48+RCKIK!C28+'1'!O59+BARTEK!C48+PIOTR!C48+KRZYSZTOF!C48+'0'!O59</f>
        <v>0</v>
      </c>
      <c r="D52" s="157">
        <f>TOMEK!D48+RCKIK!D28+'1'!P59+BARTEK!D48+PIOTR!D48+KRZYSZTOF!D48+'0'!P59</f>
        <v>0</v>
      </c>
      <c r="E52" s="335">
        <f t="shared" si="18"/>
        <v>0</v>
      </c>
      <c r="F52" s="157">
        <f>TOMEK!F48+RCKIK!F28+'1'!J59+BARTEK!F48+PIOTR!F48+KRZYSZTOF!F48+'0'!J59</f>
        <v>0</v>
      </c>
      <c r="G52" s="157">
        <f>TOMEK!G48+RCKIK!G28+'1'!K59+BARTEK!G48+PIOTR!G48+KRZYSZTOF!G48+'0'!K59</f>
        <v>0</v>
      </c>
      <c r="H52" s="157">
        <f>TOMEK!H48+RCKIK!H28+'1'!L59+BARTEK!H48+PIOTR!H48+KRZYSZTOF!H48+'0'!L59</f>
        <v>0</v>
      </c>
      <c r="I52" s="335">
        <f t="shared" si="19"/>
        <v>0</v>
      </c>
      <c r="J52" s="157">
        <f>TOMEK!J48+RCKIK!J28+'1'!F59+BARTEK!J48+PIOTR!J48+KRZYSZTOF!J48+'0'!F59</f>
        <v>0</v>
      </c>
      <c r="K52" s="157">
        <f>TOMEK!K48+RCKIK!K28+'1'!G59+BARTEK!K48+PIOTR!K48+KRZYSZTOF!K48+'0'!G59</f>
        <v>0</v>
      </c>
      <c r="L52" s="157">
        <f>TOMEK!L48+RCKIK!L28+'1'!H59+BARTEK!L48+PIOTR!L48+KRZYSZTOF!L48+'0'!H59</f>
        <v>0</v>
      </c>
      <c r="M52" s="335">
        <f t="shared" si="20"/>
        <v>0</v>
      </c>
      <c r="N52" s="157">
        <f>TOMEK!N48+RCKIK!N28+'1'!B59+BARTEK!N48+PIOTR!N48+KRZYSZTOF!N48+'0'!B59</f>
        <v>0</v>
      </c>
      <c r="O52" s="157">
        <f>TOMEK!O48+RCKIK!O28+'1'!C59+BARTEK!O48+PIOTR!O48+KRZYSZTOF!O48+'0'!C59</f>
        <v>0</v>
      </c>
      <c r="P52" s="157">
        <f>TOMEK!P48+RCKIK!P28+'1'!D59+BARTEK!P48+PIOTR!P48+KRZYSZTOF!P48+'0'!D59</f>
        <v>0</v>
      </c>
      <c r="Q52" s="335">
        <f t="shared" si="21"/>
        <v>0</v>
      </c>
      <c r="R52" s="335">
        <f>Q52+M52+I52+E52</f>
        <v>0</v>
      </c>
      <c r="T52" s="64"/>
    </row>
    <row r="53" spans="1:20" ht="14.4" thickTop="1" thickBot="1">
      <c r="A53" s="328" t="s">
        <v>106</v>
      </c>
      <c r="B53" s="157">
        <f>TOMEK!B49+RCKIK!B29+'1'!N60+BARTEK!B49+PIOTR!B49+KRZYSZTOF!B49+'0'!N60</f>
        <v>6</v>
      </c>
      <c r="C53" s="157">
        <f>TOMEK!C49+RCKIK!C29+'1'!O60+BARTEK!C49+PIOTR!C49+KRZYSZTOF!C49+'0'!O60</f>
        <v>2</v>
      </c>
      <c r="D53" s="157">
        <f>TOMEK!D49+RCKIK!D29+'1'!P60+BARTEK!D49+PIOTR!D49+KRZYSZTOF!D49+'0'!P60</f>
        <v>3</v>
      </c>
      <c r="E53" s="335">
        <f t="shared" si="18"/>
        <v>11</v>
      </c>
      <c r="F53" s="157">
        <f>TOMEK!F49+RCKIK!F29+'1'!J60+BARTEK!F49+PIOTR!F49+KRZYSZTOF!F49+'0'!J60</f>
        <v>1</v>
      </c>
      <c r="G53" s="157">
        <f>TOMEK!G49+RCKIK!G29+'1'!K60+BARTEK!G49+PIOTR!G49+KRZYSZTOF!G49+'0'!K60</f>
        <v>6</v>
      </c>
      <c r="H53" s="157">
        <f>TOMEK!H49+RCKIK!H29+'1'!L60+BARTEK!H49+PIOTR!H49+KRZYSZTOF!H49+'0'!L60</f>
        <v>6</v>
      </c>
      <c r="I53" s="335">
        <f t="shared" si="19"/>
        <v>13</v>
      </c>
      <c r="J53" s="157">
        <f>TOMEK!J49+RCKIK!J29+'1'!F60+BARTEK!J49+PIOTR!J49+KRZYSZTOF!J49+'0'!F60</f>
        <v>5</v>
      </c>
      <c r="K53" s="157">
        <f>TOMEK!K49+RCKIK!K29+'1'!G60+BARTEK!K49+PIOTR!K49+KRZYSZTOF!K49+'0'!G60</f>
        <v>6</v>
      </c>
      <c r="L53" s="157">
        <f>TOMEK!L49+RCKIK!L29+'1'!H60+BARTEK!L49+PIOTR!L49+KRZYSZTOF!L49+'0'!H60</f>
        <v>12</v>
      </c>
      <c r="M53" s="335">
        <f t="shared" si="20"/>
        <v>23</v>
      </c>
      <c r="N53" s="157">
        <f>TOMEK!N49+RCKIK!N29+'1'!B60+BARTEK!N49+PIOTR!N49+KRZYSZTOF!N49+'0'!B60</f>
        <v>5</v>
      </c>
      <c r="O53" s="157">
        <f>TOMEK!O49+RCKIK!O29+'1'!C60+BARTEK!O49+PIOTR!O49+KRZYSZTOF!O49+'0'!C60</f>
        <v>4</v>
      </c>
      <c r="P53" s="157">
        <f>TOMEK!P49+RCKIK!P29+'1'!D60+BARTEK!P49+PIOTR!P49+KRZYSZTOF!P49+'0'!D60</f>
        <v>15</v>
      </c>
      <c r="Q53" s="335">
        <f t="shared" si="21"/>
        <v>24</v>
      </c>
      <c r="R53" s="335">
        <f>Q53+M53+I53+E53</f>
        <v>71</v>
      </c>
      <c r="T53" s="64"/>
    </row>
    <row r="54" spans="1:20" ht="13.8" thickTop="1">
      <c r="A54" s="331" t="s">
        <v>107</v>
      </c>
      <c r="B54" s="157">
        <f>TOMEK!B50+RCKIK!B30+'1'!N61+BARTEK!B50+PIOTR!B50+KRZYSZTOF!B50+'0'!N61</f>
        <v>98</v>
      </c>
      <c r="C54" s="157">
        <f>TOMEK!C50+RCKIK!C30+'1'!O61+BARTEK!C50+PIOTR!C50+KRZYSZTOF!C50+'0'!O61</f>
        <v>92</v>
      </c>
      <c r="D54" s="157">
        <f>TOMEK!D50+RCKIK!D30+'1'!P61+BARTEK!D50+PIOTR!D50+KRZYSZTOF!D50+'0'!P61</f>
        <v>92</v>
      </c>
      <c r="E54" s="150"/>
      <c r="F54" s="157">
        <f>TOMEK!F50+RCKIK!F30+'1'!J61+BARTEK!F50+PIOTR!F50+KRZYSZTOF!F50+'0'!J61</f>
        <v>77</v>
      </c>
      <c r="G54" s="157">
        <f>TOMEK!G50+RCKIK!G30+'1'!K61+BARTEK!G50+PIOTR!G50+KRZYSZTOF!G50+'0'!K61</f>
        <v>81</v>
      </c>
      <c r="H54" s="157">
        <f>TOMEK!H50+RCKIK!H30+'1'!L61+BARTEK!H50+PIOTR!H50+KRZYSZTOF!H50+'0'!L61</f>
        <v>64</v>
      </c>
      <c r="I54" s="150"/>
      <c r="J54" s="157">
        <f>TOMEK!J50+RCKIK!J30+'1'!F61+BARTEK!J50+PIOTR!J50+KRZYSZTOF!J50+'0'!F61</f>
        <v>65</v>
      </c>
      <c r="K54" s="157">
        <f>TOMEK!K50+RCKIK!K30+'1'!G61+BARTEK!K50+PIOTR!K50+KRZYSZTOF!K50+'0'!G61</f>
        <v>63</v>
      </c>
      <c r="L54" s="157">
        <f>TOMEK!L50+RCKIK!L30+'1'!H61+BARTEK!L50+PIOTR!L50+KRZYSZTOF!L50+'0'!H61</f>
        <v>65</v>
      </c>
      <c r="M54" s="150"/>
      <c r="N54" s="157">
        <f>TOMEK!N50+RCKIK!N30+'1'!B61+BARTEK!N50+PIOTR!N50+KRZYSZTOF!N50+'0'!B61</f>
        <v>64</v>
      </c>
      <c r="O54" s="157">
        <f>TOMEK!O50+RCKIK!O30+'1'!C61+BARTEK!O50+PIOTR!O50+KRZYSZTOF!O50+'0'!C61</f>
        <v>69</v>
      </c>
      <c r="P54" s="157">
        <f>TOMEK!P50+RCKIK!P30+'1'!D61+BARTEK!P50+PIOTR!P50+KRZYSZTOF!P50+'0'!D61</f>
        <v>63</v>
      </c>
      <c r="Q54" s="150"/>
      <c r="R54" s="150"/>
      <c r="T54" s="64"/>
    </row>
    <row r="55" spans="1:20">
      <c r="A55" s="332" t="s">
        <v>108</v>
      </c>
      <c r="B55" s="157">
        <f>TOMEK!B51+RCKIK!B31+'1'!N62+BARTEK!B51+PIOTR!B51+KRZYSZTOF!B51+'0'!N62</f>
        <v>42</v>
      </c>
      <c r="C55" s="157">
        <f>TOMEK!C51+RCKIK!C31+'1'!O62+BARTEK!C51+PIOTR!C51+KRZYSZTOF!C51+'0'!O62</f>
        <v>35</v>
      </c>
      <c r="D55" s="157">
        <f>TOMEK!D51+RCKIK!D31+'1'!P62+BARTEK!D51+PIOTR!D51+KRZYSZTOF!D51+'0'!P62</f>
        <v>37</v>
      </c>
      <c r="E55" s="335">
        <f t="shared" ref="E55:E57" si="22">SUM(B55:D55)</f>
        <v>114</v>
      </c>
      <c r="F55" s="157">
        <f>TOMEK!F51+RCKIK!F31+'1'!J62+BARTEK!F51+PIOTR!F51+KRZYSZTOF!F51+'0'!J62</f>
        <v>42</v>
      </c>
      <c r="G55" s="157">
        <f>TOMEK!G51+RCKIK!G31+'1'!K62+BARTEK!G51+PIOTR!G51+KRZYSZTOF!G51+'0'!K62</f>
        <v>43</v>
      </c>
      <c r="H55" s="157">
        <f>TOMEK!H51+RCKIK!H31+'1'!L62+BARTEK!H51+PIOTR!H51+KRZYSZTOF!H51+'0'!L62</f>
        <v>27</v>
      </c>
      <c r="I55" s="335">
        <f t="shared" ref="I55:I57" si="23">SUM(F55:H55)</f>
        <v>112</v>
      </c>
      <c r="J55" s="157">
        <f>TOMEK!J51+RCKIK!J31+'1'!F62+BARTEK!J51+PIOTR!J51+KRZYSZTOF!J51+'0'!F62</f>
        <v>26</v>
      </c>
      <c r="K55" s="157">
        <f>TOMEK!K51+RCKIK!K31+'1'!G62+BARTEK!K51+PIOTR!K51+KRZYSZTOF!K51+'0'!G62</f>
        <v>29</v>
      </c>
      <c r="L55" s="157">
        <f>TOMEK!L51+RCKIK!L31+'1'!H62+BARTEK!L51+PIOTR!L51+KRZYSZTOF!L51+'0'!H62</f>
        <v>33</v>
      </c>
      <c r="M55" s="335">
        <f t="shared" ref="M55:M57" si="24">SUM(J55:L55)</f>
        <v>88</v>
      </c>
      <c r="N55" s="157">
        <f>TOMEK!N51+RCKIK!N31+'1'!B62+BARTEK!N51+PIOTR!N51+KRZYSZTOF!N51+'0'!B62</f>
        <v>31</v>
      </c>
      <c r="O55" s="157">
        <f>TOMEK!O51+RCKIK!O31+'1'!C62+BARTEK!O51+PIOTR!O51+KRZYSZTOF!O51+'0'!C62</f>
        <v>35</v>
      </c>
      <c r="P55" s="157">
        <f>TOMEK!P51+RCKIK!P31+'1'!D62+BARTEK!P51+PIOTR!P51+KRZYSZTOF!P51+'0'!D62</f>
        <v>31</v>
      </c>
      <c r="Q55" s="335">
        <f t="shared" ref="Q55:Q57" si="25">SUM(N55:P55)</f>
        <v>97</v>
      </c>
      <c r="R55" s="335">
        <f>Q55+M55+I55+E55</f>
        <v>411</v>
      </c>
      <c r="T55" s="64"/>
    </row>
    <row r="56" spans="1:20">
      <c r="A56" s="332" t="s">
        <v>109</v>
      </c>
      <c r="B56" s="157">
        <f>TOMEK!B52+RCKIK!B32+'1'!N63+BARTEK!B52+PIOTR!B52+KRZYSZTOF!B52+'0'!N63</f>
        <v>24</v>
      </c>
      <c r="C56" s="157">
        <f>TOMEK!C52+RCKIK!C32+'1'!O63+BARTEK!C52+PIOTR!C52+KRZYSZTOF!C52+'0'!O63</f>
        <v>14</v>
      </c>
      <c r="D56" s="157">
        <f>TOMEK!D52+RCKIK!D32+'1'!P63+BARTEK!D52+PIOTR!D52+KRZYSZTOF!D52+'0'!P63</f>
        <v>23</v>
      </c>
      <c r="E56" s="335">
        <f t="shared" si="22"/>
        <v>61</v>
      </c>
      <c r="F56" s="157">
        <f>TOMEK!F52+RCKIK!F32+'1'!J63+BARTEK!F52+PIOTR!F52+KRZYSZTOF!F52+'0'!J63</f>
        <v>19</v>
      </c>
      <c r="G56" s="157">
        <f>TOMEK!G52+RCKIK!G32+'1'!K63+BARTEK!G52+PIOTR!G52+KRZYSZTOF!G52+'0'!K63</f>
        <v>19</v>
      </c>
      <c r="H56" s="157">
        <f>TOMEK!H52+RCKIK!H32+'1'!L63+BARTEK!H52+PIOTR!H52+KRZYSZTOF!H52+'0'!L63</f>
        <v>12</v>
      </c>
      <c r="I56" s="335">
        <f t="shared" si="23"/>
        <v>50</v>
      </c>
      <c r="J56" s="157">
        <f>TOMEK!J52+RCKIK!J32+'1'!F63+BARTEK!J52+PIOTR!J52+KRZYSZTOF!J52+'0'!F63</f>
        <v>7</v>
      </c>
      <c r="K56" s="157">
        <f>TOMEK!K52+RCKIK!K32+'1'!G63+BARTEK!K52+PIOTR!K52+KRZYSZTOF!K52+'0'!G63</f>
        <v>18</v>
      </c>
      <c r="L56" s="157">
        <f>TOMEK!L52+RCKIK!L32+'1'!H63+BARTEK!L52+PIOTR!L52+KRZYSZTOF!L52+'0'!H63</f>
        <v>16</v>
      </c>
      <c r="M56" s="335">
        <f t="shared" si="24"/>
        <v>41</v>
      </c>
      <c r="N56" s="157">
        <f>TOMEK!N52+RCKIK!N32+'1'!B63+BARTEK!N52+PIOTR!N52+KRZYSZTOF!N52+'0'!B63</f>
        <v>15</v>
      </c>
      <c r="O56" s="157">
        <f>TOMEK!O52+RCKIK!O32+'1'!C63+BARTEK!O52+PIOTR!O52+KRZYSZTOF!O52+'0'!C63</f>
        <v>17</v>
      </c>
      <c r="P56" s="157">
        <f>TOMEK!P52+RCKIK!P32+'1'!D63+BARTEK!P52+PIOTR!P52+KRZYSZTOF!P52+'0'!D63</f>
        <v>19</v>
      </c>
      <c r="Q56" s="335">
        <f t="shared" si="25"/>
        <v>51</v>
      </c>
      <c r="R56" s="335">
        <f>Q56+M56+I56+E56</f>
        <v>203</v>
      </c>
      <c r="S56" s="368">
        <f>R56/(R56+R57)</f>
        <v>0.43008474576271188</v>
      </c>
      <c r="T56" s="64"/>
    </row>
    <row r="57" spans="1:20">
      <c r="A57" s="332" t="s">
        <v>110</v>
      </c>
      <c r="B57" s="157">
        <f>TOMEK!B53+RCKIK!B33+'1'!N64+BARTEK!B53+PIOTR!B53+KRZYSZTOF!B53+'0'!N64</f>
        <v>39</v>
      </c>
      <c r="C57" s="157">
        <f>TOMEK!C53+RCKIK!C33+'1'!O64+BARTEK!C53+PIOTR!C53+KRZYSZTOF!C53+'0'!O64</f>
        <v>27</v>
      </c>
      <c r="D57" s="157">
        <f>TOMEK!D53+RCKIK!D33+'1'!P64+BARTEK!D53+PIOTR!D53+KRZYSZTOF!D53+'0'!P64</f>
        <v>20</v>
      </c>
      <c r="E57" s="335">
        <f t="shared" si="22"/>
        <v>86</v>
      </c>
      <c r="F57" s="157">
        <f>TOMEK!F53+RCKIK!F33+'1'!J64+BARTEK!F53+PIOTR!F53+KRZYSZTOF!F53+'0'!J64</f>
        <v>27</v>
      </c>
      <c r="G57" s="157">
        <f>TOMEK!G53+RCKIK!G33+'1'!K64+BARTEK!G53+PIOTR!G53+KRZYSZTOF!G53+'0'!K64</f>
        <v>24</v>
      </c>
      <c r="H57" s="157">
        <f>TOMEK!H53+RCKIK!H33+'1'!L64+BARTEK!H53+PIOTR!H53+KRZYSZTOF!H53+'0'!L64</f>
        <v>34</v>
      </c>
      <c r="I57" s="335">
        <f t="shared" si="23"/>
        <v>85</v>
      </c>
      <c r="J57" s="157">
        <f>TOMEK!J53+RCKIK!J33+'1'!F64+BARTEK!J53+PIOTR!J53+KRZYSZTOF!J53+'0'!F64</f>
        <v>17</v>
      </c>
      <c r="K57" s="157">
        <f>TOMEK!K53+RCKIK!K33+'1'!G64+BARTEK!K53+PIOTR!K53+KRZYSZTOF!K53+'0'!G64</f>
        <v>14</v>
      </c>
      <c r="L57" s="157">
        <f>TOMEK!L53+RCKIK!L33+'1'!H64+BARTEK!L53+PIOTR!L53+KRZYSZTOF!L53+'0'!H64</f>
        <v>17</v>
      </c>
      <c r="M57" s="335">
        <f t="shared" si="24"/>
        <v>48</v>
      </c>
      <c r="N57" s="157">
        <f>TOMEK!N53+RCKIK!N33+'1'!B64+BARTEK!N53+PIOTR!N53+KRZYSZTOF!N53+'0'!B64</f>
        <v>17</v>
      </c>
      <c r="O57" s="157">
        <f>TOMEK!O53+RCKIK!O33+'1'!C64+BARTEK!O53+PIOTR!O53+KRZYSZTOF!O53+'0'!C64</f>
        <v>16</v>
      </c>
      <c r="P57" s="157">
        <f>TOMEK!P53+RCKIK!P33+'1'!D64+BARTEK!P53+PIOTR!P53+KRZYSZTOF!P53+'0'!D64</f>
        <v>17</v>
      </c>
      <c r="Q57" s="335">
        <f t="shared" si="25"/>
        <v>50</v>
      </c>
      <c r="R57" s="335">
        <f>Q57+M57+I57+E57</f>
        <v>269</v>
      </c>
      <c r="S57" s="368">
        <f>R57/(R57+R56)</f>
        <v>0.56991525423728817</v>
      </c>
      <c r="T57" s="64"/>
    </row>
    <row r="58" spans="1:20" ht="13.8" thickBot="1">
      <c r="A58" s="333" t="s">
        <v>111</v>
      </c>
      <c r="B58" s="157">
        <f>TOMEK!B54+RCKIK!B34+'1'!N65+BARTEK!B54+PIOTR!B54+KRZYSZTOF!B54+'0'!N65</f>
        <v>4</v>
      </c>
      <c r="C58" s="157">
        <f>TOMEK!C54+RCKIK!C34+'1'!O65+BARTEK!C54+PIOTR!C54+KRZYSZTOF!C54+'0'!O65</f>
        <v>4</v>
      </c>
      <c r="D58" s="157">
        <f>TOMEK!D54+RCKIK!D34+'1'!P65+BARTEK!D54+PIOTR!D54+KRZYSZTOF!D54+'0'!P65</f>
        <v>4</v>
      </c>
      <c r="E58" s="199"/>
      <c r="F58" s="157">
        <f>TOMEK!F54+RCKIK!F34+'1'!J65+BARTEK!F54+PIOTR!F54+KRZYSZTOF!F54+'0'!J65</f>
        <v>3</v>
      </c>
      <c r="G58" s="157">
        <f>TOMEK!G54+RCKIK!G34+'1'!K65+BARTEK!G54+PIOTR!G54+KRZYSZTOF!G54+'0'!K65</f>
        <v>2</v>
      </c>
      <c r="H58" s="157">
        <f>TOMEK!H54+RCKIK!H34+'1'!L65+BARTEK!H54+PIOTR!H54+KRZYSZTOF!H54+'0'!L65</f>
        <v>1</v>
      </c>
      <c r="I58" s="199"/>
      <c r="J58" s="157">
        <f>TOMEK!J54+RCKIK!J34+'1'!F65+BARTEK!J54+PIOTR!J54+KRZYSZTOF!J54+'0'!F65</f>
        <v>1</v>
      </c>
      <c r="K58" s="157">
        <f>TOMEK!K54+RCKIK!K34+'1'!G65+BARTEK!K54+PIOTR!K54+KRZYSZTOF!K54+'0'!G65</f>
        <v>1</v>
      </c>
      <c r="L58" s="157">
        <f>TOMEK!L54+RCKIK!L34+'1'!H65+BARTEK!L54+PIOTR!L54+KRZYSZTOF!L54+'0'!H65</f>
        <v>1</v>
      </c>
      <c r="M58" s="199"/>
      <c r="N58" s="157">
        <f>TOMEK!N54+RCKIK!N34+'1'!B65+BARTEK!N54+PIOTR!N54+KRZYSZTOF!N54+'0'!B65</f>
        <v>1</v>
      </c>
      <c r="O58" s="157">
        <f>TOMEK!O54+RCKIK!O34+'1'!C65+BARTEK!O54+PIOTR!O54+KRZYSZTOF!O54+'0'!C65</f>
        <v>1</v>
      </c>
      <c r="P58" s="157">
        <f>TOMEK!P54+RCKIK!P34+'1'!D65+BARTEK!P54+PIOTR!P54+KRZYSZTOF!P54+'0'!D65</f>
        <v>1</v>
      </c>
      <c r="Q58" s="199"/>
      <c r="R58" s="199"/>
      <c r="T58" s="64"/>
    </row>
    <row r="59" spans="1:20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zoomScaleNormal="100" workbookViewId="0">
      <pane xSplit="1" topLeftCell="G1" activePane="topRight" state="frozen"/>
      <selection pane="topRight" activeCell="P16" sqref="P16"/>
    </sheetView>
  </sheetViews>
  <sheetFormatPr defaultRowHeight="13.2"/>
  <cols>
    <col min="1" max="1" width="36" customWidth="1"/>
    <col min="2" max="2" width="11" style="419" customWidth="1"/>
    <col min="3" max="3" width="11.44140625" customWidth="1"/>
    <col min="4" max="4" width="11.33203125" style="419" bestFit="1" customWidth="1"/>
    <col min="5" max="5" width="11.5546875" customWidth="1"/>
    <col min="6" max="7" width="11.33203125" style="419" bestFit="1" customWidth="1"/>
    <col min="8" max="8" width="11.44140625" style="419" bestFit="1" customWidth="1"/>
    <col min="9" max="9" width="12.21875" customWidth="1"/>
    <col min="10" max="12" width="11.44140625" style="419" bestFit="1" customWidth="1"/>
    <col min="13" max="13" width="11.109375" bestFit="1" customWidth="1"/>
    <col min="14" max="15" width="11.44140625" style="520" bestFit="1" customWidth="1"/>
    <col min="16" max="16" width="12.109375" style="419" customWidth="1"/>
    <col min="17" max="17" width="11.109375" bestFit="1" customWidth="1"/>
    <col min="18" max="18" width="12.88671875" bestFit="1" customWidth="1"/>
    <col min="19" max="19" width="13.33203125" bestFit="1" customWidth="1"/>
  </cols>
  <sheetData>
    <row r="1" spans="1:19">
      <c r="A1" s="271"/>
      <c r="B1" s="741" t="s">
        <v>212</v>
      </c>
      <c r="C1" s="742"/>
      <c r="D1" s="742"/>
      <c r="E1" s="742"/>
      <c r="F1" s="742"/>
      <c r="G1" s="742"/>
      <c r="H1" s="742"/>
      <c r="I1" s="742"/>
      <c r="J1" s="742"/>
      <c r="K1" s="742"/>
      <c r="L1" s="742"/>
      <c r="M1" s="742"/>
      <c r="N1" s="742"/>
      <c r="O1" s="742"/>
      <c r="P1" s="742"/>
      <c r="Q1" s="742"/>
      <c r="R1" s="743"/>
    </row>
    <row r="2" spans="1:19" ht="13.8" thickBot="1">
      <c r="A2" s="272" t="s">
        <v>0</v>
      </c>
      <c r="B2" s="411" t="s">
        <v>1</v>
      </c>
      <c r="C2" s="273" t="s">
        <v>2</v>
      </c>
      <c r="D2" s="411" t="s">
        <v>3</v>
      </c>
      <c r="E2" s="273" t="s">
        <v>135</v>
      </c>
      <c r="F2" s="411" t="s">
        <v>4</v>
      </c>
      <c r="G2" s="411" t="s">
        <v>5</v>
      </c>
      <c r="H2" s="411" t="s">
        <v>6</v>
      </c>
      <c r="I2" s="273" t="s">
        <v>228</v>
      </c>
      <c r="J2" s="411" t="s">
        <v>7</v>
      </c>
      <c r="K2" s="411" t="s">
        <v>8</v>
      </c>
      <c r="L2" s="411" t="s">
        <v>9</v>
      </c>
      <c r="M2" s="320"/>
      <c r="N2" s="519" t="s">
        <v>10</v>
      </c>
      <c r="O2" s="519" t="s">
        <v>11</v>
      </c>
      <c r="P2" s="411" t="s">
        <v>12</v>
      </c>
      <c r="Q2" s="273"/>
      <c r="R2" s="273" t="s">
        <v>13</v>
      </c>
    </row>
    <row r="3" spans="1:19">
      <c r="A3" s="274" t="s">
        <v>210</v>
      </c>
      <c r="B3" s="412">
        <f>DH!B3</f>
        <v>238812.96280000004</v>
      </c>
      <c r="C3" s="275">
        <f>DH!C3</f>
        <v>236054.89290000001</v>
      </c>
      <c r="D3" s="412">
        <f>DH!D3</f>
        <v>310381.30080000003</v>
      </c>
      <c r="E3" s="275">
        <f>DH!E3</f>
        <v>785249.15650000004</v>
      </c>
      <c r="F3" s="412">
        <f>DH!F3</f>
        <v>269725.26189999998</v>
      </c>
      <c r="G3" s="412">
        <f>DH!G3</f>
        <v>258627.64840000001</v>
      </c>
      <c r="H3" s="412">
        <f>DH!H3</f>
        <v>273225.81559999997</v>
      </c>
      <c r="I3" s="275">
        <f>DH!I3</f>
        <v>801578.72589999996</v>
      </c>
      <c r="J3" s="412">
        <f>DH!J3</f>
        <v>274412.58620000002</v>
      </c>
      <c r="K3" s="412">
        <f>DH!K3</f>
        <v>251738.51490000001</v>
      </c>
      <c r="L3" s="412">
        <f>DH!L3</f>
        <v>250442.74310000002</v>
      </c>
      <c r="M3" s="275">
        <f>DH!M3</f>
        <v>776593.84420000017</v>
      </c>
      <c r="N3" s="526">
        <f>DH!N3</f>
        <v>258681.26309999998</v>
      </c>
      <c r="O3" s="526">
        <f>DH!O3</f>
        <v>284693.27740000002</v>
      </c>
      <c r="P3" s="526">
        <f>DH!P3</f>
        <v>346932.84580000001</v>
      </c>
      <c r="Q3" s="275">
        <f>DH!Q3</f>
        <v>890307.38630000001</v>
      </c>
      <c r="R3" s="275">
        <f>DH!R3</f>
        <v>3253729.1129000001</v>
      </c>
      <c r="S3" s="682">
        <f>R6-R3</f>
        <v>326270.88710000087</v>
      </c>
    </row>
    <row r="4" spans="1:19">
      <c r="A4" s="276" t="s">
        <v>211</v>
      </c>
      <c r="B4" s="448">
        <f>B3</f>
        <v>238812.96280000004</v>
      </c>
      <c r="C4" s="277">
        <f>C3+B4</f>
        <v>474867.85570000007</v>
      </c>
      <c r="D4" s="448">
        <f>D3+C4</f>
        <v>785249.15650000004</v>
      </c>
      <c r="E4" s="349"/>
      <c r="F4" s="448">
        <f>F3+D4</f>
        <v>1054974.4184000001</v>
      </c>
      <c r="G4" s="448">
        <f>G3+F4</f>
        <v>1313602.0668000001</v>
      </c>
      <c r="H4" s="448">
        <f>H3+G4</f>
        <v>1586827.8824</v>
      </c>
      <c r="I4" s="638">
        <f>I3+E3</f>
        <v>1586827.8824</v>
      </c>
      <c r="J4" s="448">
        <f>J3+H4</f>
        <v>1861240.4686</v>
      </c>
      <c r="K4" s="448">
        <f>K3+J4</f>
        <v>2112978.9835000001</v>
      </c>
      <c r="L4" s="448">
        <f>L3+K4</f>
        <v>2363421.7266000002</v>
      </c>
      <c r="M4" s="277"/>
      <c r="N4" s="533">
        <f>N3+L4</f>
        <v>2622102.9897000003</v>
      </c>
      <c r="O4" s="533">
        <f>O3+N4</f>
        <v>2906796.2671000003</v>
      </c>
      <c r="P4" s="533">
        <f>P3+O4</f>
        <v>3253729.1129000001</v>
      </c>
      <c r="Q4" s="637">
        <f>Q3+M3</f>
        <v>1666901.2305000001</v>
      </c>
      <c r="R4" s="534"/>
    </row>
    <row r="5" spans="1:19" ht="13.8" thickBot="1">
      <c r="A5" s="278" t="s">
        <v>213</v>
      </c>
      <c r="B5" s="413">
        <f>B9/B4-1</f>
        <v>3.6625174351716527E-2</v>
      </c>
      <c r="C5" s="321">
        <f>C9/C4-1</f>
        <v>0.13248477770149458</v>
      </c>
      <c r="D5" s="413">
        <f>D9/D4-1</f>
        <v>0.1652123663249041</v>
      </c>
      <c r="E5" s="321">
        <f>E8/E3-1</f>
        <v>0.1652123663249041</v>
      </c>
      <c r="F5" s="413">
        <f>F9/F4-1</f>
        <v>0.17898416218127311</v>
      </c>
      <c r="G5" s="413">
        <f>G9/G4-1</f>
        <v>0.18190260227139277</v>
      </c>
      <c r="H5" s="413">
        <f>H9/H4-1</f>
        <v>0.17477063093985357</v>
      </c>
      <c r="I5" s="321">
        <f>I8/I3-1</f>
        <v>0.18413417688235079</v>
      </c>
      <c r="J5" s="413">
        <f>J9/J4-1</f>
        <v>0.17916758684644019</v>
      </c>
      <c r="K5" s="413">
        <f>K9/K4-1</f>
        <v>0.17658301947800692</v>
      </c>
      <c r="L5" s="413">
        <f>L9/L4-1</f>
        <v>0.18589582145038741</v>
      </c>
      <c r="M5" s="321">
        <f>M8/M3-1</f>
        <v>0.20862811920290514</v>
      </c>
      <c r="N5" s="525">
        <f>N9/N4-1</f>
        <v>0.1987443391991337</v>
      </c>
      <c r="O5" s="525">
        <f>O9/O4-1</f>
        <v>0.19479633512977812</v>
      </c>
      <c r="P5" s="525">
        <f>P9/P4-1</f>
        <v>0.13454373486851923</v>
      </c>
      <c r="Q5" s="321">
        <f>Q8/Q3-1</f>
        <v>-1.7761912619548292E-3</v>
      </c>
      <c r="R5" s="358">
        <f>R6/R3-1</f>
        <v>0.10027598358032952</v>
      </c>
    </row>
    <row r="6" spans="1:19" ht="13.8" thickBot="1">
      <c r="A6" s="279" t="s">
        <v>36</v>
      </c>
      <c r="B6" s="535">
        <f>DH!B6</f>
        <v>259200</v>
      </c>
      <c r="C6" s="322">
        <f>DH!C6</f>
        <v>288000</v>
      </c>
      <c r="D6" s="535">
        <f>DH!D6</f>
        <v>316800</v>
      </c>
      <c r="E6" s="322">
        <f>SUM(B6:D6)</f>
        <v>864000</v>
      </c>
      <c r="F6" s="535">
        <f>DH!F6</f>
        <v>301777.77777777775</v>
      </c>
      <c r="G6" s="535">
        <f>DH!G6</f>
        <v>301777.77777777775</v>
      </c>
      <c r="H6" s="535">
        <f>DH!H6</f>
        <v>301777.77777777775</v>
      </c>
      <c r="I6" s="322">
        <f>SUM(F6:H6)</f>
        <v>905333.33333333326</v>
      </c>
      <c r="J6" s="535">
        <f>DH!J6</f>
        <v>301777.77777777775</v>
      </c>
      <c r="K6" s="535">
        <f>DH!K6</f>
        <v>301777.77777777775</v>
      </c>
      <c r="L6" s="535">
        <f>DH!L6</f>
        <v>301777.77777777775</v>
      </c>
      <c r="M6" s="322">
        <f>SUM(J6:L6)</f>
        <v>905333.33333333326</v>
      </c>
      <c r="N6" s="536">
        <f>DH!N6</f>
        <v>301777.77777777775</v>
      </c>
      <c r="O6" s="536">
        <f>DH!O6</f>
        <v>301777.77777777775</v>
      </c>
      <c r="P6" s="535">
        <f>DH!P6</f>
        <v>301777.77777777775</v>
      </c>
      <c r="Q6" s="322">
        <f>SUM(N6:P6)</f>
        <v>905333.33333333326</v>
      </c>
      <c r="R6" s="537">
        <f>B6+C6+D6+F6+G6+H6+J6+K6+L6+N6+O6+P6</f>
        <v>3580000.0000000009</v>
      </c>
    </row>
    <row r="7" spans="1:19">
      <c r="A7" s="280" t="s">
        <v>35</v>
      </c>
      <c r="B7" s="538">
        <f>B6</f>
        <v>259200</v>
      </c>
      <c r="C7" s="323">
        <f>C6+B7</f>
        <v>547200</v>
      </c>
      <c r="D7" s="412">
        <f>DH!D7</f>
        <v>864000</v>
      </c>
      <c r="E7" s="350"/>
      <c r="F7" s="538">
        <f>F6+D7</f>
        <v>1165777.7777777778</v>
      </c>
      <c r="G7" s="538">
        <f>G6+F7</f>
        <v>1467555.5555555555</v>
      </c>
      <c r="H7" s="538">
        <f>H6+G7</f>
        <v>1769333.3333333333</v>
      </c>
      <c r="I7" s="637">
        <f>I6+E6</f>
        <v>1769333.3333333333</v>
      </c>
      <c r="J7" s="538">
        <f>J6+H7</f>
        <v>2071111.111111111</v>
      </c>
      <c r="K7" s="538">
        <f>K6+J7</f>
        <v>2372888.888888889</v>
      </c>
      <c r="L7" s="538">
        <f>L6+K7</f>
        <v>2674666.666666667</v>
      </c>
      <c r="M7" s="323"/>
      <c r="N7" s="662">
        <f>N6+L7</f>
        <v>2976444.444444445</v>
      </c>
      <c r="O7" s="662">
        <f>O6+N7</f>
        <v>3278222.2222222229</v>
      </c>
      <c r="P7" s="538">
        <f>P6+O7</f>
        <v>3580000.0000000009</v>
      </c>
      <c r="Q7" s="637">
        <f>Q6+M6</f>
        <v>1810666.6666666665</v>
      </c>
      <c r="R7" s="539"/>
    </row>
    <row r="8" spans="1:19">
      <c r="A8" s="528" t="s">
        <v>37</v>
      </c>
      <c r="B8" s="540">
        <f>DH!B8</f>
        <v>247559.52920000002</v>
      </c>
      <c r="C8" s="529">
        <f>DH!C8</f>
        <v>290221.08880000003</v>
      </c>
      <c r="D8" s="540">
        <f>DH!D8</f>
        <v>377201.40979999996</v>
      </c>
      <c r="E8" s="529">
        <f>SUM(B8:D8)</f>
        <v>914982.02780000004</v>
      </c>
      <c r="F8" s="540">
        <f>DH!F8</f>
        <v>328816.103</v>
      </c>
      <c r="G8" s="540">
        <f>DH!G8</f>
        <v>308751.57029999996</v>
      </c>
      <c r="H8" s="540">
        <f>DH!H8</f>
        <v>311609.09149999998</v>
      </c>
      <c r="I8" s="529">
        <f>SUM(F8:H8)</f>
        <v>949176.76479999989</v>
      </c>
      <c r="J8" s="540">
        <f>DH!J8</f>
        <v>330555.63929999998</v>
      </c>
      <c r="K8" s="540">
        <f>DH!K8</f>
        <v>291380.76060000004</v>
      </c>
      <c r="L8" s="540">
        <f>DH!L8</f>
        <v>316676.7574</v>
      </c>
      <c r="M8" s="529">
        <f>SUM(J8:L8)</f>
        <v>938613.15730000008</v>
      </c>
      <c r="N8" s="540">
        <f>DH!N8</f>
        <v>340459.16580000002</v>
      </c>
      <c r="O8" s="540">
        <f>DH!O8</f>
        <v>329798.41119999997</v>
      </c>
      <c r="P8" s="540">
        <f>DH!P8</f>
        <v>218468.45309999998</v>
      </c>
      <c r="Q8" s="529">
        <f>SUM(N8:P8)</f>
        <v>888726.03010000009</v>
      </c>
      <c r="R8" s="541">
        <f>B8+C8+D8+F8+G8+H8+J8+K8+L8+N8+O8+P8</f>
        <v>3691497.98</v>
      </c>
      <c r="S8" s="652">
        <f>R8/R6</f>
        <v>1.0311446871508376</v>
      </c>
    </row>
    <row r="9" spans="1:19">
      <c r="A9" s="280" t="s">
        <v>38</v>
      </c>
      <c r="B9" s="542">
        <f>B8</f>
        <v>247559.52920000002</v>
      </c>
      <c r="C9" s="355">
        <f>C8+B9</f>
        <v>537780.61800000002</v>
      </c>
      <c r="D9" s="542">
        <f>D8+C9</f>
        <v>914982.02780000004</v>
      </c>
      <c r="E9" s="323"/>
      <c r="F9" s="542">
        <f>F8+D9</f>
        <v>1243798.1307999999</v>
      </c>
      <c r="G9" s="542">
        <f>G8+F9</f>
        <v>1552549.7010999999</v>
      </c>
      <c r="H9" s="542">
        <f>H8+G9</f>
        <v>1864158.7925999998</v>
      </c>
      <c r="I9" s="637">
        <f>I8+E8</f>
        <v>1864158.7925999998</v>
      </c>
      <c r="J9" s="542">
        <f>J8+H9</f>
        <v>2194714.4318999997</v>
      </c>
      <c r="K9" s="542">
        <f>K8+J9</f>
        <v>2486095.1924999999</v>
      </c>
      <c r="L9" s="542">
        <f>L8+K9</f>
        <v>2802771.9498999999</v>
      </c>
      <c r="M9" s="355">
        <f>SUM(M8,I8,E8)/3</f>
        <v>934257.31663333345</v>
      </c>
      <c r="N9" s="543">
        <f>N8+L9</f>
        <v>3143231.1157</v>
      </c>
      <c r="O9" s="543">
        <f>O8+N9</f>
        <v>3473029.5268999999</v>
      </c>
      <c r="P9" s="543">
        <f>P8+O9</f>
        <v>3691497.98</v>
      </c>
      <c r="Q9" s="355">
        <f>P7*0.95</f>
        <v>3401000.0000000009</v>
      </c>
      <c r="R9" s="544">
        <f>R8*1.1</f>
        <v>4060647.7780000004</v>
      </c>
    </row>
    <row r="10" spans="1:19">
      <c r="A10" s="280" t="s">
        <v>39</v>
      </c>
      <c r="B10" s="545">
        <f>B8/B6</f>
        <v>0.95509077623456795</v>
      </c>
      <c r="C10" s="351">
        <f>C8/C6</f>
        <v>1.0077121138888889</v>
      </c>
      <c r="D10" s="545">
        <f>D8/D6</f>
        <v>1.1906610157828281</v>
      </c>
      <c r="E10" s="351"/>
      <c r="F10" s="545">
        <f>F8/F6</f>
        <v>1.0895968067010311</v>
      </c>
      <c r="G10" s="545">
        <f>G8/G6</f>
        <v>1.023109032658321</v>
      </c>
      <c r="H10" s="545">
        <f>H8/H6</f>
        <v>1.0325779909793815</v>
      </c>
      <c r="I10" s="546"/>
      <c r="J10" s="545">
        <f>J8/J6</f>
        <v>1.09536110224595</v>
      </c>
      <c r="K10" s="545">
        <f>K8/K6</f>
        <v>0.96554743939617105</v>
      </c>
      <c r="L10" s="545">
        <f>L8/L6</f>
        <v>1.0493706983063329</v>
      </c>
      <c r="M10" s="351"/>
      <c r="N10" s="547">
        <f>N8/N6</f>
        <v>1.1281783844624449</v>
      </c>
      <c r="O10" s="547">
        <f>O8/O6</f>
        <v>1.0928518780559646</v>
      </c>
      <c r="P10" s="547">
        <f>P8/P6</f>
        <v>0.72393817301178209</v>
      </c>
      <c r="Q10" s="548">
        <f>Q9-P9</f>
        <v>-290497.97999999905</v>
      </c>
      <c r="R10" s="544"/>
    </row>
    <row r="11" spans="1:19">
      <c r="A11" s="280" t="s">
        <v>48</v>
      </c>
      <c r="B11" s="549">
        <f>B9-B7</f>
        <v>-11640.470799999981</v>
      </c>
      <c r="C11" s="352">
        <f>C9-C7</f>
        <v>-9419.3819999999832</v>
      </c>
      <c r="D11" s="549">
        <f>D9-D7</f>
        <v>50982.02780000004</v>
      </c>
      <c r="E11" s="351"/>
      <c r="F11" s="549">
        <f>F9-F7</f>
        <v>78020.353022222174</v>
      </c>
      <c r="G11" s="549">
        <f>G9-G7</f>
        <v>84994.145544444444</v>
      </c>
      <c r="H11" s="549">
        <f>H9-H7</f>
        <v>94825.459266666556</v>
      </c>
      <c r="I11" s="352"/>
      <c r="J11" s="549">
        <f>J9-J7</f>
        <v>123603.32078888873</v>
      </c>
      <c r="K11" s="549">
        <f>K9-K7</f>
        <v>113206.3036111109</v>
      </c>
      <c r="L11" s="549">
        <f>L9-L7</f>
        <v>128105.28323333291</v>
      </c>
      <c r="M11" s="352"/>
      <c r="N11" s="550">
        <f>N9-N7</f>
        <v>166786.671255555</v>
      </c>
      <c r="O11" s="550">
        <f>O9-O7</f>
        <v>194807.30467777699</v>
      </c>
      <c r="P11" s="550">
        <f>P9-P7</f>
        <v>111497.97999999905</v>
      </c>
      <c r="Q11" s="352">
        <f>Q10+P8</f>
        <v>-72029.526899999066</v>
      </c>
      <c r="R11" s="551"/>
    </row>
    <row r="12" spans="1:19" ht="13.8" thickBot="1">
      <c r="A12" s="281" t="s">
        <v>40</v>
      </c>
      <c r="B12" s="414">
        <f>B9/B7</f>
        <v>0.95509077623456795</v>
      </c>
      <c r="C12" s="282">
        <f>C9/C7</f>
        <v>0.98278621710526315</v>
      </c>
      <c r="D12" s="414">
        <f>D9/D7</f>
        <v>1.0590069766203705</v>
      </c>
      <c r="E12" s="282"/>
      <c r="F12" s="414">
        <f>F9/F7</f>
        <v>1.0669255792222645</v>
      </c>
      <c r="G12" s="414">
        <f>G9/G7</f>
        <v>1.0579154535054514</v>
      </c>
      <c r="H12" s="414">
        <f>H9/H7</f>
        <v>1.0535938918236623</v>
      </c>
      <c r="I12" s="282"/>
      <c r="J12" s="414">
        <f>J9/J7</f>
        <v>1.0596797149731758</v>
      </c>
      <c r="K12" s="414">
        <f>K9/K7</f>
        <v>1.0477082193528751</v>
      </c>
      <c r="L12" s="414">
        <f>L9/L7</f>
        <v>1.0478957938310067</v>
      </c>
      <c r="M12" s="282"/>
      <c r="N12" s="524">
        <f>N9/N7</f>
        <v>1.0560355398424666</v>
      </c>
      <c r="O12" s="524">
        <f>O9/O7</f>
        <v>1.0594246794366864</v>
      </c>
      <c r="P12" s="524">
        <f>P9/P7</f>
        <v>1.0311446871508376</v>
      </c>
      <c r="Q12" s="282"/>
      <c r="R12" s="552"/>
    </row>
    <row r="13" spans="1:19">
      <c r="A13" s="283" t="s">
        <v>141</v>
      </c>
      <c r="B13" s="553">
        <f>'Target 2022'!C8</f>
        <v>259200</v>
      </c>
      <c r="C13" s="554">
        <f>'Target 2022'!D8</f>
        <v>288000</v>
      </c>
      <c r="D13" s="555">
        <f>'Target 2022'!E8</f>
        <v>316800.00000000006</v>
      </c>
      <c r="E13" s="353">
        <f>SUM(B13:D13)</f>
        <v>864000</v>
      </c>
      <c r="F13" s="553">
        <f>'Target 2022'!F8</f>
        <v>271800</v>
      </c>
      <c r="G13" s="553">
        <f>'Target 2022'!G8</f>
        <v>302000</v>
      </c>
      <c r="H13" s="553">
        <f>'Target 2022'!H8</f>
        <v>332200</v>
      </c>
      <c r="I13" s="353">
        <f>SUM(F13:H13)</f>
        <v>906000</v>
      </c>
      <c r="J13" s="553">
        <f>'Target 2022'!I8</f>
        <v>271800</v>
      </c>
      <c r="K13" s="553">
        <f>'Target 2022'!J8</f>
        <v>302000</v>
      </c>
      <c r="L13" s="553">
        <f>'Target 2022'!K8</f>
        <v>332200</v>
      </c>
      <c r="M13" s="353">
        <f>SUM(J13:L13)</f>
        <v>906000</v>
      </c>
      <c r="N13" s="556">
        <f>'Target 2022'!L8</f>
        <v>287216.66666666663</v>
      </c>
      <c r="O13" s="556">
        <f>'Target 2022'!M8</f>
        <v>317450</v>
      </c>
      <c r="P13" s="556">
        <f>'Target 2022'!N8</f>
        <v>302333.33333333331</v>
      </c>
      <c r="Q13" s="353">
        <f>SUM(N13:P13)</f>
        <v>907000</v>
      </c>
      <c r="R13" s="557"/>
    </row>
    <row r="14" spans="1:19" ht="13.8" thickBot="1">
      <c r="A14" s="284" t="s">
        <v>142</v>
      </c>
      <c r="B14" s="415">
        <f>B8/B13</f>
        <v>0.95509077623456795</v>
      </c>
      <c r="C14" s="285">
        <f>(B8+C8)/(B13+C13)</f>
        <v>0.98278621710526315</v>
      </c>
      <c r="D14" s="415">
        <f>(D8+C8+B8)/(B13+C13+D13)</f>
        <v>1.0590069766203705</v>
      </c>
      <c r="E14" s="663">
        <f>E8-E13</f>
        <v>50982.02780000004</v>
      </c>
      <c r="F14" s="415">
        <f>F8/F13</f>
        <v>1.2097722700515086</v>
      </c>
      <c r="G14" s="415">
        <f>(F8+G8)/(F13+G13)</f>
        <v>1.1111322295224815</v>
      </c>
      <c r="H14" s="415">
        <f>(H8+G8+F8)/(F13+G13+H13)</f>
        <v>1.0476564732891831</v>
      </c>
      <c r="I14" s="663">
        <f>I8-I13</f>
        <v>43176.764799999888</v>
      </c>
      <c r="J14" s="415">
        <f>J8/J13</f>
        <v>1.216172330022075</v>
      </c>
      <c r="K14" s="415">
        <f>(J8+K8)/(J13+K13)</f>
        <v>1.083890554025793</v>
      </c>
      <c r="L14" s="415">
        <f>(L8+K8+J8)/(J13+K13+L13)</f>
        <v>1.035996862362031</v>
      </c>
      <c r="M14" s="663">
        <f>M8-M13</f>
        <v>32613.157300000079</v>
      </c>
      <c r="N14" s="527">
        <f>N8/N13</f>
        <v>1.1853739887425292</v>
      </c>
      <c r="O14" s="527">
        <f>(N8+O8)/(N13+O13)</f>
        <v>1.1084744933847852</v>
      </c>
      <c r="P14" s="527">
        <f>(P8+O8+N8)/(N13+O13+P13)</f>
        <v>0.97985229338478508</v>
      </c>
      <c r="Q14" s="706">
        <f>Q8-Q13</f>
        <v>-18273.969899999909</v>
      </c>
      <c r="R14" s="558"/>
    </row>
    <row r="15" spans="1:19">
      <c r="A15" s="286" t="s">
        <v>158</v>
      </c>
      <c r="B15" s="416">
        <f>B9/('Target 2022'!$D$26/12*REALIZACJE!B18)</f>
        <v>0.87348260817406631</v>
      </c>
      <c r="C15" s="287">
        <f>C9/('Target 2022'!$D$26/12*REALIZACJE!C18)</f>
        <v>0.9487455771831812</v>
      </c>
      <c r="D15" s="416">
        <f>D9/('Target 2022'!$D$26/12*REALIZACJE!D18)</f>
        <v>1.0761329347838868</v>
      </c>
      <c r="E15" s="287"/>
      <c r="F15" s="416">
        <f>F9/('Target 2022'!$D$26/12*REALIZACJE!F18)</f>
        <v>1.0971462488679797</v>
      </c>
      <c r="G15" s="416">
        <f>G9/('Target 2022'!$D$26/12*REALIZACJE!G18)</f>
        <v>1.0955952021875917</v>
      </c>
      <c r="H15" s="416">
        <f>H9/('Target 2022'!$D$26/12*REALIZACJE!H18)</f>
        <v>1.096241571655395</v>
      </c>
      <c r="I15" s="287"/>
      <c r="J15" s="416">
        <f>J9/('Target 2022'!$D$26/12*REALIZACJE!J18)</f>
        <v>1.1062533365312719</v>
      </c>
      <c r="K15" s="416">
        <f>K9/('Target 2022'!$D$26/12*REALIZACJE!K18)</f>
        <v>1.0964842072184648</v>
      </c>
      <c r="L15" s="416">
        <f>L9/('Target 2022'!$D$26/12*REALIZACJE!L18)</f>
        <v>1.0988030774870132</v>
      </c>
      <c r="M15" s="287"/>
      <c r="N15" s="521">
        <f>N9/('Target 2022'!$D$26/12*REALIZACJE!N18)</f>
        <v>1.1090494968656275</v>
      </c>
      <c r="O15" s="521">
        <f>O9/('Target 2022'!$D$26/12*REALIZACJE!O18)</f>
        <v>1.1140133736815372</v>
      </c>
      <c r="P15" s="521">
        <f>P9/('Target 2022'!$D$26/12*REALIZACJE!P18)</f>
        <v>1.0854154601587764</v>
      </c>
      <c r="Q15" s="559"/>
      <c r="R15" s="560"/>
    </row>
    <row r="16" spans="1:19">
      <c r="A16" s="288" t="s">
        <v>160</v>
      </c>
      <c r="B16" s="417">
        <f>B9/('Target 2022'!$F$26/12*REALIZACJE!B18)</f>
        <v>0.82980847776536293</v>
      </c>
      <c r="C16" s="417">
        <f>C9/('Target 2022'!$F$26/12*REALIZACJE!C18)</f>
        <v>0.90130829832402204</v>
      </c>
      <c r="D16" s="417">
        <f>D9/('Target 2022'!$F$26/12*REALIZACJE!D18)</f>
        <v>1.0223262880446926</v>
      </c>
      <c r="E16" s="342"/>
      <c r="F16" s="417">
        <f>F9/('Target 2022'!$F$26/12*REALIZACJE!F18)</f>
        <v>1.0422889364245806</v>
      </c>
      <c r="G16" s="417">
        <f>G9/('Target 2022'!$F$26/12*REALIZACJE!G18)</f>
        <v>1.0408154420782119</v>
      </c>
      <c r="H16" s="417">
        <f>H9/('Target 2022'!$F$26/12*REALIZACJE!H18)</f>
        <v>1.0414294930726253</v>
      </c>
      <c r="I16" s="561"/>
      <c r="J16" s="417">
        <f>J9/('Target 2022'!$F$26/12*REALIZACJE!J18)</f>
        <v>1.0509406697047083</v>
      </c>
      <c r="K16" s="417">
        <f>K9/('Target 2022'!$F$26/12*REALIZACJE!K18)</f>
        <v>1.0416599968575415</v>
      </c>
      <c r="L16" s="417">
        <f>L9/('Target 2022'!$F$26/12*REALIZACJE!L18)</f>
        <v>1.0438629236126626</v>
      </c>
      <c r="M16" s="342"/>
      <c r="N16" s="522">
        <f>N9/('Target 2022'!$F$26/12*REALIZACJE!N18)</f>
        <v>1.0535970220223461</v>
      </c>
      <c r="O16" s="522">
        <f>O9/('Target 2022'!$F$26/12*REALIZACJE!O18)</f>
        <v>1.0583127049974603</v>
      </c>
      <c r="P16" s="522">
        <f>P9/('Target 2022'!$F$26/12*REALIZACJE!P18)</f>
        <v>1.0311446871508376</v>
      </c>
      <c r="Q16" s="562"/>
      <c r="R16" s="563"/>
    </row>
    <row r="17" spans="1:19" ht="13.8" thickBot="1">
      <c r="A17" s="289" t="s">
        <v>159</v>
      </c>
      <c r="B17" s="418">
        <f>B9/('Target 2022'!$H$26/12*REALIZACJE!B18)</f>
        <v>0.79029378834796482</v>
      </c>
      <c r="C17" s="290">
        <f>C9/('Target 2022'!$H$26/12*REALIZACJE!C18)</f>
        <v>0.85838885554668787</v>
      </c>
      <c r="D17" s="418">
        <f>D9/('Target 2022'!$H$26/12*REALIZACJE!D18)</f>
        <v>0.97364408385208812</v>
      </c>
      <c r="E17" s="290"/>
      <c r="F17" s="418">
        <f>F9/('Target 2022'!$H$26/12*REALIZACJE!F18)</f>
        <v>0.99265612992817209</v>
      </c>
      <c r="G17" s="418">
        <f>G9/('Target 2022'!$H$26/12*REALIZACJE!G18)</f>
        <v>0.99125280197924959</v>
      </c>
      <c r="H17" s="418">
        <f>H9/('Target 2022'!$H$26/12*REALIZACJE!H18)</f>
        <v>0.99183761245011937</v>
      </c>
      <c r="I17" s="290"/>
      <c r="J17" s="418">
        <f>J9/('Target 2022'!$H$26/12*REALIZACJE!J18)</f>
        <v>1.0008958759092461</v>
      </c>
      <c r="K17" s="418">
        <f>K9/('Target 2022'!$H$26/12*REALIZACJE!K18)</f>
        <v>0.99205713986432542</v>
      </c>
      <c r="L17" s="418">
        <f>L9/('Target 2022'!$H$26/12*REALIZACJE!L18)</f>
        <v>0.99415516534539305</v>
      </c>
      <c r="M17" s="290"/>
      <c r="N17" s="523">
        <f>N9/('Target 2022'!$H$26/12*REALIZACJE!N18)</f>
        <v>1.0034257352593774</v>
      </c>
      <c r="O17" s="523">
        <f>O9/('Target 2022'!$H$26/12*REALIZACJE!O18)</f>
        <v>1.0079168619023433</v>
      </c>
      <c r="P17" s="523">
        <f>P9/('Target 2022'!$H$26/12*REALIZACJE!P18)</f>
        <v>0.98204255919127403</v>
      </c>
      <c r="Q17" s="290"/>
      <c r="R17" s="564"/>
    </row>
    <row r="18" spans="1:19" ht="13.8" thickBot="1">
      <c r="A18" s="244"/>
      <c r="B18" s="565">
        <v>1</v>
      </c>
      <c r="C18" s="354">
        <v>2</v>
      </c>
      <c r="D18" s="565">
        <v>3</v>
      </c>
      <c r="E18" s="354"/>
      <c r="F18" s="565">
        <v>4</v>
      </c>
      <c r="G18" s="565">
        <v>5</v>
      </c>
      <c r="H18" s="565">
        <v>6</v>
      </c>
      <c r="I18" s="354"/>
      <c r="J18" s="565">
        <v>7</v>
      </c>
      <c r="K18" s="565">
        <v>8</v>
      </c>
      <c r="L18" s="565">
        <v>9</v>
      </c>
      <c r="M18" s="354"/>
      <c r="N18" s="566">
        <v>10</v>
      </c>
      <c r="O18" s="566">
        <v>11</v>
      </c>
      <c r="P18" s="566">
        <v>12</v>
      </c>
      <c r="Q18" s="354"/>
      <c r="R18" s="567"/>
    </row>
    <row r="19" spans="1:19">
      <c r="A19" s="267" t="s">
        <v>214</v>
      </c>
      <c r="B19" s="568">
        <v>703250.41410000005</v>
      </c>
      <c r="C19" s="568">
        <v>769350.78130000003</v>
      </c>
      <c r="D19" s="568">
        <v>898341.46880000003</v>
      </c>
      <c r="E19" s="568">
        <v>2370942.6642</v>
      </c>
      <c r="F19" s="568">
        <v>763220.79689999996</v>
      </c>
      <c r="G19" s="568">
        <v>815724.28910000005</v>
      </c>
      <c r="H19" s="568">
        <v>849156.39069999999</v>
      </c>
      <c r="I19" s="568">
        <v>2428101.4767</v>
      </c>
      <c r="J19" s="568">
        <v>818261.7969999999</v>
      </c>
      <c r="K19" s="568">
        <v>847995.24219999998</v>
      </c>
      <c r="L19" s="568">
        <v>724519.67969999998</v>
      </c>
      <c r="M19" s="568">
        <v>2390776.7188999997</v>
      </c>
      <c r="N19" s="568">
        <v>805920.16410000005</v>
      </c>
      <c r="O19" s="568">
        <v>790809.80469999998</v>
      </c>
      <c r="P19" s="568">
        <v>999030.63290000008</v>
      </c>
      <c r="Q19" s="568">
        <v>2595760.6017</v>
      </c>
      <c r="R19" s="681">
        <f>SUM(Q19,M19,I19,E19)</f>
        <v>9785581.4615000002</v>
      </c>
    </row>
    <row r="20" spans="1:19">
      <c r="A20" s="266" t="s">
        <v>215</v>
      </c>
      <c r="B20" s="569">
        <v>703250.41410000005</v>
      </c>
      <c r="C20" s="569">
        <v>1472601.1954000001</v>
      </c>
      <c r="D20" s="569">
        <v>2370942.6642</v>
      </c>
      <c r="E20" s="569"/>
      <c r="F20" s="569">
        <v>3134163.4611</v>
      </c>
      <c r="G20" s="569">
        <v>3949887.7502000001</v>
      </c>
      <c r="H20" s="569">
        <v>4799044.1409</v>
      </c>
      <c r="I20" s="569"/>
      <c r="J20" s="569">
        <v>5617305.9379000003</v>
      </c>
      <c r="K20" s="569">
        <v>6465301.1801000005</v>
      </c>
      <c r="L20" s="569">
        <v>7189820.8598000007</v>
      </c>
      <c r="M20" s="569"/>
      <c r="N20" s="569">
        <v>7995741.0239000004</v>
      </c>
      <c r="O20" s="569">
        <v>8786550.8286000006</v>
      </c>
      <c r="P20" s="569">
        <v>9785581.4615000002</v>
      </c>
      <c r="Q20" s="569"/>
      <c r="R20" s="570"/>
    </row>
    <row r="21" spans="1:19" ht="13.8" thickBot="1">
      <c r="A21" s="278" t="s">
        <v>216</v>
      </c>
      <c r="B21" s="413">
        <f>B25/B20-1</f>
        <v>2.0242245172678475E-2</v>
      </c>
      <c r="C21" s="321">
        <f>C25/C20-1</f>
        <v>8.9224545253957954E-2</v>
      </c>
      <c r="D21" s="413">
        <f>D25/D20-1</f>
        <v>0.13189459547960647</v>
      </c>
      <c r="E21" s="321">
        <f>E24/E19-1</f>
        <v>0.13189459547960647</v>
      </c>
      <c r="F21" s="413">
        <f>F25/F20-1</f>
        <v>0.19569725555562845</v>
      </c>
      <c r="G21" s="413">
        <f>G25/G20-1</f>
        <v>0.2245052467010229</v>
      </c>
      <c r="H21" s="413">
        <f>H25/H20-1</f>
        <v>0.21397980057074806</v>
      </c>
      <c r="I21" s="321">
        <f>I24/I19-1</f>
        <v>0.29413267585942804</v>
      </c>
      <c r="J21" s="413">
        <f>J25/J20-1</f>
        <v>0.20693286081451312</v>
      </c>
      <c r="K21" s="413">
        <f>K25/K20-1</f>
        <v>0.18126666426727422</v>
      </c>
      <c r="L21" s="413">
        <f>L25/L20-1</f>
        <v>0.18470250701586166</v>
      </c>
      <c r="M21" s="321">
        <f>M24/M19-1</f>
        <v>0.12593372991289931</v>
      </c>
      <c r="N21" s="525">
        <f>N25/N20-1</f>
        <v>0.19048102301556558</v>
      </c>
      <c r="O21" s="525">
        <f>O25/O20-1</f>
        <v>0.19674986571214625</v>
      </c>
      <c r="P21" s="525">
        <f>P25/P20-1</f>
        <v>0.14916580310969563</v>
      </c>
      <c r="Q21" s="321">
        <f>Q24/Q19-1</f>
        <v>5.0735102348710592E-2</v>
      </c>
      <c r="R21" s="358">
        <f>R22/R19</f>
        <v>1.0985550569778988</v>
      </c>
    </row>
    <row r="22" spans="1:19">
      <c r="A22" s="291" t="s">
        <v>41</v>
      </c>
      <c r="B22" s="571">
        <f>DH!B19</f>
        <v>780000</v>
      </c>
      <c r="C22" s="572">
        <f>DH!C19</f>
        <v>866666.66666666663</v>
      </c>
      <c r="D22" s="571">
        <f>DH!D19</f>
        <v>953333.33333333337</v>
      </c>
      <c r="E22" s="322">
        <f>SUM(B22:D22)</f>
        <v>2600000</v>
      </c>
      <c r="F22" s="571">
        <f>DH!F19</f>
        <v>905555.55555555562</v>
      </c>
      <c r="G22" s="571">
        <f>DH!G19</f>
        <v>905555.55555555562</v>
      </c>
      <c r="H22" s="571">
        <f>DH!H19</f>
        <v>905555.55555555562</v>
      </c>
      <c r="I22" s="322">
        <f>SUM(F22:H22)</f>
        <v>2716666.666666667</v>
      </c>
      <c r="J22" s="571">
        <f>DH!J19</f>
        <v>905555.55555555562</v>
      </c>
      <c r="K22" s="571">
        <f>DH!K19</f>
        <v>905555.55555555562</v>
      </c>
      <c r="L22" s="571">
        <f>DH!L19</f>
        <v>905555.55555555562</v>
      </c>
      <c r="M22" s="322">
        <f>SUM(J22:L22)</f>
        <v>2716666.666666667</v>
      </c>
      <c r="N22" s="573">
        <f>DH!N19</f>
        <v>905555.55555555562</v>
      </c>
      <c r="O22" s="573">
        <f>DH!O19</f>
        <v>905555.55555555562</v>
      </c>
      <c r="P22" s="571">
        <f>DH!P19</f>
        <v>905555.55555555562</v>
      </c>
      <c r="Q22" s="322">
        <f>SUM(N22:P22)</f>
        <v>2716666.666666667</v>
      </c>
      <c r="R22" s="574">
        <f>B22+C22+D22+F22+G22+H22+J22+K22+L22+N22+O22+P22</f>
        <v>10750000.000000002</v>
      </c>
    </row>
    <row r="23" spans="1:19">
      <c r="A23" s="293" t="s">
        <v>42</v>
      </c>
      <c r="B23" s="538">
        <f>B22</f>
        <v>780000</v>
      </c>
      <c r="C23" s="323">
        <f>C22+B23</f>
        <v>1646666.6666666665</v>
      </c>
      <c r="D23" s="538">
        <f>D22+C23</f>
        <v>2600000</v>
      </c>
      <c r="E23" s="323"/>
      <c r="F23" s="538">
        <f>F22+D23</f>
        <v>3505555.5555555555</v>
      </c>
      <c r="G23" s="538">
        <f>G22+F23</f>
        <v>4411111.111111111</v>
      </c>
      <c r="H23" s="538">
        <f>H22+G23</f>
        <v>5316666.666666667</v>
      </c>
      <c r="I23" s="323"/>
      <c r="J23" s="538">
        <f>J22+H23</f>
        <v>6222222.2222222229</v>
      </c>
      <c r="K23" s="538">
        <f>K22+J23</f>
        <v>7127777.7777777789</v>
      </c>
      <c r="L23" s="538">
        <f>L22+K23</f>
        <v>8033333.3333333349</v>
      </c>
      <c r="M23" s="323"/>
      <c r="N23" s="680">
        <f>N22+L23</f>
        <v>8938888.8888888899</v>
      </c>
      <c r="O23" s="680">
        <f>O22+N23</f>
        <v>9844444.4444444459</v>
      </c>
      <c r="P23" s="538">
        <f>P22+O23</f>
        <v>10750000.000000002</v>
      </c>
      <c r="Q23" s="323"/>
      <c r="R23" s="575"/>
    </row>
    <row r="24" spans="1:19">
      <c r="A24" s="530" t="s">
        <v>43</v>
      </c>
      <c r="B24" s="540">
        <f>DH!B21</f>
        <v>717485.78139999998</v>
      </c>
      <c r="C24" s="529">
        <f>DH!C21</f>
        <v>886507.58599999989</v>
      </c>
      <c r="D24" s="540">
        <f>DH!D21</f>
        <v>1079663.8203999999</v>
      </c>
      <c r="E24" s="529">
        <f>SUM(B24:D24)</f>
        <v>2683657.1877999995</v>
      </c>
      <c r="F24" s="540">
        <f>DH!F21</f>
        <v>1063853.4611</v>
      </c>
      <c r="G24" s="540">
        <f>DH!G21</f>
        <v>1089147.6251000001</v>
      </c>
      <c r="H24" s="540">
        <f>DH!H21</f>
        <v>989284.37509999983</v>
      </c>
      <c r="I24" s="529">
        <f>SUM(F24:H24)</f>
        <v>3142285.4612999996</v>
      </c>
      <c r="J24" s="540">
        <f>DH!J21</f>
        <v>953768.47659999994</v>
      </c>
      <c r="K24" s="540">
        <f>DH!K21</f>
        <v>857533.63280000002</v>
      </c>
      <c r="L24" s="540">
        <f>DH!L21</f>
        <v>880554.03909999994</v>
      </c>
      <c r="M24" s="529">
        <f>SUM(J24:L24)</f>
        <v>2691856.1485000001</v>
      </c>
      <c r="N24" s="540">
        <f>DH!N21</f>
        <v>1000979.1562999999</v>
      </c>
      <c r="O24" s="540">
        <f>DH!O21</f>
        <v>996525.57030000002</v>
      </c>
      <c r="P24" s="540">
        <f>DH!P21</f>
        <v>729952.05489999999</v>
      </c>
      <c r="Q24" s="529">
        <f>SUM(N24:P24)</f>
        <v>2727456.7815</v>
      </c>
      <c r="R24" s="576">
        <f>B24+C24+D24+F24+G24+H24+J24+K24+L24+N24+O24+P24</f>
        <v>11245255.579099998</v>
      </c>
      <c r="S24" s="652">
        <f>R24/R22</f>
        <v>1.0460702864279066</v>
      </c>
    </row>
    <row r="25" spans="1:19">
      <c r="A25" s="293" t="s">
        <v>44</v>
      </c>
      <c r="B25" s="542">
        <f>B24</f>
        <v>717485.78139999998</v>
      </c>
      <c r="C25" s="355">
        <f>C24+B25</f>
        <v>1603993.3673999999</v>
      </c>
      <c r="D25" s="542">
        <f>D24+C25</f>
        <v>2683657.1877999995</v>
      </c>
      <c r="E25" s="355"/>
      <c r="F25" s="542">
        <f>F24+D25</f>
        <v>3747510.6488999994</v>
      </c>
      <c r="G25" s="542">
        <f>G24+F25</f>
        <v>4836658.2739999993</v>
      </c>
      <c r="H25" s="542">
        <f>H24+G25</f>
        <v>5825942.6490999991</v>
      </c>
      <c r="I25" s="355"/>
      <c r="J25" s="542">
        <f>J24+H25</f>
        <v>6779711.1256999988</v>
      </c>
      <c r="K25" s="542">
        <f>K24+J25</f>
        <v>7637244.7584999986</v>
      </c>
      <c r="L25" s="542">
        <f>L24+K25</f>
        <v>8517798.7975999992</v>
      </c>
      <c r="M25" s="355"/>
      <c r="N25" s="543">
        <f>N24+L25</f>
        <v>9518777.9538999982</v>
      </c>
      <c r="O25" s="543">
        <f>O24+N25</f>
        <v>10515303.524199998</v>
      </c>
      <c r="P25" s="543">
        <f>P24+O25</f>
        <v>11245255.579099998</v>
      </c>
      <c r="Q25" s="355"/>
      <c r="R25" s="577">
        <f>R24*1.1</f>
        <v>12369781.137009999</v>
      </c>
    </row>
    <row r="26" spans="1:19">
      <c r="A26" s="293" t="s">
        <v>45</v>
      </c>
      <c r="B26" s="545">
        <f t="shared" ref="B26:D27" si="0">B24/B22</f>
        <v>0.91985356589743583</v>
      </c>
      <c r="C26" s="351">
        <f t="shared" si="0"/>
        <v>1.0228933684615384</v>
      </c>
      <c r="D26" s="545">
        <f t="shared" si="0"/>
        <v>1.1325144969230767</v>
      </c>
      <c r="E26" s="351"/>
      <c r="F26" s="545">
        <f t="shared" ref="F26:H27" si="1">F24/F22</f>
        <v>1.1748075030552145</v>
      </c>
      <c r="G26" s="545">
        <f t="shared" si="1"/>
        <v>1.2027397086993865</v>
      </c>
      <c r="H26" s="545">
        <f t="shared" si="1"/>
        <v>1.0924612731165642</v>
      </c>
      <c r="I26" s="351"/>
      <c r="J26" s="545">
        <f t="shared" ref="J26:L27" si="2">J24/J22</f>
        <v>1.0532412625030674</v>
      </c>
      <c r="K26" s="545">
        <f t="shared" si="2"/>
        <v>0.94696965585276072</v>
      </c>
      <c r="L26" s="545">
        <f t="shared" si="2"/>
        <v>0.97239096342331277</v>
      </c>
      <c r="M26" s="351"/>
      <c r="N26" s="547">
        <f t="shared" ref="N26:P27" si="3">N24/N22</f>
        <v>1.1053757554233128</v>
      </c>
      <c r="O26" s="547">
        <f t="shared" si="3"/>
        <v>1.100457684993865</v>
      </c>
      <c r="P26" s="547">
        <f t="shared" si="3"/>
        <v>0.80608202381595084</v>
      </c>
      <c r="Q26" s="351"/>
      <c r="R26" s="577"/>
    </row>
    <row r="27" spans="1:19">
      <c r="A27" s="295" t="s">
        <v>46</v>
      </c>
      <c r="B27" s="578">
        <f t="shared" si="0"/>
        <v>0.91985356589743583</v>
      </c>
      <c r="C27" s="356">
        <f t="shared" si="0"/>
        <v>0.9740850409311741</v>
      </c>
      <c r="D27" s="578">
        <f t="shared" si="0"/>
        <v>1.0321758414615383</v>
      </c>
      <c r="E27" s="356"/>
      <c r="F27" s="578">
        <f t="shared" si="1"/>
        <v>1.0690204703676702</v>
      </c>
      <c r="G27" s="578">
        <f>G25/G23</f>
        <v>1.0964716490176321</v>
      </c>
      <c r="H27" s="578">
        <f t="shared" si="1"/>
        <v>1.0957885860376173</v>
      </c>
      <c r="I27" s="356"/>
      <c r="J27" s="578">
        <f t="shared" si="2"/>
        <v>1.0895964309160711</v>
      </c>
      <c r="K27" s="578">
        <f t="shared" si="2"/>
        <v>1.0714762716523769</v>
      </c>
      <c r="L27" s="578">
        <f t="shared" si="2"/>
        <v>1.06030690426556</v>
      </c>
      <c r="M27" s="356"/>
      <c r="N27" s="579">
        <f t="shared" si="3"/>
        <v>1.0648726113747666</v>
      </c>
      <c r="O27" s="579">
        <f t="shared" si="3"/>
        <v>1.0681459561828439</v>
      </c>
      <c r="P27" s="578">
        <f t="shared" si="3"/>
        <v>1.0460702864279066</v>
      </c>
      <c r="Q27" s="356"/>
      <c r="R27" s="580"/>
    </row>
    <row r="28" spans="1:19" ht="13.8" thickBot="1">
      <c r="A28" s="296" t="s">
        <v>47</v>
      </c>
      <c r="B28" s="581">
        <f>B25-B23</f>
        <v>-62514.218600000022</v>
      </c>
      <c r="C28" s="357">
        <f>C25-C23</f>
        <v>-42673.29926666664</v>
      </c>
      <c r="D28" s="581">
        <f>D25-D23</f>
        <v>83657.18779999949</v>
      </c>
      <c r="E28" s="357"/>
      <c r="F28" s="581">
        <f>F25-F23</f>
        <v>241955.09334444394</v>
      </c>
      <c r="G28" s="581">
        <f>G25-G23</f>
        <v>425547.16288888827</v>
      </c>
      <c r="H28" s="581">
        <f>H25-H23</f>
        <v>509275.98243333213</v>
      </c>
      <c r="I28" s="357"/>
      <c r="J28" s="581">
        <f>J25-J23</f>
        <v>557488.90347777586</v>
      </c>
      <c r="K28" s="581">
        <f>K25-K23</f>
        <v>509466.98072221968</v>
      </c>
      <c r="L28" s="581">
        <f>L25-L23</f>
        <v>484465.46426666435</v>
      </c>
      <c r="M28" s="357"/>
      <c r="N28" s="582">
        <f>N25-N23</f>
        <v>579889.06501110829</v>
      </c>
      <c r="O28" s="582">
        <f>O25-O23</f>
        <v>670859.07975555211</v>
      </c>
      <c r="P28" s="582">
        <f>P25-P23</f>
        <v>495255.57909999602</v>
      </c>
      <c r="Q28" s="357"/>
      <c r="R28" s="583"/>
    </row>
    <row r="29" spans="1:19">
      <c r="A29" s="286" t="s">
        <v>158</v>
      </c>
      <c r="B29" s="416">
        <f>B25/('Target 2022'!$D$27/12*B18)</f>
        <v>0.84306774803427154</v>
      </c>
      <c r="C29" s="287">
        <f>C25/('Target 2022'!$D$27/12*C18)</f>
        <v>0.94237064424969375</v>
      </c>
      <c r="D29" s="416">
        <f>D25/('Target 2022'!$D$27/12*D18)</f>
        <v>1.0511264383059971</v>
      </c>
      <c r="E29" s="287"/>
      <c r="F29" s="416">
        <f>F25/('Target 2022'!$D$27/12*F18)</f>
        <v>1.1008599213414929</v>
      </c>
      <c r="G29" s="416">
        <f>G25/('Target 2022'!$D$27/12*G18)</f>
        <v>1.1366442945018356</v>
      </c>
      <c r="H29" s="416">
        <f>H25/('Target 2022'!$D$27/12*H18)</f>
        <v>1.1409434808518968</v>
      </c>
      <c r="I29" s="287"/>
      <c r="J29" s="416">
        <f>J25/('Target 2022'!$D$27/12*J18)</f>
        <v>1.1380525757426119</v>
      </c>
      <c r="K29" s="416">
        <f>K25/('Target 2022'!$D$27/12*K18)</f>
        <v>1.1217495361321905</v>
      </c>
      <c r="L29" s="416">
        <f>L25/('Target 2022'!$D$27/12*L18)</f>
        <v>1.1120749144153403</v>
      </c>
      <c r="M29" s="287"/>
      <c r="N29" s="521">
        <f>N25/('Target 2022'!$D$27/12*N18)</f>
        <v>1.1184855368107707</v>
      </c>
      <c r="O29" s="521">
        <f>O25/('Target 2022'!$D$27/12*O18)</f>
        <v>1.1232548551498827</v>
      </c>
      <c r="P29" s="521">
        <f>P25/('Target 2022'!$D$27/12*P18)</f>
        <v>1.1011266172925334</v>
      </c>
      <c r="Q29" s="559"/>
      <c r="R29" s="560"/>
    </row>
    <row r="30" spans="1:19" s="344" customFormat="1" ht="12">
      <c r="A30" s="343" t="s">
        <v>185</v>
      </c>
      <c r="B30" s="342">
        <f>B25/('Target 2022'!$F$27/12*REALIZACJE!B18)</f>
        <v>0.80091436063255794</v>
      </c>
      <c r="C30" s="342">
        <f>C25/('Target 2022'!$F$27/12*REALIZACJE!C18)</f>
        <v>0.89525211203720911</v>
      </c>
      <c r="D30" s="417">
        <f>D25/('Target 2022'!$F$27/12*REALIZACJE!D18)</f>
        <v>0.99857011639069726</v>
      </c>
      <c r="E30" s="342"/>
      <c r="F30" s="417">
        <f>F25/('Target 2022'!$F$27/12*REALIZACJE!F18)</f>
        <v>1.0458169252744183</v>
      </c>
      <c r="G30" s="417">
        <f>G25/('Target 2022'!$F$27/12*REALIZACJE!G18)</f>
        <v>1.0798120797767436</v>
      </c>
      <c r="H30" s="417">
        <f>H25/('Target 2022'!$F$27/12*REALIZACJE!H18)</f>
        <v>1.0838963068093019</v>
      </c>
      <c r="I30" s="584"/>
      <c r="J30" s="417">
        <f>J25/('Target 2022'!$F$27/12*REALIZACJE!J18)</f>
        <v>1.0811499469554815</v>
      </c>
      <c r="K30" s="417">
        <f>K25/('Target 2022'!$F$27/12*REALIZACJE!K18)</f>
        <v>1.065662059325581</v>
      </c>
      <c r="L30" s="417">
        <f>L25/('Target 2022'!$F$27/12*REALIZACJE!L18)</f>
        <v>1.0564711686945734</v>
      </c>
      <c r="M30" s="342"/>
      <c r="N30" s="522">
        <f>N25/('Target 2022'!$F$27/12*REALIZACJE!N18)</f>
        <v>1.0625612599702321</v>
      </c>
      <c r="O30" s="522">
        <f>O25/('Target 2022'!$F$27/12*REALIZACJE!O18)</f>
        <v>1.0670921123923887</v>
      </c>
      <c r="P30" s="522">
        <f>P25/('Target 2022'!$F$27/12*REALIZACJE!P18)</f>
        <v>1.0460702864279066</v>
      </c>
      <c r="Q30" s="342"/>
      <c r="R30" s="585"/>
    </row>
    <row r="31" spans="1:19" ht="13.8" thickBot="1">
      <c r="A31" s="289" t="s">
        <v>159</v>
      </c>
      <c r="B31" s="418">
        <f>B25/('Target 2022'!$H$27/12*B18)</f>
        <v>0.76277558155481717</v>
      </c>
      <c r="C31" s="290">
        <f>C25/('Target 2022'!$H$27/12*C18)</f>
        <v>0.8526210590830563</v>
      </c>
      <c r="D31" s="418">
        <f>D25/('Target 2022'!$H$27/12*D18)</f>
        <v>0.95101915846733076</v>
      </c>
      <c r="E31" s="290"/>
      <c r="F31" s="418">
        <f>F25/('Target 2022'!$H$27/12*F18)</f>
        <v>0.99601611930896983</v>
      </c>
      <c r="G31" s="418">
        <f>G25/('Target 2022'!$H$27/12*G18)</f>
        <v>1.0283924569302323</v>
      </c>
      <c r="H31" s="418">
        <f>H25/('Target 2022'!$H$27/12*H18)</f>
        <v>1.0322821969612399</v>
      </c>
      <c r="I31" s="290"/>
      <c r="J31" s="418">
        <f>J25/('Target 2022'!$H$27/12*J18)</f>
        <v>1.0296666161480774</v>
      </c>
      <c r="K31" s="418">
        <f>K25/('Target 2022'!$H$27/12*K18)</f>
        <v>1.0149162469767439</v>
      </c>
      <c r="L31" s="418">
        <f>L25/('Target 2022'!$H$27/12*L18)</f>
        <v>1.0061630178043555</v>
      </c>
      <c r="M31" s="290"/>
      <c r="N31" s="523">
        <f>N25/('Target 2022'!$H$27/12*N18)</f>
        <v>1.0119631047335544</v>
      </c>
      <c r="O31" s="523">
        <f>O25/('Target 2022'!$H$27/12*O18)</f>
        <v>1.0162782022784653</v>
      </c>
      <c r="P31" s="523">
        <f>P25/('Target 2022'!$H$27/12*P18)</f>
        <v>0.99625741564562531</v>
      </c>
      <c r="Q31" s="290"/>
      <c r="R31" s="564"/>
    </row>
    <row r="32" spans="1:19" ht="13.8" thickBot="1">
      <c r="A32" s="244"/>
      <c r="B32" s="565"/>
      <c r="C32" s="354"/>
      <c r="D32" s="565"/>
      <c r="E32" s="354"/>
      <c r="F32" s="565"/>
      <c r="G32" s="565"/>
      <c r="H32" s="565"/>
      <c r="I32" s="354"/>
      <c r="J32" s="565"/>
      <c r="K32" s="565"/>
      <c r="L32" s="565"/>
      <c r="M32" s="354"/>
      <c r="N32" s="586"/>
      <c r="O32" s="586"/>
      <c r="P32" s="565"/>
      <c r="Q32" s="354"/>
      <c r="R32" s="587"/>
    </row>
    <row r="33" spans="1:18">
      <c r="A33" s="252" t="s">
        <v>32</v>
      </c>
      <c r="B33" s="588">
        <f>B8/B24</f>
        <v>0.34503754027981914</v>
      </c>
      <c r="C33" s="589">
        <f t="shared" ref="B33:D34" si="4">C8/C24</f>
        <v>0.32737575333055308</v>
      </c>
      <c r="D33" s="588">
        <f t="shared" si="4"/>
        <v>0.3493693154043564</v>
      </c>
      <c r="E33" s="589"/>
      <c r="F33" s="588">
        <f t="shared" ref="F33:H34" si="5">F8/F24</f>
        <v>0.30908025872286182</v>
      </c>
      <c r="G33" s="588">
        <f t="shared" si="5"/>
        <v>0.2834800014108757</v>
      </c>
      <c r="H33" s="588">
        <f t="shared" si="5"/>
        <v>0.31498434559678717</v>
      </c>
      <c r="I33" s="589"/>
      <c r="J33" s="588">
        <f t="shared" ref="J33:L34" si="6">J8/J24</f>
        <v>0.34657849091256077</v>
      </c>
      <c r="K33" s="588">
        <f t="shared" si="6"/>
        <v>0.33978930907769761</v>
      </c>
      <c r="L33" s="588">
        <f t="shared" si="6"/>
        <v>0.35963352995765052</v>
      </c>
      <c r="M33" s="589"/>
      <c r="N33" s="590">
        <f t="shared" ref="N33:O34" si="7">N8/N24</f>
        <v>0.34012612915784052</v>
      </c>
      <c r="O33" s="590">
        <f t="shared" si="7"/>
        <v>0.33094826769042712</v>
      </c>
      <c r="P33" s="588">
        <f>P8/P24</f>
        <v>0.29929151049506825</v>
      </c>
      <c r="Q33" s="589"/>
      <c r="R33" s="591"/>
    </row>
    <row r="34" spans="1:18" ht="13.8" thickBot="1">
      <c r="A34" s="254" t="s">
        <v>33</v>
      </c>
      <c r="B34" s="592">
        <f t="shared" si="4"/>
        <v>0.34503754027981914</v>
      </c>
      <c r="C34" s="593">
        <f t="shared" si="4"/>
        <v>0.33527608588040353</v>
      </c>
      <c r="D34" s="592">
        <f t="shared" si="4"/>
        <v>0.34094594196290817</v>
      </c>
      <c r="E34" s="593"/>
      <c r="F34" s="592">
        <f t="shared" si="5"/>
        <v>0.33189982559891856</v>
      </c>
      <c r="G34" s="592">
        <f t="shared" si="5"/>
        <v>0.32099636012035532</v>
      </c>
      <c r="H34" s="592">
        <f t="shared" si="5"/>
        <v>0.31997547948536331</v>
      </c>
      <c r="I34" s="593"/>
      <c r="J34" s="592">
        <f t="shared" si="6"/>
        <v>0.3237179860924233</v>
      </c>
      <c r="K34" s="592">
        <f t="shared" si="6"/>
        <v>0.32552252430211287</v>
      </c>
      <c r="L34" s="592">
        <f t="shared" si="6"/>
        <v>0.32904885598961525</v>
      </c>
      <c r="M34" s="593"/>
      <c r="N34" s="594">
        <f t="shared" si="7"/>
        <v>0.33021372395940457</v>
      </c>
      <c r="O34" s="594">
        <f t="shared" si="7"/>
        <v>0.33028333598808096</v>
      </c>
      <c r="P34" s="592">
        <f>P9/P25</f>
        <v>0.32827159454346927</v>
      </c>
      <c r="Q34" s="593"/>
      <c r="R34" s="660">
        <f>R6/R22</f>
        <v>0.33302325581395353</v>
      </c>
    </row>
  </sheetData>
  <mergeCells count="1">
    <mergeCell ref="B1:R1"/>
  </mergeCells>
  <pageMargins left="0.23622047244094491" right="0.23622047244094491" top="0.74803149606299213" bottom="0.74803149606299213" header="0.31496062992125984" footer="0.31496062992125984"/>
  <pageSetup paperSize="9" scale="58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Q4" sqref="Q4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8" s="2" customFormat="1" ht="12.75" customHeight="1">
      <c r="A1" s="744"/>
      <c r="B1" s="745"/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31"/>
    </row>
    <row r="2" spans="1:18" ht="12.75" customHeight="1">
      <c r="A2" s="746" t="s">
        <v>27</v>
      </c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</row>
    <row r="3" spans="1:18" ht="12.75" customHeight="1">
      <c r="A3" s="45"/>
      <c r="B3" s="46" t="s">
        <v>28</v>
      </c>
      <c r="C3" s="46" t="s">
        <v>22</v>
      </c>
      <c r="D3" s="46" t="s">
        <v>14</v>
      </c>
      <c r="E3" s="46"/>
      <c r="F3" s="397" t="s">
        <v>15</v>
      </c>
      <c r="G3" s="397" t="s">
        <v>16</v>
      </c>
      <c r="H3" s="397" t="s">
        <v>17</v>
      </c>
      <c r="I3" s="339"/>
      <c r="J3" s="46" t="s">
        <v>29</v>
      </c>
      <c r="K3" s="46" t="s">
        <v>30</v>
      </c>
      <c r="L3" s="46" t="s">
        <v>18</v>
      </c>
      <c r="M3" s="339"/>
      <c r="N3" s="46" t="s">
        <v>19</v>
      </c>
      <c r="O3" s="46" t="s">
        <v>20</v>
      </c>
      <c r="P3" s="46" t="s">
        <v>21</v>
      </c>
    </row>
    <row r="4" spans="1:18" ht="12.75" customHeight="1">
      <c r="A4" s="1" t="s">
        <v>31</v>
      </c>
      <c r="B4" s="67">
        <f>TOMEK!B28</f>
        <v>1800</v>
      </c>
      <c r="C4" s="67">
        <f>TOMEK!C28</f>
        <v>1800</v>
      </c>
      <c r="D4" s="67">
        <f>TOMEK!D28</f>
        <v>1800</v>
      </c>
      <c r="E4" s="67"/>
      <c r="F4" s="398">
        <f>TOMEK!F28</f>
        <v>2120</v>
      </c>
      <c r="G4" s="398">
        <f>TOMEK!G28</f>
        <v>2120</v>
      </c>
      <c r="H4" s="398">
        <f>TOMEK!H28</f>
        <v>2120</v>
      </c>
      <c r="I4" s="269"/>
      <c r="J4" s="67">
        <f>TOMEK!J28</f>
        <v>2120</v>
      </c>
      <c r="K4" s="67">
        <f>TOMEK!K28</f>
        <v>2120</v>
      </c>
      <c r="L4" s="67">
        <f>TOMEK!L28</f>
        <v>2120</v>
      </c>
      <c r="M4" s="269"/>
      <c r="N4" s="67">
        <f>TOMEK!N28</f>
        <v>2120</v>
      </c>
      <c r="O4" s="67">
        <f>TOMEK!O28</f>
        <v>2120</v>
      </c>
      <c r="P4" s="67">
        <f>TOMEK!P28</f>
        <v>2120</v>
      </c>
      <c r="Q4" s="771">
        <f>SUM(N4:P4,J4:L4,F4:H4,B4:D4)</f>
        <v>24480</v>
      </c>
    </row>
    <row r="5" spans="1:18" ht="12.75" customHeight="1">
      <c r="A5" s="1" t="s">
        <v>70</v>
      </c>
      <c r="B5" s="67">
        <f>DH!B38</f>
        <v>2520</v>
      </c>
      <c r="C5" s="67">
        <f>DH!C38</f>
        <v>2520</v>
      </c>
      <c r="D5" s="67">
        <f>DH!D38</f>
        <v>2520</v>
      </c>
      <c r="E5" s="67"/>
      <c r="F5" s="398">
        <f>DH!F38</f>
        <v>2790</v>
      </c>
      <c r="G5" s="398">
        <f>DH!G38</f>
        <v>2790</v>
      </c>
      <c r="H5" s="398">
        <f>DH!H38</f>
        <v>2790</v>
      </c>
      <c r="I5" s="269"/>
      <c r="J5" s="661"/>
      <c r="K5" s="67"/>
      <c r="L5" s="67"/>
      <c r="M5" s="269"/>
      <c r="N5" s="67"/>
      <c r="O5" s="67"/>
      <c r="P5" s="67"/>
      <c r="Q5" s="771"/>
    </row>
    <row r="6" spans="1:18" s="2" customFormat="1" ht="12.75" customHeight="1">
      <c r="A6" s="1" t="s">
        <v>76</v>
      </c>
      <c r="B6" s="149">
        <f>BARTEK!B28</f>
        <v>2000</v>
      </c>
      <c r="C6" s="149">
        <f>BARTEK!C28</f>
        <v>2000</v>
      </c>
      <c r="D6" s="67">
        <f>BARTEK!D28</f>
        <v>2000</v>
      </c>
      <c r="E6" s="67"/>
      <c r="F6" s="398">
        <f>BARTEK!F28</f>
        <v>2280</v>
      </c>
      <c r="G6" s="398">
        <f>BARTEK!G28</f>
        <v>2280</v>
      </c>
      <c r="H6" s="398">
        <f>BARTEK!H28</f>
        <v>2280</v>
      </c>
      <c r="I6" s="269"/>
      <c r="J6" s="67">
        <f>BARTEK!J28</f>
        <v>2280</v>
      </c>
      <c r="K6" s="67">
        <f>BARTEK!K28</f>
        <v>2280</v>
      </c>
      <c r="L6" s="67">
        <f>BARTEK!L28</f>
        <v>2280</v>
      </c>
      <c r="M6" s="269"/>
      <c r="N6" s="67">
        <f>BARTEK!N28</f>
        <v>2280</v>
      </c>
      <c r="O6" s="67">
        <f>BARTEK!O28</f>
        <v>2280</v>
      </c>
      <c r="P6" s="67">
        <f>BARTEK!P28</f>
        <v>2280</v>
      </c>
      <c r="Q6" s="771">
        <f t="shared" ref="Q6:Q8" si="0">SUM(N6:P6,J6:L6,F6:H6,B6:D6)</f>
        <v>26520</v>
      </c>
    </row>
    <row r="7" spans="1:18" ht="12.75" customHeight="1">
      <c r="A7" s="1" t="s">
        <v>24</v>
      </c>
      <c r="B7" s="67">
        <f>PIOTR!B28</f>
        <v>1282.5</v>
      </c>
      <c r="C7" s="67">
        <f>PIOTR!C28</f>
        <v>1781.2499999999998</v>
      </c>
      <c r="D7" s="67">
        <f>PIOTR!D28</f>
        <v>1781.2499999999998</v>
      </c>
      <c r="E7" s="67"/>
      <c r="F7" s="398">
        <f>PIOTR!F28</f>
        <v>2560</v>
      </c>
      <c r="G7" s="398">
        <f>PIOTR!G28</f>
        <v>2560</v>
      </c>
      <c r="H7" s="398">
        <f>PIOTR!H28</f>
        <v>2560</v>
      </c>
      <c r="I7" s="269"/>
      <c r="J7" s="67">
        <f>PIOTR!J28</f>
        <v>2560</v>
      </c>
      <c r="K7" s="67">
        <f>PIOTR!K28</f>
        <v>2560</v>
      </c>
      <c r="L7" s="67">
        <f>PIOTR!L28</f>
        <v>2560</v>
      </c>
      <c r="M7" s="269"/>
      <c r="N7" s="67">
        <f>PIOTR!N28</f>
        <v>2560</v>
      </c>
      <c r="O7" s="67">
        <f>PIOTR!O28</f>
        <v>2560</v>
      </c>
      <c r="P7" s="67">
        <f>PIOTR!P28</f>
        <v>2000</v>
      </c>
      <c r="Q7" s="771">
        <f t="shared" si="0"/>
        <v>27325</v>
      </c>
    </row>
    <row r="8" spans="1:18" ht="12.75" customHeight="1">
      <c r="A8" s="1" t="s">
        <v>25</v>
      </c>
      <c r="B8" s="67">
        <f>KRZYSZTOF!B28</f>
        <v>1880</v>
      </c>
      <c r="C8" s="67">
        <f>KRZYSZTOF!C28</f>
        <v>1880</v>
      </c>
      <c r="D8" s="67">
        <f>KRZYSZTOF!D28</f>
        <v>1880</v>
      </c>
      <c r="E8" s="67"/>
      <c r="F8" s="398">
        <f>KRZYSZTOF!F28</f>
        <v>2200</v>
      </c>
      <c r="G8" s="398">
        <f>KRZYSZTOF!G28</f>
        <v>2200</v>
      </c>
      <c r="H8" s="398">
        <f>KRZYSZTOF!H28</f>
        <v>2200</v>
      </c>
      <c r="I8" s="269"/>
      <c r="J8" s="67">
        <f>KRZYSZTOF!J28</f>
        <v>2200</v>
      </c>
      <c r="K8" s="67">
        <f>KRZYSZTOF!K28</f>
        <v>2200</v>
      </c>
      <c r="L8" s="67">
        <f>KRZYSZTOF!L28</f>
        <v>2200</v>
      </c>
      <c r="M8" s="269"/>
      <c r="N8" s="67">
        <f>KRZYSZTOF!N28</f>
        <v>2200</v>
      </c>
      <c r="O8" s="67">
        <f>KRZYSZTOF!O28</f>
        <v>2200</v>
      </c>
      <c r="P8" s="67">
        <f>KRZYSZTOF!P28</f>
        <v>2200</v>
      </c>
      <c r="Q8" s="771">
        <f t="shared" si="0"/>
        <v>25440</v>
      </c>
    </row>
    <row r="9" spans="1:18" ht="12.75" customHeight="1">
      <c r="A9" s="312" t="s">
        <v>169</v>
      </c>
      <c r="B9" s="269" t="e">
        <f>'1'!N39</f>
        <v>#REF!</v>
      </c>
      <c r="C9" s="269" t="e">
        <f>'1'!O39</f>
        <v>#REF!</v>
      </c>
      <c r="D9" s="269" t="e">
        <f>'1'!P39</f>
        <v>#REF!</v>
      </c>
      <c r="E9" s="67"/>
      <c r="F9" s="269" t="e">
        <f>'1'!J39</f>
        <v>#REF!</v>
      </c>
      <c r="G9" s="269" t="e">
        <f>'1'!K39</f>
        <v>#REF!</v>
      </c>
      <c r="H9" s="269" t="e">
        <f>'1'!L39</f>
        <v>#REF!</v>
      </c>
      <c r="I9" s="269"/>
      <c r="J9" s="269" t="e">
        <f>'1'!F39</f>
        <v>#REF!</v>
      </c>
      <c r="K9" s="269" t="e">
        <f>'1'!G39</f>
        <v>#REF!</v>
      </c>
      <c r="L9" s="269" t="e">
        <f>'1'!H39</f>
        <v>#REF!</v>
      </c>
      <c r="M9" s="269"/>
      <c r="N9" s="269" t="e">
        <f>'1'!B39</f>
        <v>#REF!</v>
      </c>
      <c r="O9" s="269" t="e">
        <f>'1'!C39</f>
        <v>#REF!</v>
      </c>
      <c r="P9" s="269" t="e">
        <f>'1'!D39</f>
        <v>#REF!</v>
      </c>
    </row>
    <row r="10" spans="1:18" ht="12.75" customHeight="1">
      <c r="A10" s="312" t="s">
        <v>166</v>
      </c>
      <c r="B10" s="67"/>
      <c r="C10" s="67"/>
      <c r="D10" s="67"/>
      <c r="E10" s="67"/>
      <c r="F10" s="269"/>
      <c r="G10" s="269"/>
      <c r="H10" s="269"/>
      <c r="I10" s="269"/>
      <c r="J10" s="311" t="e">
        <f>'0'!F39-520</f>
        <v>#REF!</v>
      </c>
      <c r="K10" s="311" t="e">
        <f>'0'!G39+520</f>
        <v>#REF!</v>
      </c>
      <c r="L10" s="269" t="e">
        <f>'0'!H39</f>
        <v>#REF!</v>
      </c>
      <c r="M10" s="269"/>
      <c r="N10" s="269" t="e">
        <f>'0'!B39</f>
        <v>#REF!</v>
      </c>
      <c r="O10" s="269" t="e">
        <f>'0'!C39</f>
        <v>#REF!</v>
      </c>
      <c r="P10" s="362" t="e">
        <f>'0'!D39</f>
        <v>#REF!</v>
      </c>
    </row>
    <row r="11" spans="1:18" ht="12.75" customHeight="1"/>
    <row r="12" spans="1:18" ht="12.75" customHeight="1">
      <c r="A12" s="746" t="s">
        <v>23</v>
      </c>
      <c r="B12" s="746"/>
      <c r="C12" s="746"/>
      <c r="D12" s="746"/>
      <c r="E12" s="746"/>
      <c r="F12" s="746"/>
      <c r="G12" s="746"/>
      <c r="H12" s="746"/>
      <c r="I12" s="746"/>
      <c r="J12" s="746"/>
      <c r="K12" s="746"/>
      <c r="L12" s="746"/>
      <c r="M12" s="746"/>
      <c r="N12" s="746"/>
      <c r="O12" s="746"/>
      <c r="P12" s="746"/>
    </row>
    <row r="13" spans="1:18" ht="12.75" customHeight="1">
      <c r="A13" s="45"/>
      <c r="B13" s="761" t="s">
        <v>71</v>
      </c>
      <c r="C13" s="718"/>
      <c r="D13" s="719"/>
      <c r="E13" s="200"/>
      <c r="F13" s="762" t="s">
        <v>72</v>
      </c>
      <c r="G13" s="757"/>
      <c r="H13" s="758"/>
      <c r="I13" s="443"/>
      <c r="J13" s="761" t="s">
        <v>73</v>
      </c>
      <c r="K13" s="751"/>
      <c r="L13" s="752"/>
      <c r="M13" s="610"/>
      <c r="N13" s="761" t="s">
        <v>74</v>
      </c>
      <c r="O13" s="751"/>
      <c r="P13" s="752"/>
    </row>
    <row r="14" spans="1:18" ht="12.75" customHeight="1">
      <c r="A14" s="1" t="s">
        <v>31</v>
      </c>
      <c r="B14" s="750">
        <f>TOMEK!B34</f>
        <v>4500</v>
      </c>
      <c r="C14" s="718"/>
      <c r="D14" s="719"/>
      <c r="E14" s="200"/>
      <c r="F14" s="756">
        <f>TOMEK!F34</f>
        <v>2650</v>
      </c>
      <c r="G14" s="757"/>
      <c r="H14" s="758"/>
      <c r="I14" s="443"/>
      <c r="J14" s="750">
        <f>TOMEK!J34</f>
        <v>2650</v>
      </c>
      <c r="K14" s="751"/>
      <c r="L14" s="752"/>
      <c r="M14" s="610"/>
      <c r="N14" s="750">
        <f>TOMEK!N34</f>
        <v>5300</v>
      </c>
      <c r="O14" s="751"/>
      <c r="P14" s="752"/>
      <c r="Q14" s="302">
        <f>SUM(N14,J14,F14,B14)</f>
        <v>15100</v>
      </c>
      <c r="R14" s="771">
        <f>SUM(Q4,Q14)</f>
        <v>39580</v>
      </c>
    </row>
    <row r="15" spans="1:18" ht="12.75" customHeight="1">
      <c r="A15" s="1" t="s">
        <v>76</v>
      </c>
      <c r="B15" s="750">
        <f>BARTEK!B34</f>
        <v>5000</v>
      </c>
      <c r="C15" s="759"/>
      <c r="D15" s="760"/>
      <c r="E15" s="201"/>
      <c r="F15" s="756">
        <f>BARTEK!F34</f>
        <v>5700</v>
      </c>
      <c r="G15" s="757"/>
      <c r="H15" s="758"/>
      <c r="I15" s="443"/>
      <c r="J15" s="750">
        <f>BARTEK!J34</f>
        <v>5700</v>
      </c>
      <c r="K15" s="751"/>
      <c r="L15" s="752"/>
      <c r="M15" s="610"/>
      <c r="N15" s="750">
        <f>BARTEK!N34</f>
        <v>0</v>
      </c>
      <c r="O15" s="751"/>
      <c r="P15" s="752"/>
      <c r="Q15" s="302">
        <f t="shared" ref="Q15:Q17" si="1">SUM(N15,J15,F15,B15)</f>
        <v>16400</v>
      </c>
      <c r="R15" s="771">
        <f>SUM(Q6,Q15)</f>
        <v>42920</v>
      </c>
    </row>
    <row r="16" spans="1:18" ht="12.75" customHeight="1">
      <c r="A16" s="1" t="s">
        <v>24</v>
      </c>
      <c r="B16" s="750">
        <f>PIOTR!B34</f>
        <v>0</v>
      </c>
      <c r="C16" s="718"/>
      <c r="D16" s="719"/>
      <c r="E16" s="200"/>
      <c r="F16" s="756">
        <f>PIOTR!F34</f>
        <v>4480</v>
      </c>
      <c r="G16" s="757"/>
      <c r="H16" s="758"/>
      <c r="I16" s="443"/>
      <c r="J16" s="750">
        <f>PIOTR!J34</f>
        <v>0</v>
      </c>
      <c r="K16" s="751"/>
      <c r="L16" s="752"/>
      <c r="M16" s="610"/>
      <c r="N16" s="750">
        <f>PIOTR!N34</f>
        <v>0</v>
      </c>
      <c r="O16" s="751"/>
      <c r="P16" s="752"/>
      <c r="Q16" s="302">
        <f t="shared" si="1"/>
        <v>4480</v>
      </c>
      <c r="R16" s="771">
        <f>SUM(Q7,Q16)</f>
        <v>31805</v>
      </c>
    </row>
    <row r="17" spans="1:18" ht="12.75" customHeight="1">
      <c r="A17" s="1" t="s">
        <v>25</v>
      </c>
      <c r="B17" s="750">
        <f>KRZYSZTOF!B34</f>
        <v>4700</v>
      </c>
      <c r="C17" s="718"/>
      <c r="D17" s="719"/>
      <c r="E17" s="200"/>
      <c r="F17" s="756">
        <f>KRZYSZTOF!F34</f>
        <v>5500</v>
      </c>
      <c r="G17" s="757"/>
      <c r="H17" s="758"/>
      <c r="I17" s="443"/>
      <c r="J17" s="750">
        <f>KRZYSZTOF!J34</f>
        <v>5500</v>
      </c>
      <c r="K17" s="751"/>
      <c r="L17" s="752"/>
      <c r="M17" s="610"/>
      <c r="N17" s="750">
        <f>KRZYSZTOF!N34</f>
        <v>5500</v>
      </c>
      <c r="O17" s="751"/>
      <c r="P17" s="752"/>
      <c r="Q17" s="302">
        <f t="shared" si="1"/>
        <v>21200</v>
      </c>
      <c r="R17" s="771">
        <f>SUM(R14:R16,Q8,Q17)</f>
        <v>160945</v>
      </c>
    </row>
    <row r="18" spans="1:18" ht="12.75" customHeight="1">
      <c r="A18" s="312" t="s">
        <v>169</v>
      </c>
      <c r="B18" s="747" t="e">
        <f>'1'!N45</f>
        <v>#REF!</v>
      </c>
      <c r="C18" s="748"/>
      <c r="D18" s="749"/>
      <c r="E18" s="200"/>
      <c r="F18" s="747" t="e">
        <f>'1'!J45</f>
        <v>#REF!</v>
      </c>
      <c r="G18" s="748"/>
      <c r="H18" s="749"/>
      <c r="I18" s="443"/>
      <c r="J18" s="747" t="e">
        <f>'1'!F45</f>
        <v>#REF!</v>
      </c>
      <c r="K18" s="748"/>
      <c r="L18" s="749"/>
      <c r="M18" s="610"/>
      <c r="N18" s="753" t="e">
        <f>'1'!B45</f>
        <v>#REF!</v>
      </c>
      <c r="O18" s="754"/>
      <c r="P18" s="755"/>
    </row>
    <row r="19" spans="1:18" ht="12.75" customHeight="1">
      <c r="A19" s="312" t="s">
        <v>166</v>
      </c>
      <c r="B19" s="747" t="e">
        <f>'0'!N45</f>
        <v>#REF!</v>
      </c>
      <c r="C19" s="748"/>
      <c r="D19" s="749"/>
      <c r="E19" s="304"/>
      <c r="F19" s="747" t="e">
        <f>'0'!J45</f>
        <v>#REF!</v>
      </c>
      <c r="G19" s="748"/>
      <c r="H19" s="749"/>
      <c r="I19" s="443"/>
      <c r="J19" s="747" t="e">
        <f>'0'!F45</f>
        <v>#REF!</v>
      </c>
      <c r="K19" s="748"/>
      <c r="L19" s="749"/>
      <c r="M19" s="610"/>
      <c r="N19" s="747" t="e">
        <f>'0'!B45</f>
        <v>#REF!</v>
      </c>
      <c r="O19" s="748"/>
      <c r="P19" s="749"/>
    </row>
    <row r="20" spans="1:18" ht="12.75" customHeight="1">
      <c r="C20" s="302"/>
    </row>
    <row r="21" spans="1:18" ht="12.75" customHeight="1">
      <c r="A21" s="744"/>
      <c r="B21" s="745"/>
      <c r="C21" s="745"/>
      <c r="D21" s="745"/>
      <c r="E21" s="745"/>
      <c r="F21" s="745"/>
      <c r="G21" s="745"/>
      <c r="H21" s="745"/>
      <c r="I21" s="745"/>
      <c r="J21" s="745"/>
      <c r="K21" s="745"/>
      <c r="L21" s="745"/>
      <c r="M21" s="745"/>
      <c r="N21" s="745"/>
      <c r="O21" s="745"/>
      <c r="P21" s="731"/>
    </row>
    <row r="22" spans="1:18" ht="12.75" customHeight="1">
      <c r="A22" s="746" t="s">
        <v>200</v>
      </c>
      <c r="B22" s="746"/>
      <c r="C22" s="746"/>
      <c r="D22" s="746"/>
      <c r="E22" s="746"/>
      <c r="F22" s="746"/>
      <c r="G22" s="746"/>
      <c r="H22" s="746"/>
      <c r="I22" s="746"/>
      <c r="J22" s="746"/>
      <c r="K22" s="746"/>
      <c r="L22" s="746"/>
      <c r="M22" s="746"/>
      <c r="N22" s="746"/>
      <c r="O22" s="746"/>
      <c r="P22" s="746"/>
    </row>
    <row r="23" spans="1:18" ht="12.75" customHeight="1">
      <c r="A23" s="45"/>
      <c r="B23" s="46" t="s">
        <v>28</v>
      </c>
      <c r="C23" s="46" t="s">
        <v>22</v>
      </c>
      <c r="D23" s="46" t="s">
        <v>14</v>
      </c>
      <c r="E23" s="46"/>
      <c r="F23" s="397" t="s">
        <v>15</v>
      </c>
      <c r="G23" s="397" t="s">
        <v>16</v>
      </c>
      <c r="H23" s="397" t="s">
        <v>17</v>
      </c>
      <c r="I23" s="339"/>
      <c r="J23" s="397" t="s">
        <v>29</v>
      </c>
      <c r="K23" s="397" t="s">
        <v>30</v>
      </c>
      <c r="L23" s="397" t="s">
        <v>18</v>
      </c>
      <c r="M23" s="339"/>
      <c r="N23" s="46" t="s">
        <v>19</v>
      </c>
      <c r="O23" s="46" t="s">
        <v>20</v>
      </c>
      <c r="P23" s="46" t="s">
        <v>21</v>
      </c>
    </row>
    <row r="24" spans="1:18" ht="12.75" customHeight="1">
      <c r="A24" s="1" t="s">
        <v>31</v>
      </c>
      <c r="B24" s="67"/>
      <c r="C24" s="67"/>
      <c r="D24" s="67"/>
      <c r="E24" s="67"/>
      <c r="F24" s="398"/>
      <c r="G24" s="398"/>
      <c r="H24" s="398"/>
      <c r="I24" s="269"/>
      <c r="J24" s="398"/>
      <c r="K24" s="398"/>
      <c r="L24" s="398"/>
      <c r="M24" s="269"/>
      <c r="N24" s="67"/>
      <c r="O24" s="67"/>
      <c r="P24" s="67"/>
    </row>
    <row r="25" spans="1:18" ht="12.75" customHeight="1">
      <c r="A25" s="1" t="s">
        <v>70</v>
      </c>
      <c r="B25" s="67"/>
      <c r="C25" s="67"/>
      <c r="D25" s="67"/>
      <c r="E25" s="67"/>
      <c r="F25" s="398"/>
      <c r="G25" s="398"/>
      <c r="H25" s="398"/>
      <c r="I25" s="269"/>
      <c r="J25" s="398"/>
      <c r="K25" s="398"/>
      <c r="L25" s="398"/>
      <c r="M25" s="269"/>
      <c r="N25" s="67"/>
      <c r="O25" s="67"/>
      <c r="P25" s="67"/>
    </row>
    <row r="26" spans="1:18" ht="12.75" customHeight="1">
      <c r="A26" s="1" t="s">
        <v>76</v>
      </c>
      <c r="B26" s="149"/>
      <c r="C26" s="149"/>
      <c r="D26" s="67"/>
      <c r="E26" s="67"/>
      <c r="F26" s="398"/>
      <c r="G26" s="398"/>
      <c r="H26" s="398"/>
      <c r="I26" s="269"/>
      <c r="J26" s="398"/>
      <c r="K26" s="398"/>
      <c r="L26" s="398"/>
      <c r="M26" s="269"/>
      <c r="N26" s="67"/>
      <c r="O26" s="67"/>
      <c r="P26" s="67"/>
    </row>
    <row r="27" spans="1:18" ht="12.75" customHeight="1">
      <c r="A27" s="1" t="s">
        <v>24</v>
      </c>
      <c r="B27" s="67"/>
      <c r="C27" s="67"/>
      <c r="D27" s="67"/>
      <c r="E27" s="67"/>
      <c r="F27" s="398"/>
      <c r="G27" s="398"/>
      <c r="H27" s="398"/>
      <c r="I27" s="269"/>
      <c r="J27" s="398"/>
      <c r="K27" s="398"/>
      <c r="L27" s="398"/>
      <c r="M27" s="269"/>
      <c r="N27" s="67"/>
      <c r="O27" s="67"/>
      <c r="P27" s="67"/>
    </row>
    <row r="28" spans="1:18" ht="12.75" customHeight="1">
      <c r="A28" s="1" t="s">
        <v>25</v>
      </c>
      <c r="B28" s="67"/>
      <c r="C28" s="67"/>
      <c r="D28" s="67"/>
      <c r="E28" s="67"/>
      <c r="F28" s="398"/>
      <c r="G28" s="398"/>
      <c r="H28" s="398"/>
      <c r="I28" s="269"/>
      <c r="J28" s="398"/>
      <c r="K28" s="398"/>
      <c r="L28" s="398"/>
      <c r="M28" s="269"/>
      <c r="N28" s="67"/>
      <c r="O28" s="67"/>
      <c r="P28" s="67"/>
    </row>
    <row r="29" spans="1:18" ht="12.75" customHeight="1">
      <c r="A29" s="312" t="s">
        <v>169</v>
      </c>
      <c r="B29" s="67"/>
      <c r="C29" s="67"/>
      <c r="D29" s="67"/>
      <c r="E29" s="67"/>
      <c r="F29" s="398"/>
      <c r="G29" s="398"/>
      <c r="H29" s="398"/>
      <c r="I29" s="269"/>
      <c r="J29" s="398"/>
      <c r="K29" s="398"/>
      <c r="L29" s="269"/>
      <c r="M29" s="269"/>
      <c r="N29" s="67"/>
      <c r="O29" s="67"/>
      <c r="P29" s="67"/>
    </row>
    <row r="30" spans="1:18" ht="12.75" customHeight="1">
      <c r="A30" s="312" t="s">
        <v>166</v>
      </c>
      <c r="B30" s="67"/>
      <c r="C30" s="67"/>
      <c r="D30" s="67"/>
      <c r="E30" s="67"/>
      <c r="F30" s="398"/>
      <c r="G30" s="398"/>
      <c r="H30" s="398"/>
      <c r="I30" s="269"/>
      <c r="J30" s="311"/>
      <c r="K30" s="311"/>
      <c r="L30" s="269"/>
      <c r="M30" s="269"/>
      <c r="N30" s="67"/>
      <c r="O30" s="67"/>
      <c r="P30" s="430"/>
    </row>
  </sheetData>
  <mergeCells count="33">
    <mergeCell ref="A2:P2"/>
    <mergeCell ref="A1:P1"/>
    <mergeCell ref="A12:P12"/>
    <mergeCell ref="B13:D13"/>
    <mergeCell ref="B14:D14"/>
    <mergeCell ref="F13:H13"/>
    <mergeCell ref="F14:H14"/>
    <mergeCell ref="J13:L13"/>
    <mergeCell ref="J14:L14"/>
    <mergeCell ref="N13:P13"/>
    <mergeCell ref="N14:P14"/>
    <mergeCell ref="F17:H17"/>
    <mergeCell ref="B19:D19"/>
    <mergeCell ref="F19:H19"/>
    <mergeCell ref="B18:D18"/>
    <mergeCell ref="B15:D15"/>
    <mergeCell ref="B16:D16"/>
    <mergeCell ref="A21:P21"/>
    <mergeCell ref="A22:P22"/>
    <mergeCell ref="J18:L18"/>
    <mergeCell ref="J15:L15"/>
    <mergeCell ref="J16:L16"/>
    <mergeCell ref="J17:L17"/>
    <mergeCell ref="N18:P18"/>
    <mergeCell ref="N15:P15"/>
    <mergeCell ref="N16:P16"/>
    <mergeCell ref="N17:P17"/>
    <mergeCell ref="J19:L19"/>
    <mergeCell ref="N19:P19"/>
    <mergeCell ref="B17:D17"/>
    <mergeCell ref="F18:H18"/>
    <mergeCell ref="F15:H15"/>
    <mergeCell ref="F16:H16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opLeftCell="A7" zoomScaleNormal="100" workbookViewId="0">
      <pane xSplit="1" topLeftCell="B1" activePane="topRight" state="frozen"/>
      <selection activeCell="A24" sqref="A24"/>
      <selection pane="topRight" activeCell="B26" sqref="B26"/>
    </sheetView>
  </sheetViews>
  <sheetFormatPr defaultRowHeight="13.8"/>
  <cols>
    <col min="1" max="1" width="20.6640625" style="371" customWidth="1"/>
    <col min="2" max="2" width="14" style="147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3.44140625" customWidth="1"/>
    <col min="10" max="10" width="15.6640625" customWidth="1"/>
    <col min="11" max="11" width="17.33203125" style="147" customWidth="1"/>
    <col min="12" max="12" width="16.109375" style="147" customWidth="1"/>
    <col min="13" max="13" width="15.109375" customWidth="1"/>
    <col min="14" max="14" width="20" customWidth="1"/>
    <col min="15" max="15" width="16.109375" customWidth="1"/>
    <col min="16" max="16" width="14.88671875" customWidth="1"/>
    <col min="17" max="17" width="18.21875" customWidth="1"/>
    <col min="18" max="19" width="13.109375" customWidth="1"/>
  </cols>
  <sheetData>
    <row r="1" spans="1:19" ht="13.2">
      <c r="A1" s="763" t="s">
        <v>93</v>
      </c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</row>
    <row r="2" spans="1:19">
      <c r="A2" s="372"/>
      <c r="B2" s="99"/>
      <c r="C2" s="97" t="s">
        <v>78</v>
      </c>
      <c r="D2" s="97" t="s">
        <v>79</v>
      </c>
      <c r="E2" s="97" t="s">
        <v>80</v>
      </c>
      <c r="F2" s="97" t="s">
        <v>81</v>
      </c>
      <c r="G2" s="97" t="s">
        <v>82</v>
      </c>
      <c r="H2" s="97" t="s">
        <v>83</v>
      </c>
      <c r="I2" s="97" t="s">
        <v>84</v>
      </c>
      <c r="J2" s="97" t="s">
        <v>85</v>
      </c>
      <c r="K2" s="625" t="s">
        <v>86</v>
      </c>
      <c r="L2" s="625" t="s">
        <v>87</v>
      </c>
      <c r="M2" s="97" t="s">
        <v>88</v>
      </c>
      <c r="N2" s="97" t="s">
        <v>89</v>
      </c>
      <c r="O2" s="98" t="s">
        <v>167</v>
      </c>
      <c r="P2" s="307" t="s">
        <v>168</v>
      </c>
      <c r="Q2" s="307" t="s">
        <v>235</v>
      </c>
      <c r="R2" s="639" t="s">
        <v>236</v>
      </c>
      <c r="S2" s="639" t="s">
        <v>237</v>
      </c>
    </row>
    <row r="3" spans="1:19" ht="14.4">
      <c r="A3" s="372" t="s">
        <v>77</v>
      </c>
      <c r="B3" s="99">
        <v>22</v>
      </c>
      <c r="C3" s="631">
        <f>C14</f>
        <v>43800</v>
      </c>
      <c r="D3" s="632">
        <f>E14</f>
        <v>48666.666666666664</v>
      </c>
      <c r="E3" s="632">
        <f>G14</f>
        <v>53533.333333333336</v>
      </c>
      <c r="F3" s="632">
        <f>I14</f>
        <v>46500</v>
      </c>
      <c r="G3" s="632">
        <f>K14</f>
        <v>51666.666666666664</v>
      </c>
      <c r="H3" s="632">
        <f>M14</f>
        <v>56833.333333333336</v>
      </c>
      <c r="I3" s="633">
        <f>C50</f>
        <v>45000</v>
      </c>
      <c r="J3" s="633">
        <f>E50</f>
        <v>50000</v>
      </c>
      <c r="K3" s="633">
        <f>G50</f>
        <v>55000.000000000007</v>
      </c>
      <c r="L3" s="633">
        <f>C59</f>
        <v>47500</v>
      </c>
      <c r="M3" s="633">
        <f>E59</f>
        <v>52500</v>
      </c>
      <c r="N3" s="633">
        <f>G59</f>
        <v>50000</v>
      </c>
      <c r="O3" s="704">
        <f t="shared" ref="O3:O8" si="0">SUM(C3:N3)</f>
        <v>601000</v>
      </c>
      <c r="P3" s="164">
        <f>TOMEK!R6</f>
        <v>649046.83570000005</v>
      </c>
      <c r="Q3" s="308">
        <f t="shared" ref="Q3:Q8" si="1">P3/O3</f>
        <v>1.0799448181364393</v>
      </c>
      <c r="R3" s="640">
        <f>O3/O8</f>
        <v>0.16773653363103544</v>
      </c>
      <c r="S3" s="640">
        <f>P3/P8</f>
        <v>0.17582207527037574</v>
      </c>
    </row>
    <row r="4" spans="1:19" ht="14.4">
      <c r="A4" s="372" t="s">
        <v>70</v>
      </c>
      <c r="B4" s="99">
        <v>23</v>
      </c>
      <c r="C4" s="631">
        <f>C15</f>
        <v>26400</v>
      </c>
      <c r="D4" s="632">
        <f>E15</f>
        <v>29333.333333333332</v>
      </c>
      <c r="E4" s="632">
        <f>G15</f>
        <v>32266.666666666668</v>
      </c>
      <c r="F4" s="632">
        <f>I15</f>
        <v>27600</v>
      </c>
      <c r="G4" s="632">
        <f>K15</f>
        <v>30666.666666666668</v>
      </c>
      <c r="H4" s="632">
        <f>M15</f>
        <v>33733.333333333336</v>
      </c>
      <c r="I4" s="633">
        <f t="shared" ref="I4:I7" si="2">C51</f>
        <v>22500</v>
      </c>
      <c r="J4" s="633">
        <f t="shared" ref="J4:J7" si="3">E51</f>
        <v>25000</v>
      </c>
      <c r="K4" s="633">
        <f t="shared" ref="K4:K7" si="4">G51</f>
        <v>27500.000000000004</v>
      </c>
      <c r="L4" s="633">
        <f t="shared" ref="L4:L7" si="5">C60</f>
        <v>28500</v>
      </c>
      <c r="M4" s="633">
        <f t="shared" ref="M4:M7" si="6">E60</f>
        <v>31500</v>
      </c>
      <c r="N4" s="633">
        <f t="shared" ref="N4:N7" si="7">G60</f>
        <v>30000</v>
      </c>
      <c r="O4" s="704">
        <f t="shared" si="0"/>
        <v>345000</v>
      </c>
      <c r="P4" s="164">
        <f>RCKIK!R6</f>
        <v>337642.10259999998</v>
      </c>
      <c r="Q4" s="308">
        <f t="shared" si="1"/>
        <v>0.97867276115942026</v>
      </c>
      <c r="R4" s="640">
        <f>O4/O8</f>
        <v>9.6288026793190068E-2</v>
      </c>
      <c r="S4" s="640">
        <f>P4/P8</f>
        <v>9.1464794083403508E-2</v>
      </c>
    </row>
    <row r="5" spans="1:19" ht="14.4">
      <c r="A5" s="372" t="s">
        <v>90</v>
      </c>
      <c r="B5" s="99">
        <v>29</v>
      </c>
      <c r="C5" s="631">
        <f>C16</f>
        <v>58350</v>
      </c>
      <c r="D5" s="632">
        <f>E16</f>
        <v>64833.333333333336</v>
      </c>
      <c r="E5" s="632">
        <f>G16</f>
        <v>71316.666666666672</v>
      </c>
      <c r="F5" s="632">
        <f>I16</f>
        <v>62100</v>
      </c>
      <c r="G5" s="632">
        <f>K16</f>
        <v>69000</v>
      </c>
      <c r="H5" s="632">
        <f>M16</f>
        <v>75900</v>
      </c>
      <c r="I5" s="633">
        <f t="shared" si="2"/>
        <v>66000</v>
      </c>
      <c r="J5" s="633">
        <f t="shared" si="3"/>
        <v>73333.333333333328</v>
      </c>
      <c r="K5" s="633">
        <f t="shared" si="4"/>
        <v>80666.666666666672</v>
      </c>
      <c r="L5" s="633">
        <f t="shared" si="5"/>
        <v>68716.666666666657</v>
      </c>
      <c r="M5" s="633">
        <f t="shared" si="6"/>
        <v>75950</v>
      </c>
      <c r="N5" s="633">
        <f t="shared" si="7"/>
        <v>72333.333333333328</v>
      </c>
      <c r="O5" s="704">
        <f t="shared" si="0"/>
        <v>838500</v>
      </c>
      <c r="P5" s="164">
        <f>BARTEK!R6</f>
        <v>881821.19570000004</v>
      </c>
      <c r="Q5" s="308">
        <f t="shared" si="1"/>
        <v>1.0516651111508646</v>
      </c>
      <c r="R5" s="640">
        <f>O5/O8</f>
        <v>0.23402176946692715</v>
      </c>
      <c r="S5" s="640">
        <f>P5/P8</f>
        <v>0.23887895929445965</v>
      </c>
    </row>
    <row r="6" spans="1:19" ht="14.4">
      <c r="A6" s="372" t="s">
        <v>24</v>
      </c>
      <c r="B6" s="99">
        <v>31</v>
      </c>
      <c r="C6" s="631">
        <f>C17</f>
        <v>76350</v>
      </c>
      <c r="D6" s="632">
        <f>E17</f>
        <v>84833.333333333328</v>
      </c>
      <c r="E6" s="632">
        <f>G17</f>
        <v>93316.666666666672</v>
      </c>
      <c r="F6" s="632">
        <f>I17</f>
        <v>74700</v>
      </c>
      <c r="G6" s="632">
        <f>K17</f>
        <v>83000</v>
      </c>
      <c r="H6" s="632">
        <f>M17</f>
        <v>91300.000000000015</v>
      </c>
      <c r="I6" s="633">
        <f t="shared" si="2"/>
        <v>76500</v>
      </c>
      <c r="J6" s="633">
        <f t="shared" si="3"/>
        <v>85000</v>
      </c>
      <c r="K6" s="633">
        <f t="shared" si="4"/>
        <v>93500.000000000015</v>
      </c>
      <c r="L6" s="633">
        <f t="shared" si="5"/>
        <v>79166.666666666657</v>
      </c>
      <c r="M6" s="633">
        <f t="shared" si="6"/>
        <v>87500</v>
      </c>
      <c r="N6" s="633">
        <f t="shared" si="7"/>
        <v>83333.333333333328</v>
      </c>
      <c r="O6" s="704">
        <f t="shared" si="0"/>
        <v>1008500</v>
      </c>
      <c r="P6" s="164">
        <f>PIOTR!R6</f>
        <v>935335.33419999992</v>
      </c>
      <c r="Q6" s="308">
        <f t="shared" si="1"/>
        <v>0.92745199226574115</v>
      </c>
      <c r="R6" s="640">
        <f>O6/O8</f>
        <v>0.28146804353893384</v>
      </c>
      <c r="S6" s="640">
        <f>P6/P8</f>
        <v>0.25337555086512603</v>
      </c>
    </row>
    <row r="7" spans="1:19" ht="14.4">
      <c r="A7" s="372" t="s">
        <v>25</v>
      </c>
      <c r="B7" s="99">
        <v>32</v>
      </c>
      <c r="C7" s="631">
        <f>C18</f>
        <v>54300</v>
      </c>
      <c r="D7" s="632">
        <f>E18</f>
        <v>60333.333333333336</v>
      </c>
      <c r="E7" s="632">
        <f>G18</f>
        <v>66366.666666666672</v>
      </c>
      <c r="F7" s="632">
        <f>I18</f>
        <v>60900.000000000007</v>
      </c>
      <c r="G7" s="632">
        <f>K18</f>
        <v>67666.666666666672</v>
      </c>
      <c r="H7" s="632">
        <f>M18</f>
        <v>74433.333333333343</v>
      </c>
      <c r="I7" s="633">
        <f t="shared" si="2"/>
        <v>61800.000000000007</v>
      </c>
      <c r="J7" s="633">
        <f t="shared" si="3"/>
        <v>68666.666666666672</v>
      </c>
      <c r="K7" s="633">
        <f t="shared" si="4"/>
        <v>75533.333333333343</v>
      </c>
      <c r="L7" s="633">
        <f t="shared" si="5"/>
        <v>63333.333333333336</v>
      </c>
      <c r="M7" s="633">
        <f t="shared" si="6"/>
        <v>70000.000000000015</v>
      </c>
      <c r="N7" s="633">
        <f t="shared" si="7"/>
        <v>66666.666666666672</v>
      </c>
      <c r="O7" s="704">
        <f t="shared" si="0"/>
        <v>790000</v>
      </c>
      <c r="P7" s="164">
        <f>KRZYSZTOF!R6</f>
        <v>887652.51179999998</v>
      </c>
      <c r="Q7" s="308">
        <f t="shared" si="1"/>
        <v>1.1236107744303798</v>
      </c>
      <c r="R7" s="640">
        <f>O7/O8</f>
        <v>0.22048562656991347</v>
      </c>
      <c r="S7" s="640">
        <f>P7/P8</f>
        <v>0.24045862048663508</v>
      </c>
    </row>
    <row r="8" spans="1:19">
      <c r="A8" s="372" t="s">
        <v>91</v>
      </c>
      <c r="B8" s="99"/>
      <c r="C8" s="627">
        <f t="shared" ref="C8:N8" si="8">SUM(C3:C7)</f>
        <v>259200</v>
      </c>
      <c r="D8" s="627">
        <f t="shared" si="8"/>
        <v>288000</v>
      </c>
      <c r="E8" s="627">
        <f t="shared" si="8"/>
        <v>316800.00000000006</v>
      </c>
      <c r="F8" s="627">
        <f t="shared" si="8"/>
        <v>271800</v>
      </c>
      <c r="G8" s="627">
        <f t="shared" si="8"/>
        <v>302000</v>
      </c>
      <c r="H8" s="627">
        <f t="shared" si="8"/>
        <v>332200</v>
      </c>
      <c r="I8" s="627">
        <f t="shared" si="8"/>
        <v>271800</v>
      </c>
      <c r="J8" s="627">
        <f t="shared" si="8"/>
        <v>302000</v>
      </c>
      <c r="K8" s="627">
        <f t="shared" si="8"/>
        <v>332200</v>
      </c>
      <c r="L8" s="627">
        <f t="shared" si="8"/>
        <v>287216.66666666663</v>
      </c>
      <c r="M8" s="627">
        <f t="shared" si="8"/>
        <v>317450</v>
      </c>
      <c r="N8" s="627">
        <f t="shared" si="8"/>
        <v>302333.33333333331</v>
      </c>
      <c r="O8" s="705">
        <f t="shared" si="0"/>
        <v>3583000</v>
      </c>
      <c r="P8" s="164">
        <f>SUM(P3:P7)</f>
        <v>3691497.98</v>
      </c>
      <c r="Q8" s="308">
        <f t="shared" si="1"/>
        <v>1.0302813229137595</v>
      </c>
      <c r="R8" s="641">
        <v>100</v>
      </c>
      <c r="S8" s="641">
        <v>100</v>
      </c>
    </row>
    <row r="9" spans="1:19" ht="13.2">
      <c r="A9" s="763" t="s">
        <v>92</v>
      </c>
      <c r="B9" s="763"/>
      <c r="C9" s="763"/>
      <c r="D9" s="763"/>
      <c r="E9" s="763"/>
      <c r="F9" s="763"/>
      <c r="G9" s="763"/>
      <c r="H9" s="763"/>
      <c r="I9" s="763"/>
      <c r="J9" s="763"/>
      <c r="K9" s="763"/>
      <c r="L9" s="763"/>
      <c r="M9" s="763"/>
      <c r="N9" s="763"/>
      <c r="O9" s="763"/>
    </row>
    <row r="10" spans="1:19">
      <c r="N10" s="148"/>
    </row>
    <row r="12" spans="1:19">
      <c r="A12" s="372"/>
      <c r="B12" s="763" t="s">
        <v>114</v>
      </c>
      <c r="C12" s="763"/>
      <c r="D12" s="763" t="s">
        <v>115</v>
      </c>
      <c r="E12" s="763"/>
      <c r="F12" s="763" t="s">
        <v>116</v>
      </c>
      <c r="G12" s="763"/>
      <c r="H12" s="763" t="s">
        <v>15</v>
      </c>
      <c r="I12" s="763"/>
      <c r="J12" s="763" t="s">
        <v>143</v>
      </c>
      <c r="K12" s="763"/>
      <c r="L12" s="763" t="s">
        <v>17</v>
      </c>
      <c r="M12" s="763"/>
      <c r="N12" s="763" t="s">
        <v>147</v>
      </c>
      <c r="O12" s="763"/>
      <c r="P12" s="763" t="s">
        <v>148</v>
      </c>
      <c r="Q12" s="763"/>
      <c r="R12" s="763" t="s">
        <v>18</v>
      </c>
      <c r="S12" s="763"/>
    </row>
    <row r="13" spans="1:19" ht="14.4">
      <c r="A13" s="372"/>
      <c r="B13" s="268" t="s">
        <v>117</v>
      </c>
      <c r="C13" s="268" t="s">
        <v>112</v>
      </c>
      <c r="D13" s="268" t="s">
        <v>117</v>
      </c>
      <c r="E13" s="268" t="s">
        <v>112</v>
      </c>
      <c r="F13" s="268" t="s">
        <v>117</v>
      </c>
      <c r="G13" s="268" t="s">
        <v>112</v>
      </c>
      <c r="H13" s="99" t="s">
        <v>117</v>
      </c>
      <c r="I13" s="99" t="s">
        <v>112</v>
      </c>
      <c r="J13" s="99" t="s">
        <v>117</v>
      </c>
      <c r="K13" s="625" t="s">
        <v>112</v>
      </c>
      <c r="L13" s="625" t="s">
        <v>117</v>
      </c>
      <c r="M13" s="99" t="s">
        <v>112</v>
      </c>
      <c r="N13" s="99" t="s">
        <v>117</v>
      </c>
      <c r="O13" s="99" t="s">
        <v>112</v>
      </c>
      <c r="P13" s="99" t="s">
        <v>117</v>
      </c>
      <c r="Q13" s="99" t="s">
        <v>112</v>
      </c>
      <c r="R13" s="99" t="s">
        <v>117</v>
      </c>
      <c r="S13" s="99" t="s">
        <v>112</v>
      </c>
    </row>
    <row r="14" spans="1:19" ht="14.4">
      <c r="A14" s="372" t="s">
        <v>118</v>
      </c>
      <c r="B14" s="309">
        <f>B31</f>
        <v>0</v>
      </c>
      <c r="C14" s="310">
        <f>C31</f>
        <v>43800</v>
      </c>
      <c r="D14" s="310">
        <f t="shared" ref="D14:F14" si="9">D31</f>
        <v>0</v>
      </c>
      <c r="E14" s="310">
        <f t="shared" si="9"/>
        <v>48666.666666666664</v>
      </c>
      <c r="F14" s="310">
        <f t="shared" si="9"/>
        <v>0</v>
      </c>
      <c r="G14" s="310">
        <f>G31</f>
        <v>53533.333333333336</v>
      </c>
      <c r="H14" s="301">
        <f>B40</f>
        <v>0</v>
      </c>
      <c r="I14" s="301">
        <f t="shared" ref="I14:M14" si="10">C40</f>
        <v>46500</v>
      </c>
      <c r="J14" s="301">
        <f t="shared" si="10"/>
        <v>0</v>
      </c>
      <c r="K14" s="628">
        <f t="shared" si="10"/>
        <v>51666.666666666664</v>
      </c>
      <c r="L14" s="628">
        <f t="shared" si="10"/>
        <v>0</v>
      </c>
      <c r="M14" s="301">
        <f t="shared" si="10"/>
        <v>56833.333333333336</v>
      </c>
      <c r="N14" s="176">
        <f>B50</f>
        <v>0</v>
      </c>
      <c r="O14" s="176">
        <f t="shared" ref="O14:S14" si="11">C50</f>
        <v>45000</v>
      </c>
      <c r="P14" s="176">
        <f t="shared" si="11"/>
        <v>0</v>
      </c>
      <c r="Q14" s="176">
        <f t="shared" si="11"/>
        <v>50000</v>
      </c>
      <c r="R14" s="176">
        <f t="shared" si="11"/>
        <v>0</v>
      </c>
      <c r="S14" s="176">
        <f t="shared" si="11"/>
        <v>55000.000000000007</v>
      </c>
    </row>
    <row r="15" spans="1:19" ht="14.4">
      <c r="A15" s="372" t="s">
        <v>119</v>
      </c>
      <c r="B15" s="310">
        <f t="shared" ref="B15:G15" si="12">B32</f>
        <v>0</v>
      </c>
      <c r="C15" s="310">
        <f t="shared" si="12"/>
        <v>26400</v>
      </c>
      <c r="D15" s="310">
        <f t="shared" si="12"/>
        <v>0</v>
      </c>
      <c r="E15" s="310">
        <f t="shared" si="12"/>
        <v>29333.333333333332</v>
      </c>
      <c r="F15" s="310">
        <f t="shared" si="12"/>
        <v>0</v>
      </c>
      <c r="G15" s="310">
        <f t="shared" si="12"/>
        <v>32266.666666666668</v>
      </c>
      <c r="H15" s="301">
        <f t="shared" ref="H15:M15" si="13">B41</f>
        <v>0</v>
      </c>
      <c r="I15" s="301">
        <f t="shared" si="13"/>
        <v>27600</v>
      </c>
      <c r="J15" s="301">
        <f t="shared" si="13"/>
        <v>0</v>
      </c>
      <c r="K15" s="628">
        <f t="shared" si="13"/>
        <v>30666.666666666668</v>
      </c>
      <c r="L15" s="628">
        <f t="shared" si="13"/>
        <v>0</v>
      </c>
      <c r="M15" s="301">
        <f t="shared" si="13"/>
        <v>33733.333333333336</v>
      </c>
      <c r="N15" s="176">
        <f>B51</f>
        <v>0</v>
      </c>
      <c r="O15" s="176">
        <f>C51</f>
        <v>22500</v>
      </c>
      <c r="P15" s="176">
        <f>D51</f>
        <v>0</v>
      </c>
      <c r="Q15" s="176">
        <f>E51</f>
        <v>25000</v>
      </c>
      <c r="R15" s="176">
        <f>F51</f>
        <v>0</v>
      </c>
      <c r="S15" s="176">
        <f>G51</f>
        <v>27500.000000000004</v>
      </c>
    </row>
    <row r="16" spans="1:19" ht="14.4">
      <c r="A16" s="372" t="s">
        <v>120</v>
      </c>
      <c r="B16" s="310">
        <f t="shared" ref="B16:G16" si="14">B33</f>
        <v>0</v>
      </c>
      <c r="C16" s="310">
        <f t="shared" si="14"/>
        <v>58350</v>
      </c>
      <c r="D16" s="310">
        <f t="shared" si="14"/>
        <v>0</v>
      </c>
      <c r="E16" s="310">
        <f t="shared" si="14"/>
        <v>64833.333333333336</v>
      </c>
      <c r="F16" s="310">
        <f t="shared" si="14"/>
        <v>0</v>
      </c>
      <c r="G16" s="310">
        <f t="shared" si="14"/>
        <v>71316.666666666672</v>
      </c>
      <c r="H16" s="301">
        <f t="shared" ref="H16:M18" si="15">B42</f>
        <v>0</v>
      </c>
      <c r="I16" s="301">
        <f t="shared" si="15"/>
        <v>62100</v>
      </c>
      <c r="J16" s="301">
        <f t="shared" si="15"/>
        <v>0</v>
      </c>
      <c r="K16" s="628">
        <f t="shared" si="15"/>
        <v>69000</v>
      </c>
      <c r="L16" s="628">
        <f>F42</f>
        <v>0</v>
      </c>
      <c r="M16" s="301">
        <f t="shared" si="15"/>
        <v>75900</v>
      </c>
      <c r="N16" s="176">
        <f t="shared" ref="N16:S18" si="16">B52</f>
        <v>0</v>
      </c>
      <c r="O16" s="176">
        <f t="shared" si="16"/>
        <v>66000</v>
      </c>
      <c r="P16" s="176">
        <f t="shared" si="16"/>
        <v>0</v>
      </c>
      <c r="Q16" s="176">
        <f t="shared" si="16"/>
        <v>73333.333333333328</v>
      </c>
      <c r="R16" s="176">
        <f t="shared" si="16"/>
        <v>0</v>
      </c>
      <c r="S16" s="176">
        <f t="shared" si="16"/>
        <v>80666.666666666672</v>
      </c>
    </row>
    <row r="17" spans="1:19" ht="14.4">
      <c r="A17" s="372" t="s">
        <v>121</v>
      </c>
      <c r="B17" s="310">
        <f t="shared" ref="B17:G17" si="17">B34</f>
        <v>0</v>
      </c>
      <c r="C17" s="310">
        <f t="shared" si="17"/>
        <v>76350</v>
      </c>
      <c r="D17" s="310">
        <f t="shared" si="17"/>
        <v>0</v>
      </c>
      <c r="E17" s="310">
        <f t="shared" si="17"/>
        <v>84833.333333333328</v>
      </c>
      <c r="F17" s="310">
        <f t="shared" si="17"/>
        <v>0</v>
      </c>
      <c r="G17" s="310">
        <f t="shared" si="17"/>
        <v>93316.666666666672</v>
      </c>
      <c r="H17" s="301">
        <f t="shared" si="15"/>
        <v>0</v>
      </c>
      <c r="I17" s="301">
        <f t="shared" si="15"/>
        <v>74700</v>
      </c>
      <c r="J17" s="301">
        <f t="shared" si="15"/>
        <v>0</v>
      </c>
      <c r="K17" s="628">
        <f t="shared" si="15"/>
        <v>83000</v>
      </c>
      <c r="L17" s="628">
        <f t="shared" si="15"/>
        <v>0</v>
      </c>
      <c r="M17" s="301">
        <f t="shared" si="15"/>
        <v>91300.000000000015</v>
      </c>
      <c r="N17" s="176">
        <f t="shared" si="16"/>
        <v>0</v>
      </c>
      <c r="O17" s="176">
        <f t="shared" si="16"/>
        <v>76500</v>
      </c>
      <c r="P17" s="176">
        <f t="shared" si="16"/>
        <v>0</v>
      </c>
      <c r="Q17" s="176">
        <f t="shared" si="16"/>
        <v>85000</v>
      </c>
      <c r="R17" s="176">
        <f t="shared" si="16"/>
        <v>0</v>
      </c>
      <c r="S17" s="176">
        <f t="shared" si="16"/>
        <v>93500.000000000015</v>
      </c>
    </row>
    <row r="18" spans="1:19" ht="14.4">
      <c r="A18" s="372" t="s">
        <v>122</v>
      </c>
      <c r="B18" s="310">
        <f t="shared" ref="B18:G18" si="18">B35</f>
        <v>0</v>
      </c>
      <c r="C18" s="310">
        <f t="shared" si="18"/>
        <v>54300</v>
      </c>
      <c r="D18" s="310">
        <f t="shared" si="18"/>
        <v>0</v>
      </c>
      <c r="E18" s="310">
        <f t="shared" si="18"/>
        <v>60333.333333333336</v>
      </c>
      <c r="F18" s="310">
        <f t="shared" si="18"/>
        <v>0</v>
      </c>
      <c r="G18" s="310">
        <f t="shared" si="18"/>
        <v>66366.666666666672</v>
      </c>
      <c r="H18" s="301">
        <f t="shared" si="15"/>
        <v>0</v>
      </c>
      <c r="I18" s="301">
        <f t="shared" si="15"/>
        <v>60900.000000000007</v>
      </c>
      <c r="J18" s="301">
        <f t="shared" si="15"/>
        <v>0</v>
      </c>
      <c r="K18" s="628">
        <f t="shared" si="15"/>
        <v>67666.666666666672</v>
      </c>
      <c r="L18" s="628">
        <f t="shared" si="15"/>
        <v>0</v>
      </c>
      <c r="M18" s="301">
        <f t="shared" si="15"/>
        <v>74433.333333333343</v>
      </c>
      <c r="N18" s="176">
        <f t="shared" si="16"/>
        <v>0</v>
      </c>
      <c r="O18" s="176">
        <f t="shared" si="16"/>
        <v>61800.000000000007</v>
      </c>
      <c r="P18" s="176">
        <f t="shared" si="16"/>
        <v>0</v>
      </c>
      <c r="Q18" s="176">
        <f t="shared" si="16"/>
        <v>68666.666666666672</v>
      </c>
      <c r="R18" s="176">
        <f t="shared" si="16"/>
        <v>0</v>
      </c>
      <c r="S18" s="176">
        <f t="shared" si="16"/>
        <v>75533.333333333343</v>
      </c>
    </row>
    <row r="19" spans="1:19" ht="14.4">
      <c r="A19" s="372"/>
      <c r="B19" s="176"/>
      <c r="C19" s="176"/>
      <c r="D19" s="176"/>
      <c r="E19" s="176"/>
      <c r="F19" s="176"/>
      <c r="G19" s="176"/>
      <c r="H19" s="301"/>
      <c r="I19" s="301"/>
      <c r="J19" s="301"/>
      <c r="K19" s="628"/>
      <c r="L19" s="628"/>
      <c r="M19" s="301"/>
    </row>
    <row r="22" spans="1:19">
      <c r="A22" s="373" t="s">
        <v>112</v>
      </c>
      <c r="B22" s="634">
        <v>259200</v>
      </c>
      <c r="C22" s="634">
        <v>288000</v>
      </c>
      <c r="D22" s="634">
        <v>316800</v>
      </c>
      <c r="E22" s="634">
        <v>301777.77777777775</v>
      </c>
      <c r="F22" s="634">
        <v>301777.77777777775</v>
      </c>
      <c r="G22" s="634">
        <v>301777.77777777775</v>
      </c>
      <c r="H22" s="634">
        <v>301777.77777777775</v>
      </c>
      <c r="I22" s="634">
        <v>301777.77777777775</v>
      </c>
      <c r="J22" s="634">
        <v>301777.77777777775</v>
      </c>
      <c r="K22" s="635">
        <v>301777.77777777775</v>
      </c>
      <c r="L22" s="635">
        <v>301777.77777777775</v>
      </c>
      <c r="M22" s="634">
        <v>301777.77777777775</v>
      </c>
      <c r="N22" s="636">
        <f>SUM(B22:M22)</f>
        <v>3580000.0000000009</v>
      </c>
      <c r="O22">
        <f>N22/12</f>
        <v>298333.33333333343</v>
      </c>
    </row>
    <row r="23" spans="1:19">
      <c r="A23" s="373" t="s">
        <v>117</v>
      </c>
      <c r="B23" s="634">
        <v>780000</v>
      </c>
      <c r="C23" s="634">
        <v>866666.66666666663</v>
      </c>
      <c r="D23" s="634">
        <v>953333.33333333337</v>
      </c>
      <c r="E23" s="634">
        <v>905555.55555555562</v>
      </c>
      <c r="F23" s="634">
        <v>905555.55555555562</v>
      </c>
      <c r="G23" s="634">
        <v>905555.55555555562</v>
      </c>
      <c r="H23" s="634">
        <v>905555.55555555562</v>
      </c>
      <c r="I23" s="634">
        <v>905555.55555555562</v>
      </c>
      <c r="J23" s="634">
        <v>905555.55555555562</v>
      </c>
      <c r="K23" s="635">
        <v>905555.55555555562</v>
      </c>
      <c r="L23" s="635">
        <v>905555.55555555562</v>
      </c>
      <c r="M23" s="634">
        <v>905555.55555555562</v>
      </c>
      <c r="N23" s="636">
        <f>SUM(B23:M23)</f>
        <v>10750000.000000002</v>
      </c>
      <c r="O23">
        <f>N23/12</f>
        <v>895833.33333333349</v>
      </c>
    </row>
    <row r="25" spans="1:19">
      <c r="B25" s="764">
        <v>2021</v>
      </c>
      <c r="C25" s="764"/>
      <c r="D25" s="764" t="s">
        <v>219</v>
      </c>
      <c r="E25" s="764"/>
      <c r="F25" s="764" t="s">
        <v>218</v>
      </c>
      <c r="G25" s="764"/>
      <c r="H25" s="764" t="s">
        <v>220</v>
      </c>
      <c r="I25" s="764"/>
    </row>
    <row r="26" spans="1:19">
      <c r="A26" s="374" t="s">
        <v>112</v>
      </c>
      <c r="B26" s="205">
        <f>DH!R3</f>
        <v>3253729.1129000001</v>
      </c>
      <c r="C26" s="205"/>
      <c r="D26" s="205">
        <f>F26*0.95</f>
        <v>3401000.0000000009</v>
      </c>
      <c r="E26" s="206">
        <f>D26/B26-1</f>
        <v>4.5262184401313243E-2</v>
      </c>
      <c r="F26" s="205">
        <f>N22</f>
        <v>3580000.0000000009</v>
      </c>
      <c r="G26" s="206">
        <f>F26/B26-1</f>
        <v>0.10027598358032952</v>
      </c>
      <c r="H26" s="205">
        <f>F26*1.05</f>
        <v>3759000.0000000009</v>
      </c>
      <c r="I26" s="206">
        <f>H26/B26-1</f>
        <v>0.15528978275934602</v>
      </c>
      <c r="J26" s="148">
        <f>H26/4</f>
        <v>939750.00000000023</v>
      </c>
      <c r="K26" s="629"/>
      <c r="L26" s="630"/>
      <c r="M26" s="270"/>
      <c r="N26" s="270"/>
    </row>
    <row r="27" spans="1:19">
      <c r="A27" s="374" t="s">
        <v>117</v>
      </c>
      <c r="B27" s="205">
        <f>DH!R16</f>
        <v>9785581.4615000002</v>
      </c>
      <c r="C27" s="205"/>
      <c r="D27" s="205">
        <f>F27*0.95</f>
        <v>10212500.000000002</v>
      </c>
      <c r="E27" s="206">
        <f>D27/B27-1</f>
        <v>4.3627304129003841E-2</v>
      </c>
      <c r="F27" s="205">
        <f>N23</f>
        <v>10750000.000000002</v>
      </c>
      <c r="G27" s="206">
        <f>F27/B27-1</f>
        <v>9.8555056977898792E-2</v>
      </c>
      <c r="H27" s="205">
        <f>F27*1.05</f>
        <v>11287500.000000002</v>
      </c>
      <c r="I27" s="206">
        <f>H27/B27-1</f>
        <v>0.15348280982679352</v>
      </c>
      <c r="J27" s="148">
        <f>H27/4</f>
        <v>2821875.0000000005</v>
      </c>
      <c r="K27" s="629"/>
      <c r="L27" s="630"/>
      <c r="M27" s="270"/>
      <c r="N27" s="270"/>
    </row>
    <row r="28" spans="1:19">
      <c r="J28" s="164">
        <f>F26/12</f>
        <v>298333.33333333343</v>
      </c>
    </row>
    <row r="29" spans="1:19" ht="14.4">
      <c r="A29" s="315"/>
      <c r="B29" s="765" t="s">
        <v>114</v>
      </c>
      <c r="C29" s="765"/>
      <c r="D29" s="765" t="s">
        <v>115</v>
      </c>
      <c r="E29" s="765"/>
      <c r="F29" s="765" t="s">
        <v>116</v>
      </c>
      <c r="G29" s="765"/>
      <c r="H29" s="765" t="s">
        <v>157</v>
      </c>
      <c r="I29" s="765"/>
      <c r="J29" s="164">
        <f>B26/12*0.9</f>
        <v>244029.6834675</v>
      </c>
    </row>
    <row r="30" spans="1:19" ht="14.4">
      <c r="A30" s="315"/>
      <c r="B30" s="324" t="s">
        <v>117</v>
      </c>
      <c r="C30" s="324" t="s">
        <v>112</v>
      </c>
      <c r="D30" s="324" t="s">
        <v>117</v>
      </c>
      <c r="E30" s="324" t="s">
        <v>112</v>
      </c>
      <c r="F30" s="324" t="s">
        <v>117</v>
      </c>
      <c r="G30" s="324" t="s">
        <v>112</v>
      </c>
      <c r="H30" s="268" t="s">
        <v>117</v>
      </c>
      <c r="I30" s="268" t="s">
        <v>112</v>
      </c>
      <c r="J30" s="642" t="s">
        <v>234</v>
      </c>
      <c r="K30" s="643" t="s">
        <v>232</v>
      </c>
      <c r="L30" s="643" t="s">
        <v>233</v>
      </c>
      <c r="M30" s="641"/>
      <c r="N30" s="641"/>
    </row>
    <row r="31" spans="1:19">
      <c r="A31" s="315" t="s">
        <v>118</v>
      </c>
      <c r="B31" s="319"/>
      <c r="C31" s="316">
        <v>43800</v>
      </c>
      <c r="D31" s="319"/>
      <c r="E31" s="317">
        <v>48666.666666666664</v>
      </c>
      <c r="F31" s="319"/>
      <c r="G31" s="319">
        <v>53533.333333333336</v>
      </c>
      <c r="H31" s="319"/>
      <c r="I31" s="319">
        <f>G31+E31+C31</f>
        <v>146000</v>
      </c>
      <c r="J31" s="640">
        <f>I31/I36</f>
        <v>0.16898148148148148</v>
      </c>
      <c r="K31" s="644">
        <f>TOMEK!E6</f>
        <v>161816.6367</v>
      </c>
      <c r="L31" s="645">
        <f>K31/K36</f>
        <v>0.17685225696626522</v>
      </c>
      <c r="M31" s="641"/>
      <c r="N31" s="641"/>
    </row>
    <row r="32" spans="1:19">
      <c r="A32" s="315" t="s">
        <v>119</v>
      </c>
      <c r="B32" s="319"/>
      <c r="C32" s="316">
        <v>26400</v>
      </c>
      <c r="D32" s="319"/>
      <c r="E32" s="317">
        <v>29333.333333333332</v>
      </c>
      <c r="F32" s="319"/>
      <c r="G32" s="319">
        <v>32266.666666666668</v>
      </c>
      <c r="H32" s="319"/>
      <c r="I32" s="319">
        <f t="shared" ref="I32:I35" si="19">G32+E32+C32</f>
        <v>88000</v>
      </c>
      <c r="J32" s="640">
        <f>I32/I36</f>
        <v>0.10185185185185185</v>
      </c>
      <c r="K32" s="646">
        <f>RCKIK!E6</f>
        <v>91749.4571</v>
      </c>
      <c r="L32" s="645">
        <f>K32/K36</f>
        <v>0.10027460027887557</v>
      </c>
      <c r="M32" s="641"/>
      <c r="N32" s="641"/>
    </row>
    <row r="33" spans="1:14" ht="14.4">
      <c r="A33" s="315" t="s">
        <v>120</v>
      </c>
      <c r="B33" s="316"/>
      <c r="C33" s="316">
        <v>58350</v>
      </c>
      <c r="D33" s="317"/>
      <c r="E33" s="317">
        <v>64833.333333333336</v>
      </c>
      <c r="F33" s="317"/>
      <c r="G33" s="317">
        <v>71316.666666666672</v>
      </c>
      <c r="H33" s="261"/>
      <c r="I33" s="319">
        <f t="shared" si="19"/>
        <v>194500</v>
      </c>
      <c r="J33" s="640">
        <f>I33/I36</f>
        <v>0.22511574074074073</v>
      </c>
      <c r="K33" s="644">
        <f>BARTEK!E6</f>
        <v>225996.52889999998</v>
      </c>
      <c r="L33" s="645">
        <f>K33/K36</f>
        <v>0.24699559339257221</v>
      </c>
      <c r="M33" s="641"/>
      <c r="N33" s="641"/>
    </row>
    <row r="34" spans="1:14" ht="14.4">
      <c r="A34" s="315" t="s">
        <v>121</v>
      </c>
      <c r="B34" s="316"/>
      <c r="C34" s="316">
        <v>76350</v>
      </c>
      <c r="D34" s="317"/>
      <c r="E34" s="317">
        <v>84833.333333333328</v>
      </c>
      <c r="F34" s="317"/>
      <c r="G34" s="317">
        <v>93316.666666666672</v>
      </c>
      <c r="H34" s="261"/>
      <c r="I34" s="319">
        <f t="shared" si="19"/>
        <v>254500</v>
      </c>
      <c r="J34" s="640">
        <f>I34/I36</f>
        <v>0.29456018518518517</v>
      </c>
      <c r="K34" s="644">
        <f>PIOTR!E6</f>
        <v>235885.97930000001</v>
      </c>
      <c r="L34" s="645">
        <f>K34/K36</f>
        <v>0.25780394820122171</v>
      </c>
      <c r="M34" s="641"/>
      <c r="N34" s="641"/>
    </row>
    <row r="35" spans="1:14" ht="14.4">
      <c r="A35" s="315" t="s">
        <v>122</v>
      </c>
      <c r="B35" s="316"/>
      <c r="C35" s="316">
        <v>54300</v>
      </c>
      <c r="D35" s="317"/>
      <c r="E35" s="317">
        <v>60333.333333333336</v>
      </c>
      <c r="F35" s="317"/>
      <c r="G35" s="317">
        <v>66366.666666666672</v>
      </c>
      <c r="H35" s="261"/>
      <c r="I35" s="319">
        <f t="shared" si="19"/>
        <v>181000</v>
      </c>
      <c r="J35" s="640">
        <f>I35/I36</f>
        <v>0.20949074074074073</v>
      </c>
      <c r="K35" s="644">
        <f>KRZYSZTOF!E6</f>
        <v>199533.4258</v>
      </c>
      <c r="L35" s="645">
        <f>K35/K36</f>
        <v>0.21807360116106536</v>
      </c>
      <c r="M35" s="641"/>
      <c r="N35" s="641"/>
    </row>
    <row r="36" spans="1:14" ht="14.4">
      <c r="A36" s="315" t="s">
        <v>150</v>
      </c>
      <c r="B36" s="262"/>
      <c r="C36" s="262"/>
      <c r="D36" s="262"/>
      <c r="E36" s="262"/>
      <c r="F36" s="262"/>
      <c r="G36" s="262"/>
      <c r="H36" s="263"/>
      <c r="I36" s="263">
        <f>SUM(I31:I35)</f>
        <v>864000</v>
      </c>
      <c r="J36" s="641">
        <v>100</v>
      </c>
      <c r="K36" s="647">
        <f>SUM(K31:K35)</f>
        <v>914982.02779999992</v>
      </c>
      <c r="L36" s="643">
        <v>100</v>
      </c>
      <c r="M36" s="641"/>
      <c r="N36" s="641"/>
    </row>
    <row r="37" spans="1:14">
      <c r="J37" s="641"/>
      <c r="K37" s="643"/>
      <c r="L37" s="643"/>
      <c r="M37" s="641"/>
      <c r="N37" s="641"/>
    </row>
    <row r="38" spans="1:14">
      <c r="A38" s="313"/>
      <c r="B38" s="766" t="s">
        <v>162</v>
      </c>
      <c r="C38" s="767"/>
      <c r="D38" s="766" t="s">
        <v>163</v>
      </c>
      <c r="E38" s="767"/>
      <c r="F38" s="766" t="s">
        <v>164</v>
      </c>
      <c r="G38" s="767"/>
      <c r="H38" s="766" t="s">
        <v>161</v>
      </c>
      <c r="I38" s="767"/>
      <c r="J38" s="641"/>
      <c r="K38" s="643"/>
      <c r="L38" s="643"/>
      <c r="M38" s="641"/>
      <c r="N38" s="641"/>
    </row>
    <row r="39" spans="1:14" ht="14.4">
      <c r="A39" s="313"/>
      <c r="B39" s="314" t="s">
        <v>117</v>
      </c>
      <c r="C39" s="314" t="s">
        <v>112</v>
      </c>
      <c r="D39" s="314" t="s">
        <v>117</v>
      </c>
      <c r="E39" s="314" t="s">
        <v>112</v>
      </c>
      <c r="F39" s="314" t="s">
        <v>117</v>
      </c>
      <c r="G39" s="314" t="s">
        <v>112</v>
      </c>
      <c r="H39" s="314" t="s">
        <v>117</v>
      </c>
      <c r="I39" s="314" t="s">
        <v>112</v>
      </c>
      <c r="J39" s="648"/>
      <c r="K39" s="643" t="s">
        <v>232</v>
      </c>
      <c r="L39" s="643" t="s">
        <v>233</v>
      </c>
      <c r="M39" s="641"/>
      <c r="N39" s="641"/>
    </row>
    <row r="40" spans="1:14">
      <c r="A40" s="315" t="s">
        <v>173</v>
      </c>
      <c r="B40" s="316"/>
      <c r="C40" s="604">
        <v>46500</v>
      </c>
      <c r="D40" s="317"/>
      <c r="E40" s="605">
        <v>51666.666666666664</v>
      </c>
      <c r="F40" s="317"/>
      <c r="G40" s="606">
        <v>56833.333333333336</v>
      </c>
      <c r="H40" s="370"/>
      <c r="I40" s="319">
        <f>G40+E40+C40</f>
        <v>155000</v>
      </c>
      <c r="J40" s="640">
        <f>I40/I45</f>
        <v>0.17108167770419427</v>
      </c>
      <c r="K40" s="644">
        <f>TOMEK!I6</f>
        <v>155769.92970000001</v>
      </c>
      <c r="L40" s="645">
        <f>K40/K45</f>
        <v>0.16411055925165016</v>
      </c>
      <c r="M40" s="641"/>
      <c r="N40" s="641"/>
    </row>
    <row r="41" spans="1:14">
      <c r="A41" s="315" t="s">
        <v>174</v>
      </c>
      <c r="B41" s="316"/>
      <c r="C41" s="604">
        <v>27600</v>
      </c>
      <c r="D41" s="317"/>
      <c r="E41" s="605">
        <v>30666.666666666668</v>
      </c>
      <c r="F41" s="317"/>
      <c r="G41" s="606">
        <v>33733.333333333336</v>
      </c>
      <c r="H41" s="370"/>
      <c r="I41" s="319">
        <f t="shared" ref="I41:I44" si="20">G41+E41+C41</f>
        <v>92000</v>
      </c>
      <c r="J41" s="640">
        <f>I41/I45</f>
        <v>0.10154525386313466</v>
      </c>
      <c r="K41" s="646">
        <f>RCKIK!I6</f>
        <v>57729.266600000003</v>
      </c>
      <c r="L41" s="645">
        <f>K41/K45</f>
        <v>6.082035374323988E-2</v>
      </c>
      <c r="M41" s="641"/>
      <c r="N41" s="641"/>
    </row>
    <row r="42" spans="1:14">
      <c r="A42" s="315" t="s">
        <v>175</v>
      </c>
      <c r="B42" s="316"/>
      <c r="C42" s="604">
        <v>62100</v>
      </c>
      <c r="D42" s="317"/>
      <c r="E42" s="605">
        <v>69000</v>
      </c>
      <c r="F42" s="317"/>
      <c r="G42" s="606">
        <v>75900</v>
      </c>
      <c r="H42" s="370"/>
      <c r="I42" s="319">
        <f t="shared" si="20"/>
        <v>207000</v>
      </c>
      <c r="J42" s="640">
        <f>I42/I45</f>
        <v>0.22847682119205298</v>
      </c>
      <c r="K42" s="644">
        <f>BARTEK!I6</f>
        <v>233072.82439999998</v>
      </c>
      <c r="L42" s="645">
        <f>K42/K45</f>
        <v>0.24555260204784984</v>
      </c>
      <c r="M42" s="641"/>
      <c r="N42" s="641"/>
    </row>
    <row r="43" spans="1:14">
      <c r="A43" s="315" t="s">
        <v>176</v>
      </c>
      <c r="B43" s="316"/>
      <c r="C43" s="604">
        <v>74700</v>
      </c>
      <c r="D43" s="317"/>
      <c r="E43" s="605">
        <v>83000</v>
      </c>
      <c r="F43" s="317"/>
      <c r="G43" s="606">
        <v>91300.000000000015</v>
      </c>
      <c r="H43" s="370"/>
      <c r="I43" s="319">
        <f t="shared" si="20"/>
        <v>249000</v>
      </c>
      <c r="J43" s="640">
        <f>I43/I45</f>
        <v>0.27483443708609273</v>
      </c>
      <c r="K43" s="644">
        <f>PIOTR!I6</f>
        <v>264320.15819999995</v>
      </c>
      <c r="L43" s="645">
        <f>K43/K45</f>
        <v>0.27847306002659533</v>
      </c>
      <c r="M43" s="641"/>
      <c r="N43" s="641"/>
    </row>
    <row r="44" spans="1:14">
      <c r="A44" s="315" t="s">
        <v>177</v>
      </c>
      <c r="B44" s="316"/>
      <c r="C44" s="604">
        <v>60900.000000000007</v>
      </c>
      <c r="D44" s="317"/>
      <c r="E44" s="605">
        <v>67666.666666666672</v>
      </c>
      <c r="F44" s="317"/>
      <c r="G44" s="606">
        <v>74433.333333333343</v>
      </c>
      <c r="H44" s="370"/>
      <c r="I44" s="319">
        <f t="shared" si="20"/>
        <v>203000</v>
      </c>
      <c r="J44" s="640">
        <f>I44/I45</f>
        <v>0.22406181015452539</v>
      </c>
      <c r="K44" s="644">
        <f>KRZYSZTOF!I6</f>
        <v>238284.58590000001</v>
      </c>
      <c r="L44" s="645">
        <f>K44/K45</f>
        <v>0.25104342493066473</v>
      </c>
      <c r="M44" s="641"/>
      <c r="N44" s="641"/>
    </row>
    <row r="45" spans="1:14" ht="14.4">
      <c r="A45" s="313" t="s">
        <v>150</v>
      </c>
      <c r="B45" s="262"/>
      <c r="C45" s="262"/>
      <c r="D45" s="262"/>
      <c r="E45" s="262"/>
      <c r="F45" s="262"/>
      <c r="G45" s="262"/>
      <c r="H45" s="263"/>
      <c r="I45" s="263">
        <f>SUM(I40:I44)</f>
        <v>906000</v>
      </c>
      <c r="J45" s="641">
        <v>100</v>
      </c>
      <c r="K45" s="647">
        <f>SUM(K40:K44)</f>
        <v>949176.7648</v>
      </c>
      <c r="L45" s="643">
        <v>100</v>
      </c>
      <c r="M45" s="641"/>
      <c r="N45" s="641"/>
    </row>
    <row r="46" spans="1:14">
      <c r="J46" s="641"/>
      <c r="K46" s="643"/>
      <c r="L46" s="643"/>
      <c r="M46" s="641"/>
      <c r="N46" s="641"/>
    </row>
    <row r="47" spans="1:14">
      <c r="J47" s="641"/>
      <c r="K47" s="643"/>
      <c r="L47" s="643"/>
      <c r="M47" s="641"/>
      <c r="N47" s="641"/>
    </row>
    <row r="48" spans="1:14">
      <c r="A48" s="372"/>
      <c r="B48" s="763" t="s">
        <v>147</v>
      </c>
      <c r="C48" s="763"/>
      <c r="D48" s="763" t="s">
        <v>148</v>
      </c>
      <c r="E48" s="763"/>
      <c r="F48" s="763" t="s">
        <v>18</v>
      </c>
      <c r="G48" s="763"/>
      <c r="H48" s="763" t="s">
        <v>149</v>
      </c>
      <c r="I48" s="763"/>
      <c r="J48" s="641"/>
      <c r="K48" s="643"/>
      <c r="L48" s="643"/>
      <c r="M48" s="641"/>
      <c r="N48" s="641"/>
    </row>
    <row r="49" spans="1:14">
      <c r="A49" s="372"/>
      <c r="B49" s="99" t="s">
        <v>117</v>
      </c>
      <c r="C49" s="99" t="s">
        <v>112</v>
      </c>
      <c r="D49" s="99" t="s">
        <v>117</v>
      </c>
      <c r="E49" s="99" t="s">
        <v>112</v>
      </c>
      <c r="F49" s="99" t="s">
        <v>117</v>
      </c>
      <c r="G49" s="99" t="s">
        <v>112</v>
      </c>
      <c r="H49" s="99" t="s">
        <v>117</v>
      </c>
      <c r="I49" s="99" t="s">
        <v>112</v>
      </c>
      <c r="J49" s="649" t="s">
        <v>229</v>
      </c>
      <c r="K49" s="643" t="s">
        <v>232</v>
      </c>
      <c r="L49" s="643" t="s">
        <v>233</v>
      </c>
      <c r="M49" s="649" t="s">
        <v>231</v>
      </c>
      <c r="N49" s="649" t="s">
        <v>230</v>
      </c>
    </row>
    <row r="50" spans="1:14">
      <c r="A50" s="315" t="s">
        <v>173</v>
      </c>
      <c r="B50" s="316"/>
      <c r="C50" s="316">
        <v>45000</v>
      </c>
      <c r="D50" s="317"/>
      <c r="E50" s="317">
        <v>50000</v>
      </c>
      <c r="F50" s="317"/>
      <c r="G50" s="317">
        <v>55000.000000000007</v>
      </c>
      <c r="H50" s="370"/>
      <c r="I50" s="319">
        <f>G50+E50+C50</f>
        <v>150000</v>
      </c>
      <c r="J50" s="640">
        <f>I50/I55</f>
        <v>0.16556291390728478</v>
      </c>
      <c r="K50" s="644">
        <f>TOMEK!M6</f>
        <v>153169.51490000001</v>
      </c>
      <c r="L50" s="645">
        <f>K50/K55</f>
        <v>0.16318705284358578</v>
      </c>
      <c r="M50" s="650">
        <f>TOMEK!F17</f>
        <v>5300</v>
      </c>
      <c r="N50" s="640">
        <f>M50/M55</f>
        <v>0.22175732217573221</v>
      </c>
    </row>
    <row r="51" spans="1:14">
      <c r="A51" s="315" t="s">
        <v>174</v>
      </c>
      <c r="B51" s="316"/>
      <c r="C51" s="316">
        <v>22500</v>
      </c>
      <c r="D51" s="317"/>
      <c r="E51" s="317">
        <v>25000</v>
      </c>
      <c r="F51" s="317"/>
      <c r="G51" s="317">
        <v>27500.000000000004</v>
      </c>
      <c r="H51" s="370"/>
      <c r="I51" s="319">
        <f t="shared" ref="I51:I54" si="21">G51+E51+C51</f>
        <v>75000</v>
      </c>
      <c r="J51" s="640">
        <f>I51/I55</f>
        <v>8.2781456953642391E-2</v>
      </c>
      <c r="K51" s="646">
        <f>RCKIK!M6</f>
        <v>94526.875</v>
      </c>
      <c r="L51" s="645">
        <f>K51/K55</f>
        <v>0.10070908793982233</v>
      </c>
      <c r="M51" s="650">
        <v>1000</v>
      </c>
      <c r="N51" s="640">
        <f>M51/M55</f>
        <v>4.1841004184100417E-2</v>
      </c>
    </row>
    <row r="52" spans="1:14" ht="14.4">
      <c r="A52" s="315" t="s">
        <v>175</v>
      </c>
      <c r="B52" s="316"/>
      <c r="C52" s="316">
        <v>66000</v>
      </c>
      <c r="D52" s="317"/>
      <c r="E52" s="317">
        <v>73333.333333333328</v>
      </c>
      <c r="F52" s="317"/>
      <c r="G52" s="317">
        <v>80666.666666666672</v>
      </c>
      <c r="H52" s="261"/>
      <c r="I52" s="319">
        <f t="shared" si="21"/>
        <v>220000</v>
      </c>
      <c r="J52" s="640">
        <f>I52/I55</f>
        <v>0.24282560706401765</v>
      </c>
      <c r="K52" s="644">
        <f>BARTEK!M6</f>
        <v>247729.82250000001</v>
      </c>
      <c r="L52" s="645">
        <f>K52/K55</f>
        <v>0.26393175993038043</v>
      </c>
      <c r="M52" s="650">
        <f>BARTEK!F17</f>
        <v>5700</v>
      </c>
      <c r="N52" s="640">
        <f>M52/M55</f>
        <v>0.2384937238493724</v>
      </c>
    </row>
    <row r="53" spans="1:14" ht="14.4">
      <c r="A53" s="315" t="s">
        <v>176</v>
      </c>
      <c r="B53" s="316"/>
      <c r="C53" s="316">
        <v>76500</v>
      </c>
      <c r="D53" s="317"/>
      <c r="E53" s="317">
        <v>85000</v>
      </c>
      <c r="F53" s="317"/>
      <c r="G53" s="317">
        <v>93500.000000000015</v>
      </c>
      <c r="H53" s="261"/>
      <c r="I53" s="319">
        <f t="shared" si="21"/>
        <v>255000</v>
      </c>
      <c r="J53" s="640">
        <f>I53/I55</f>
        <v>0.2814569536423841</v>
      </c>
      <c r="K53" s="644">
        <f>PIOTR!M6</f>
        <v>222440.40969999999</v>
      </c>
      <c r="L53" s="645">
        <f>K53/K55</f>
        <v>0.2369883779808378</v>
      </c>
      <c r="M53" s="650">
        <f>PIOTR!F17</f>
        <v>6400</v>
      </c>
      <c r="N53" s="640">
        <f>M53/M55</f>
        <v>0.26778242677824265</v>
      </c>
    </row>
    <row r="54" spans="1:14" ht="14.4">
      <c r="A54" s="315" t="s">
        <v>177</v>
      </c>
      <c r="B54" s="316"/>
      <c r="C54" s="316">
        <v>61800.000000000007</v>
      </c>
      <c r="D54" s="317"/>
      <c r="E54" s="317">
        <v>68666.666666666672</v>
      </c>
      <c r="F54" s="317"/>
      <c r="G54" s="317">
        <v>75533.333333333343</v>
      </c>
      <c r="H54" s="261"/>
      <c r="I54" s="319">
        <f t="shared" si="21"/>
        <v>206000</v>
      </c>
      <c r="J54" s="640">
        <f>I54/I55</f>
        <v>0.22737306843267108</v>
      </c>
      <c r="K54" s="644">
        <f>KRZYSZTOF!M6</f>
        <v>220746.53519999998</v>
      </c>
      <c r="L54" s="645">
        <f>K54/K55</f>
        <v>0.23518372130537357</v>
      </c>
      <c r="M54" s="650">
        <f>KRZYSZTOF!F17</f>
        <v>5500</v>
      </c>
      <c r="N54" s="640">
        <f>M54/M55</f>
        <v>0.23012552301255229</v>
      </c>
    </row>
    <row r="55" spans="1:14" ht="14.4">
      <c r="A55" s="372" t="s">
        <v>150</v>
      </c>
      <c r="B55" s="262"/>
      <c r="C55" s="262">
        <v>271800</v>
      </c>
      <c r="D55" s="262"/>
      <c r="E55" s="262">
        <v>302000</v>
      </c>
      <c r="F55" s="262"/>
      <c r="G55" s="262">
        <v>332200</v>
      </c>
      <c r="H55" s="263"/>
      <c r="I55" s="263">
        <f>SUM(I50:I54)</f>
        <v>906000</v>
      </c>
      <c r="J55" s="641">
        <v>100</v>
      </c>
      <c r="K55" s="647">
        <f>SUM(K50:K54)</f>
        <v>938613.15730000008</v>
      </c>
      <c r="L55" s="643">
        <v>100</v>
      </c>
      <c r="M55" s="651">
        <f>SUM(M50:M54)</f>
        <v>23900</v>
      </c>
      <c r="N55" s="641">
        <v>100</v>
      </c>
    </row>
    <row r="56" spans="1:14">
      <c r="J56" s="641"/>
      <c r="K56" s="643"/>
      <c r="L56" s="643"/>
      <c r="M56" s="641"/>
      <c r="N56" s="641"/>
    </row>
    <row r="57" spans="1:14">
      <c r="A57" s="372"/>
      <c r="B57" s="768" t="s">
        <v>10</v>
      </c>
      <c r="C57" s="767"/>
      <c r="D57" s="768" t="s">
        <v>11</v>
      </c>
      <c r="E57" s="767"/>
      <c r="F57" s="768" t="s">
        <v>12</v>
      </c>
      <c r="G57" s="767"/>
      <c r="H57" s="768" t="s">
        <v>154</v>
      </c>
      <c r="I57" s="767"/>
      <c r="J57" s="641"/>
      <c r="K57" s="643"/>
      <c r="L57" s="643"/>
      <c r="M57" s="641"/>
      <c r="N57" s="641"/>
    </row>
    <row r="58" spans="1:14">
      <c r="A58" s="372"/>
      <c r="B58" s="300" t="s">
        <v>117</v>
      </c>
      <c r="C58" s="300" t="s">
        <v>112</v>
      </c>
      <c r="D58" s="300" t="s">
        <v>117</v>
      </c>
      <c r="E58" s="300" t="s">
        <v>112</v>
      </c>
      <c r="F58" s="300" t="s">
        <v>117</v>
      </c>
      <c r="G58" s="300" t="s">
        <v>112</v>
      </c>
      <c r="H58" s="300" t="s">
        <v>117</v>
      </c>
      <c r="I58" s="300" t="s">
        <v>112</v>
      </c>
      <c r="J58" s="649" t="s">
        <v>229</v>
      </c>
      <c r="K58" s="643" t="s">
        <v>232</v>
      </c>
      <c r="L58" s="643" t="s">
        <v>233</v>
      </c>
      <c r="M58" s="641"/>
      <c r="N58" s="641"/>
    </row>
    <row r="59" spans="1:14" ht="14.4">
      <c r="A59" s="315" t="s">
        <v>173</v>
      </c>
      <c r="B59" s="451"/>
      <c r="C59" s="673">
        <v>47500</v>
      </c>
      <c r="D59" s="317"/>
      <c r="E59" s="674">
        <v>52500</v>
      </c>
      <c r="F59" s="317"/>
      <c r="G59" s="675">
        <v>50000</v>
      </c>
      <c r="H59" s="261"/>
      <c r="I59" s="319">
        <f>G59+E59+C59</f>
        <v>150000</v>
      </c>
      <c r="J59" s="640">
        <f>I59/I64</f>
        <v>0.16538037486218302</v>
      </c>
      <c r="K59" s="644">
        <f>TOMEK!Q6</f>
        <v>178290.75440000001</v>
      </c>
      <c r="L59" s="645">
        <f>K59/K64</f>
        <v>0.20061385439553131</v>
      </c>
      <c r="M59" s="641"/>
      <c r="N59" s="641"/>
    </row>
    <row r="60" spans="1:14" ht="14.4">
      <c r="A60" s="315" t="s">
        <v>174</v>
      </c>
      <c r="B60" s="451"/>
      <c r="C60" s="673">
        <v>28500</v>
      </c>
      <c r="D60" s="317"/>
      <c r="E60" s="674">
        <v>31500</v>
      </c>
      <c r="F60" s="317"/>
      <c r="G60" s="675">
        <v>30000</v>
      </c>
      <c r="H60" s="261"/>
      <c r="I60" s="319">
        <f t="shared" ref="I60:I63" si="22">G60+E60+C60</f>
        <v>90000</v>
      </c>
      <c r="J60" s="640">
        <f>I60/I64</f>
        <v>9.9228224917309815E-2</v>
      </c>
      <c r="K60" s="646">
        <f>RCKIK!Q6</f>
        <v>93636.503899999996</v>
      </c>
      <c r="L60" s="645">
        <f>K60/K64</f>
        <v>0.10536037060764829</v>
      </c>
      <c r="M60" s="641"/>
      <c r="N60" s="641"/>
    </row>
    <row r="61" spans="1:14">
      <c r="A61" s="315" t="s">
        <v>175</v>
      </c>
      <c r="B61" s="452"/>
      <c r="C61" s="673">
        <v>68716.666666666657</v>
      </c>
      <c r="D61" s="317"/>
      <c r="E61" s="674">
        <v>75950</v>
      </c>
      <c r="F61" s="317"/>
      <c r="G61" s="675">
        <v>72333.333333333328</v>
      </c>
      <c r="H61" s="370"/>
      <c r="I61" s="319">
        <f t="shared" si="22"/>
        <v>216999.99999999997</v>
      </c>
      <c r="J61" s="640">
        <f>I61/I64</f>
        <v>0.23925027563395806</v>
      </c>
      <c r="K61" s="644">
        <f>BARTEK!Q6</f>
        <v>175022.01990000001</v>
      </c>
      <c r="L61" s="645">
        <f>K61/K64</f>
        <v>0.19693585421404436</v>
      </c>
      <c r="M61" s="641"/>
      <c r="N61" s="641"/>
    </row>
    <row r="62" spans="1:14">
      <c r="A62" s="315" t="s">
        <v>176</v>
      </c>
      <c r="B62" s="452"/>
      <c r="C62" s="673">
        <v>79166.666666666657</v>
      </c>
      <c r="D62" s="317"/>
      <c r="E62" s="674">
        <v>87500</v>
      </c>
      <c r="F62" s="317"/>
      <c r="G62" s="675">
        <v>83333.333333333328</v>
      </c>
      <c r="H62" s="370"/>
      <c r="I62" s="319">
        <f t="shared" si="22"/>
        <v>249999.99999999997</v>
      </c>
      <c r="J62" s="640">
        <f>I62/I64</f>
        <v>0.27563395810363833</v>
      </c>
      <c r="K62" s="644">
        <f>PIOTR!Q6</f>
        <v>212688.78700000001</v>
      </c>
      <c r="L62" s="645">
        <f>K62/K64</f>
        <v>0.23931873242878698</v>
      </c>
      <c r="M62" s="641"/>
      <c r="N62" s="641"/>
    </row>
    <row r="63" spans="1:14">
      <c r="A63" s="315" t="s">
        <v>177</v>
      </c>
      <c r="B63" s="452"/>
      <c r="C63" s="676">
        <v>63333.333333333336</v>
      </c>
      <c r="D63" s="317"/>
      <c r="E63" s="677">
        <v>70000.000000000015</v>
      </c>
      <c r="F63" s="317"/>
      <c r="G63" s="678">
        <v>66666.666666666672</v>
      </c>
      <c r="H63" s="370"/>
      <c r="I63" s="319">
        <f t="shared" si="22"/>
        <v>200000.00000000003</v>
      </c>
      <c r="J63" s="640">
        <f>I63/I64</f>
        <v>0.22050716648291072</v>
      </c>
      <c r="K63" s="644">
        <f>KRZYSZTOF!Q6</f>
        <v>229087.96489999999</v>
      </c>
      <c r="L63" s="645">
        <f>K63/K64</f>
        <v>0.25777118835398899</v>
      </c>
      <c r="M63" s="641"/>
      <c r="N63" s="641"/>
    </row>
    <row r="64" spans="1:14" ht="14.4">
      <c r="A64" s="372" t="s">
        <v>150</v>
      </c>
      <c r="B64" s="262">
        <f>SUM(B59:B63)</f>
        <v>0</v>
      </c>
      <c r="C64" s="262">
        <f>SUM(C59:C63)</f>
        <v>287216.66666666663</v>
      </c>
      <c r="D64" s="262"/>
      <c r="E64" s="262">
        <f>SUM(E59:E63)</f>
        <v>317450</v>
      </c>
      <c r="F64" s="262"/>
      <c r="G64" s="262">
        <f>SUM(G59:G63)</f>
        <v>302333.33333333331</v>
      </c>
      <c r="H64" s="263"/>
      <c r="I64" s="263">
        <f>SUM(I59:I63)</f>
        <v>907000</v>
      </c>
      <c r="J64" s="641">
        <v>100</v>
      </c>
      <c r="K64" s="647">
        <f>SUM(K59:K63)</f>
        <v>888726.03010000009</v>
      </c>
      <c r="L64" s="643">
        <v>100</v>
      </c>
      <c r="M64" s="641"/>
      <c r="N64" s="641"/>
    </row>
    <row r="65" spans="2:9">
      <c r="B65" s="193"/>
      <c r="C65" s="193"/>
      <c r="D65" s="193"/>
      <c r="E65" s="193"/>
      <c r="F65" s="193"/>
      <c r="G65" s="193"/>
      <c r="H65" s="193"/>
      <c r="I65" s="193"/>
    </row>
  </sheetData>
  <mergeCells count="31">
    <mergeCell ref="B57:C57"/>
    <mergeCell ref="D57:E57"/>
    <mergeCell ref="F57:G57"/>
    <mergeCell ref="H57:I57"/>
    <mergeCell ref="F38:G38"/>
    <mergeCell ref="H38:I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</mergeCells>
  <pageMargins left="0.7" right="0.7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14" sqref="G14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3.10937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60" t="s">
        <v>190</v>
      </c>
      <c r="B1" s="160" t="s">
        <v>191</v>
      </c>
      <c r="C1" s="160" t="s">
        <v>192</v>
      </c>
      <c r="D1" s="160" t="s">
        <v>193</v>
      </c>
      <c r="E1" s="160" t="s">
        <v>194</v>
      </c>
      <c r="F1" s="160" t="s">
        <v>195</v>
      </c>
      <c r="G1" s="160" t="s">
        <v>196</v>
      </c>
      <c r="H1" s="160" t="s">
        <v>197</v>
      </c>
      <c r="I1" s="160" t="s">
        <v>198</v>
      </c>
      <c r="J1" s="160" t="s">
        <v>112</v>
      </c>
    </row>
    <row r="2" spans="1:10">
      <c r="A2" s="160" t="s">
        <v>70</v>
      </c>
      <c r="B2" s="160"/>
      <c r="C2" s="160"/>
      <c r="D2" s="193">
        <v>1835.895</v>
      </c>
      <c r="E2" s="193"/>
      <c r="F2" s="193">
        <v>101978.1875</v>
      </c>
      <c r="G2" s="193">
        <v>82909.093800000002</v>
      </c>
      <c r="H2" s="193">
        <v>54371.803</v>
      </c>
      <c r="I2" s="193">
        <v>28537.287100000001</v>
      </c>
      <c r="J2" s="193">
        <v>34.419899999999998</v>
      </c>
    </row>
    <row r="3" spans="1:10">
      <c r="A3" s="160" t="s">
        <v>77</v>
      </c>
      <c r="B3" s="160"/>
      <c r="C3" s="160"/>
      <c r="D3" s="193">
        <v>5213.3950000000004</v>
      </c>
      <c r="E3" s="193"/>
      <c r="F3" s="193">
        <v>179808.67189999999</v>
      </c>
      <c r="G3" s="193">
        <v>146185.85939999999</v>
      </c>
      <c r="H3" s="193">
        <v>102178.5284</v>
      </c>
      <c r="I3" s="193">
        <v>44007.332000000002</v>
      </c>
      <c r="J3" s="193">
        <v>30.1036</v>
      </c>
    </row>
    <row r="4" spans="1:10">
      <c r="A4" s="160" t="s">
        <v>25</v>
      </c>
      <c r="B4" s="160"/>
      <c r="C4" s="160"/>
      <c r="D4" s="193">
        <v>6111.6220000000003</v>
      </c>
      <c r="E4" s="193"/>
      <c r="F4" s="193">
        <v>193136.76560000001</v>
      </c>
      <c r="G4" s="193">
        <v>157021.6875</v>
      </c>
      <c r="H4" s="193">
        <v>101909.7614</v>
      </c>
      <c r="I4" s="193">
        <v>55111.929700000001</v>
      </c>
      <c r="J4" s="193">
        <v>35.098199999999999</v>
      </c>
    </row>
    <row r="5" spans="1:10">
      <c r="A5" s="160" t="s">
        <v>24</v>
      </c>
      <c r="B5" s="160"/>
      <c r="C5" s="160"/>
      <c r="D5" s="193">
        <v>4287.424</v>
      </c>
      <c r="E5" s="193"/>
      <c r="F5" s="193">
        <v>222167.95310000001</v>
      </c>
      <c r="G5" s="193">
        <v>180624.3438</v>
      </c>
      <c r="H5" s="193">
        <v>123797.2629</v>
      </c>
      <c r="I5" s="193">
        <v>56827.078099999999</v>
      </c>
      <c r="J5" s="193">
        <v>31.461400000000001</v>
      </c>
    </row>
    <row r="6" spans="1:10">
      <c r="A6" s="160" t="s">
        <v>76</v>
      </c>
      <c r="B6" s="160"/>
      <c r="C6" s="160"/>
      <c r="D6" s="193">
        <v>2690.0479999999998</v>
      </c>
      <c r="E6" s="193"/>
      <c r="F6" s="193">
        <v>185416.1563</v>
      </c>
      <c r="G6" s="193">
        <v>150744.79689999999</v>
      </c>
      <c r="H6" s="193">
        <v>87668.895799999998</v>
      </c>
      <c r="I6" s="193">
        <v>63075.902300000002</v>
      </c>
      <c r="J6" s="193">
        <v>41.842799999999997</v>
      </c>
    </row>
    <row r="7" spans="1:10">
      <c r="A7" s="160" t="s">
        <v>199</v>
      </c>
      <c r="B7" s="160"/>
      <c r="C7" s="160"/>
      <c r="D7" s="193">
        <v>20138.383999999998</v>
      </c>
      <c r="E7" s="193"/>
      <c r="F7" s="193">
        <v>882507.75</v>
      </c>
      <c r="G7" s="193">
        <v>717485.75</v>
      </c>
      <c r="H7" s="193">
        <v>469926.25150000001</v>
      </c>
      <c r="I7" s="303">
        <v>247559.5313</v>
      </c>
      <c r="J7" s="193">
        <v>34.503700000000002</v>
      </c>
    </row>
    <row r="8" spans="1:10">
      <c r="A8" s="160"/>
      <c r="B8" s="160"/>
      <c r="C8" s="160"/>
      <c r="D8" s="193"/>
      <c r="E8" s="193"/>
      <c r="F8" s="193"/>
      <c r="G8" s="193"/>
      <c r="H8" s="193"/>
      <c r="I8" s="193"/>
      <c r="J8" s="193"/>
    </row>
    <row r="9" spans="1:10">
      <c r="A9" s="160"/>
      <c r="B9" s="160"/>
      <c r="C9" s="160"/>
      <c r="D9" s="160"/>
      <c r="E9" s="160"/>
      <c r="F9" s="160"/>
      <c r="G9" s="160"/>
      <c r="H9" s="160"/>
      <c r="I9" s="361"/>
      <c r="J9" s="160"/>
    </row>
    <row r="12" spans="1:10" ht="14.4">
      <c r="A12" s="341"/>
    </row>
    <row r="15" spans="1:10" ht="14.4">
      <c r="A15" s="265"/>
      <c r="B15" s="369"/>
      <c r="C15" s="265"/>
    </row>
    <row r="16" spans="1:10" ht="14.4">
      <c r="A16" s="265"/>
      <c r="B16" s="265"/>
      <c r="C16" s="367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F28" sqref="F28:F29"/>
    </sheetView>
  </sheetViews>
  <sheetFormatPr defaultRowHeight="13.2"/>
  <cols>
    <col min="1" max="1" width="18.5546875" customWidth="1"/>
    <col min="2" max="2" width="13.5546875" customWidth="1"/>
    <col min="6" max="6" width="13.44140625" customWidth="1"/>
  </cols>
  <sheetData>
    <row r="1" spans="1:10">
      <c r="A1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t="s">
        <v>70</v>
      </c>
      <c r="D2">
        <v>1615.67</v>
      </c>
      <c r="F2">
        <v>123722.27340000001</v>
      </c>
      <c r="G2">
        <v>100587.17969999999</v>
      </c>
      <c r="H2">
        <v>65087.326800000003</v>
      </c>
      <c r="I2" s="160">
        <v>35499.851600000002</v>
      </c>
      <c r="J2">
        <v>35.2926</v>
      </c>
    </row>
    <row r="3" spans="1:10">
      <c r="A3" t="s">
        <v>77</v>
      </c>
      <c r="D3">
        <v>4165.22</v>
      </c>
      <c r="F3">
        <v>160099.73439999999</v>
      </c>
      <c r="G3">
        <v>130162.3906</v>
      </c>
      <c r="H3">
        <v>74958.204899999997</v>
      </c>
      <c r="I3" s="318">
        <v>55204.183599999997</v>
      </c>
      <c r="J3">
        <v>42.411700000000003</v>
      </c>
    </row>
    <row r="4" spans="1:10">
      <c r="A4" t="s">
        <v>24</v>
      </c>
      <c r="D4">
        <v>5029.7510000000002</v>
      </c>
      <c r="F4">
        <v>247557.8438</v>
      </c>
      <c r="G4">
        <v>201266.54689999999</v>
      </c>
      <c r="H4">
        <v>143804.59539999999</v>
      </c>
      <c r="I4" s="265">
        <f>57461.9531+B13</f>
        <v>58179.823100000001</v>
      </c>
      <c r="J4">
        <v>28.5501</v>
      </c>
    </row>
    <row r="5" spans="1:10">
      <c r="A5" t="s">
        <v>25</v>
      </c>
      <c r="D5">
        <v>6362.6220000000003</v>
      </c>
      <c r="F5">
        <v>309702.625</v>
      </c>
      <c r="G5">
        <v>251790.73439999999</v>
      </c>
      <c r="H5">
        <v>188844.92230000001</v>
      </c>
      <c r="I5" s="160">
        <v>62945.808599999997</v>
      </c>
      <c r="J5">
        <v>24.999199999999998</v>
      </c>
    </row>
    <row r="6" spans="1:10">
      <c r="A6" t="s">
        <v>76</v>
      </c>
      <c r="D6">
        <v>4786.0969999999998</v>
      </c>
      <c r="F6">
        <v>249321.95310000001</v>
      </c>
      <c r="G6">
        <v>202700.73439999999</v>
      </c>
      <c r="H6">
        <v>124309.3172</v>
      </c>
      <c r="I6" s="318">
        <v>78391.421900000001</v>
      </c>
      <c r="J6">
        <v>38.673400000000001</v>
      </c>
    </row>
    <row r="7" spans="1:10">
      <c r="A7" t="s">
        <v>199</v>
      </c>
      <c r="D7">
        <v>21959.360000000001</v>
      </c>
      <c r="F7">
        <v>1090404.5</v>
      </c>
      <c r="G7">
        <v>886507.5625</v>
      </c>
      <c r="H7">
        <v>597004.36659999995</v>
      </c>
      <c r="I7" s="160">
        <v>289503.21879999997</v>
      </c>
      <c r="J7">
        <v>32.656500000000001</v>
      </c>
    </row>
    <row r="8" spans="1:10">
      <c r="I8" s="265"/>
    </row>
    <row r="13" spans="1:10" ht="14.4">
      <c r="A13" t="s">
        <v>203</v>
      </c>
      <c r="B13" s="377">
        <v>717.87</v>
      </c>
      <c r="C13" s="369"/>
    </row>
    <row r="14" spans="1:10" ht="14.4">
      <c r="E14" s="341"/>
    </row>
    <row r="17" spans="1:3">
      <c r="A17" s="265"/>
      <c r="B17" s="265"/>
      <c r="C17" s="265"/>
    </row>
    <row r="18" spans="1:3" ht="14.4">
      <c r="A18" s="447"/>
      <c r="B18" s="265"/>
      <c r="C18" s="265"/>
    </row>
    <row r="19" spans="1:3" ht="14.4">
      <c r="A19" s="377"/>
      <c r="B19" s="265"/>
      <c r="C19" s="265"/>
    </row>
    <row r="20" spans="1:3" ht="14.4">
      <c r="A20" s="447"/>
      <c r="B20" s="375"/>
      <c r="C20" s="265"/>
    </row>
    <row r="21" spans="1:3" ht="14.4">
      <c r="A21" s="447"/>
      <c r="B21" s="265"/>
      <c r="C21" s="265"/>
    </row>
    <row r="22" spans="1:3" ht="14.4">
      <c r="A22" s="447"/>
      <c r="B22" s="265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G38" sqref="G38"/>
    </sheetView>
  </sheetViews>
  <sheetFormatPr defaultRowHeight="13.2"/>
  <cols>
    <col min="1" max="1" width="19.109375" customWidth="1"/>
    <col min="2" max="2" width="13.109375" customWidth="1"/>
    <col min="3" max="3" width="14" customWidth="1"/>
    <col min="4" max="4" width="15.5546875" customWidth="1"/>
    <col min="5" max="5" width="12.33203125" customWidth="1"/>
    <col min="6" max="9" width="15.5546875" customWidth="1"/>
  </cols>
  <sheetData>
    <row r="1" spans="1:10">
      <c r="A1" s="607" t="s">
        <v>190</v>
      </c>
      <c r="B1" s="607" t="s">
        <v>191</v>
      </c>
      <c r="C1" s="607" t="s">
        <v>192</v>
      </c>
      <c r="D1" s="607" t="s">
        <v>193</v>
      </c>
      <c r="E1" s="607" t="s">
        <v>194</v>
      </c>
      <c r="F1" s="607" t="s">
        <v>195</v>
      </c>
      <c r="G1" s="607" t="s">
        <v>196</v>
      </c>
      <c r="H1" s="607" t="s">
        <v>197</v>
      </c>
      <c r="I1" s="607" t="s">
        <v>198</v>
      </c>
      <c r="J1" s="161" t="s">
        <v>112</v>
      </c>
    </row>
    <row r="2" spans="1:10">
      <c r="A2" s="161" t="s">
        <v>70</v>
      </c>
      <c r="B2" s="161"/>
      <c r="C2" s="161"/>
      <c r="D2" s="608">
        <v>2157.2550000000001</v>
      </c>
      <c r="E2" s="608"/>
      <c r="F2" s="608">
        <v>113416.6719</v>
      </c>
      <c r="G2" s="608">
        <v>92208.648400000005</v>
      </c>
      <c r="H2" s="608">
        <v>64496.332300000002</v>
      </c>
      <c r="I2" s="608">
        <v>27712.3184</v>
      </c>
      <c r="J2" s="161">
        <v>30.053899999999999</v>
      </c>
    </row>
    <row r="3" spans="1:10">
      <c r="A3" s="161" t="s">
        <v>77</v>
      </c>
      <c r="B3" s="161"/>
      <c r="C3" s="161"/>
      <c r="D3" s="608">
        <v>3716.7660000000001</v>
      </c>
      <c r="E3" s="608"/>
      <c r="F3" s="608">
        <v>201388.5</v>
      </c>
      <c r="G3" s="608">
        <v>163730.4063</v>
      </c>
      <c r="H3" s="608">
        <v>101125.2904</v>
      </c>
      <c r="I3" s="608">
        <v>62605.121099999997</v>
      </c>
      <c r="J3" s="161">
        <v>38.236699999999999</v>
      </c>
    </row>
    <row r="4" spans="1:10">
      <c r="A4" s="161" t="s">
        <v>25</v>
      </c>
      <c r="B4" s="161"/>
      <c r="C4" s="161"/>
      <c r="D4" s="608">
        <v>5492.4930000000004</v>
      </c>
      <c r="E4" s="608"/>
      <c r="F4" s="608">
        <v>331560.03129999997</v>
      </c>
      <c r="G4" s="608">
        <v>269560.96879999997</v>
      </c>
      <c r="H4" s="608">
        <v>188085.2849</v>
      </c>
      <c r="I4" s="609">
        <v>81475.6875</v>
      </c>
      <c r="J4" s="161">
        <v>30.225300000000001</v>
      </c>
    </row>
    <row r="5" spans="1:10">
      <c r="A5" s="161" t="s">
        <v>76</v>
      </c>
      <c r="B5" s="161"/>
      <c r="C5" s="161"/>
      <c r="D5" s="608">
        <v>5904.4179999999997</v>
      </c>
      <c r="E5" s="608"/>
      <c r="F5" s="608">
        <v>253367.4375</v>
      </c>
      <c r="G5" s="608">
        <v>205989.79689999999</v>
      </c>
      <c r="H5" s="608">
        <v>122170.2326</v>
      </c>
      <c r="I5" s="608">
        <f>83819.5547+B19</f>
        <v>84529.204699999987</v>
      </c>
      <c r="J5" s="161">
        <v>40.691099999999999</v>
      </c>
    </row>
    <row r="6" spans="1:10">
      <c r="A6" s="161" t="s">
        <v>24</v>
      </c>
      <c r="B6" s="161"/>
      <c r="C6" s="161"/>
      <c r="D6" s="608">
        <v>7294.0010000000002</v>
      </c>
      <c r="E6" s="608"/>
      <c r="F6" s="608">
        <v>428169.375</v>
      </c>
      <c r="G6" s="608">
        <v>348174</v>
      </c>
      <c r="H6" s="608">
        <v>227294.913</v>
      </c>
      <c r="I6" s="608">
        <v>120879.0781</v>
      </c>
      <c r="J6" s="161">
        <v>34.718000000000004</v>
      </c>
    </row>
    <row r="7" spans="1:10">
      <c r="A7" s="161" t="s">
        <v>199</v>
      </c>
      <c r="B7" s="161"/>
      <c r="C7" s="161"/>
      <c r="D7" s="608">
        <v>24564.933000000001</v>
      </c>
      <c r="E7" s="608"/>
      <c r="F7" s="608">
        <v>1327902</v>
      </c>
      <c r="G7" s="608" t="s">
        <v>165</v>
      </c>
      <c r="H7" s="608">
        <v>703172.05319999997</v>
      </c>
      <c r="I7" s="608">
        <v>376491.75</v>
      </c>
      <c r="J7" s="161">
        <v>34.871200000000002</v>
      </c>
    </row>
    <row r="8" spans="1:10">
      <c r="A8" s="160"/>
      <c r="B8" s="160"/>
      <c r="C8" s="160"/>
      <c r="D8" s="160"/>
      <c r="E8" s="160"/>
      <c r="F8" s="160"/>
      <c r="G8" s="160"/>
      <c r="H8" s="160"/>
      <c r="I8" s="265"/>
      <c r="J8" s="160"/>
    </row>
    <row r="9" spans="1:10">
      <c r="I9" s="348"/>
    </row>
    <row r="10" spans="1:10">
      <c r="I10" s="348"/>
    </row>
    <row r="14" spans="1:10" ht="14.4">
      <c r="A14" s="265"/>
      <c r="B14" s="265"/>
      <c r="C14" s="369"/>
    </row>
    <row r="15" spans="1:10" ht="14.4">
      <c r="A15" s="367"/>
      <c r="B15" s="265"/>
      <c r="C15" s="265"/>
    </row>
    <row r="17" spans="1:3">
      <c r="A17" s="265"/>
      <c r="B17" s="265"/>
      <c r="C17" s="265"/>
    </row>
    <row r="18" spans="1:3" ht="14.4">
      <c r="A18" s="265"/>
      <c r="B18" s="367"/>
      <c r="C18" s="265"/>
    </row>
    <row r="19" spans="1:3" ht="14.4">
      <c r="A19" s="377" t="s">
        <v>221</v>
      </c>
      <c r="B19" s="377">
        <v>709.65</v>
      </c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4" sqref="I4"/>
    </sheetView>
  </sheetViews>
  <sheetFormatPr defaultRowHeight="13.2"/>
  <cols>
    <col min="1" max="1" width="44" customWidth="1"/>
    <col min="2" max="2" width="10.109375" customWidth="1"/>
    <col min="7" max="7" width="19" customWidth="1"/>
  </cols>
  <sheetData>
    <row r="1" spans="1:10">
      <c r="A1" s="160" t="s">
        <v>190</v>
      </c>
      <c r="B1" s="160" t="s">
        <v>191</v>
      </c>
      <c r="C1" s="160" t="s">
        <v>192</v>
      </c>
      <c r="D1" s="160" t="s">
        <v>193</v>
      </c>
      <c r="E1" s="160" t="s">
        <v>194</v>
      </c>
      <c r="F1" s="160" t="s">
        <v>195</v>
      </c>
      <c r="G1" s="160" t="s">
        <v>196</v>
      </c>
      <c r="H1" s="160" t="s">
        <v>197</v>
      </c>
      <c r="I1" s="160" t="s">
        <v>198</v>
      </c>
      <c r="J1" s="160" t="s">
        <v>112</v>
      </c>
    </row>
    <row r="2" spans="1:10">
      <c r="A2" s="160" t="s">
        <v>70</v>
      </c>
      <c r="B2" s="160"/>
      <c r="C2" s="160"/>
      <c r="D2" s="160">
        <v>1755.895</v>
      </c>
      <c r="E2" s="160"/>
      <c r="F2" s="160">
        <v>74603.906300000002</v>
      </c>
      <c r="G2" s="160">
        <v>60653.570299999999</v>
      </c>
      <c r="H2" s="160">
        <v>46828.418799999999</v>
      </c>
      <c r="I2" s="160">
        <v>13825.151400000001</v>
      </c>
      <c r="J2" s="160">
        <v>22.793600000000001</v>
      </c>
    </row>
    <row r="3" spans="1:10">
      <c r="A3" s="160" t="s">
        <v>77</v>
      </c>
      <c r="B3" s="160"/>
      <c r="C3" s="160"/>
      <c r="D3" s="160">
        <v>3904.6990000000001</v>
      </c>
      <c r="E3" s="160"/>
      <c r="F3" s="160">
        <v>182473.14060000001</v>
      </c>
      <c r="G3" s="160">
        <v>148352.0938</v>
      </c>
      <c r="H3" s="160">
        <v>90684.808399999994</v>
      </c>
      <c r="I3" s="265">
        <f>57667.2813+B22</f>
        <v>58160.781300000002</v>
      </c>
      <c r="J3" s="160">
        <v>38.871899999999997</v>
      </c>
    </row>
    <row r="4" spans="1:10">
      <c r="A4" s="160" t="s">
        <v>24</v>
      </c>
      <c r="B4" s="160"/>
      <c r="C4" s="160"/>
      <c r="D4" s="160">
        <v>13599.662</v>
      </c>
      <c r="E4" s="160"/>
      <c r="F4" s="160">
        <v>344814.5</v>
      </c>
      <c r="G4" s="160">
        <v>280336.90629999997</v>
      </c>
      <c r="H4" s="160">
        <v>202961.66940000001</v>
      </c>
      <c r="I4" s="265">
        <f>77375.2344+B20</f>
        <v>77554.474400000006</v>
      </c>
      <c r="J4" s="160">
        <v>27.6008</v>
      </c>
    </row>
    <row r="5" spans="1:10">
      <c r="A5" s="160" t="s">
        <v>25</v>
      </c>
      <c r="B5" s="160"/>
      <c r="C5" s="160"/>
      <c r="D5" s="160">
        <v>12338.924999999999</v>
      </c>
      <c r="E5" s="160"/>
      <c r="F5" s="160">
        <v>302417.625</v>
      </c>
      <c r="G5" s="160">
        <v>245867.98439999999</v>
      </c>
      <c r="H5" s="160">
        <v>158324.5379</v>
      </c>
      <c r="I5" s="160">
        <v>87543.445300000007</v>
      </c>
      <c r="J5" s="160">
        <v>35.605800000000002</v>
      </c>
    </row>
    <row r="6" spans="1:10">
      <c r="A6" s="160" t="s">
        <v>76</v>
      </c>
      <c r="B6" s="160"/>
      <c r="C6" s="160"/>
      <c r="D6" s="160">
        <v>5679.7740000000003</v>
      </c>
      <c r="E6" s="160"/>
      <c r="F6" s="160">
        <v>404230.8125</v>
      </c>
      <c r="G6" s="160">
        <v>328642.90629999997</v>
      </c>
      <c r="H6" s="160">
        <v>238097.7801</v>
      </c>
      <c r="I6" s="265">
        <f>90545.1406+B16+B19+B21</f>
        <v>91732.250599999999</v>
      </c>
      <c r="J6" s="160">
        <v>27.551200000000001</v>
      </c>
    </row>
    <row r="7" spans="1:10">
      <c r="A7" s="160" t="s">
        <v>199</v>
      </c>
      <c r="B7" s="160"/>
      <c r="C7" s="160"/>
      <c r="D7" s="160">
        <v>37278.955000000002</v>
      </c>
      <c r="E7" s="160"/>
      <c r="F7" s="160">
        <v>1308540</v>
      </c>
      <c r="G7" s="160">
        <v>1063853.5</v>
      </c>
      <c r="H7" s="160">
        <v>736897.21459999995</v>
      </c>
      <c r="I7" s="160">
        <v>326956.25</v>
      </c>
      <c r="J7" s="160">
        <v>30.7332</v>
      </c>
    </row>
    <row r="14" spans="1:10" ht="14.4">
      <c r="A14" s="265"/>
      <c r="B14" s="369"/>
      <c r="C14" s="369"/>
    </row>
    <row r="15" spans="1:10" ht="14.4">
      <c r="A15" s="447"/>
    </row>
    <row r="16" spans="1:10" ht="14.4">
      <c r="A16" s="447" t="s">
        <v>222</v>
      </c>
      <c r="B16">
        <v>385.86</v>
      </c>
    </row>
    <row r="17" spans="1:2" ht="14.4">
      <c r="A17" s="447"/>
    </row>
    <row r="18" spans="1:2" ht="14.4">
      <c r="A18" s="447" t="s">
        <v>223</v>
      </c>
    </row>
    <row r="19" spans="1:2" ht="14.4">
      <c r="A19" s="447" t="s">
        <v>224</v>
      </c>
      <c r="B19">
        <v>698.1</v>
      </c>
    </row>
    <row r="20" spans="1:2" ht="14.4">
      <c r="A20" s="447" t="s">
        <v>225</v>
      </c>
      <c r="B20">
        <v>179.24</v>
      </c>
    </row>
    <row r="21" spans="1:2" ht="14.4">
      <c r="A21" s="447" t="s">
        <v>226</v>
      </c>
      <c r="B21">
        <v>103.15</v>
      </c>
    </row>
    <row r="22" spans="1:2" ht="14.4">
      <c r="A22" s="447" t="s">
        <v>227</v>
      </c>
      <c r="B22">
        <v>493.5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I5" sqref="I5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60" t="s">
        <v>190</v>
      </c>
      <c r="B1" s="160" t="s">
        <v>191</v>
      </c>
      <c r="C1" s="160" t="s">
        <v>192</v>
      </c>
      <c r="D1" s="160" t="s">
        <v>193</v>
      </c>
      <c r="E1" s="160" t="s">
        <v>194</v>
      </c>
      <c r="F1" s="160" t="s">
        <v>195</v>
      </c>
      <c r="G1" s="160" t="s">
        <v>196</v>
      </c>
      <c r="H1" s="160" t="s">
        <v>197</v>
      </c>
      <c r="I1" s="160" t="s">
        <v>198</v>
      </c>
      <c r="J1" s="160" t="s">
        <v>112</v>
      </c>
      <c r="K1" s="160"/>
    </row>
    <row r="2" spans="1:11">
      <c r="A2" s="160" t="s">
        <v>70</v>
      </c>
      <c r="B2" s="160"/>
      <c r="C2" s="160"/>
      <c r="D2" s="160">
        <v>848.495</v>
      </c>
      <c r="E2" s="160"/>
      <c r="F2" s="193">
        <v>96011.226599999995</v>
      </c>
      <c r="G2" s="193">
        <v>78057.906300000002</v>
      </c>
      <c r="H2" s="193">
        <v>58449.084999999999</v>
      </c>
      <c r="I2" s="340">
        <v>19608.824199999999</v>
      </c>
      <c r="J2" s="160">
        <v>25.120799999999999</v>
      </c>
      <c r="K2" s="160"/>
    </row>
    <row r="3" spans="1:11">
      <c r="A3" s="160" t="s">
        <v>77</v>
      </c>
      <c r="B3" s="160"/>
      <c r="C3" s="160"/>
      <c r="D3" s="160">
        <v>4095.85</v>
      </c>
      <c r="E3" s="160"/>
      <c r="F3" s="193">
        <v>144050.0313</v>
      </c>
      <c r="G3" s="193">
        <v>117113.8125</v>
      </c>
      <c r="H3" s="193">
        <v>70122.976999999999</v>
      </c>
      <c r="I3" s="193">
        <v>46990.832000000002</v>
      </c>
      <c r="J3" s="160">
        <v>40.124000000000002</v>
      </c>
      <c r="K3" s="160"/>
    </row>
    <row r="4" spans="1:11">
      <c r="A4" s="160" t="s">
        <v>25</v>
      </c>
      <c r="B4" s="160"/>
      <c r="C4" s="160"/>
      <c r="D4" s="160">
        <v>5651.75</v>
      </c>
      <c r="E4" s="160"/>
      <c r="F4" s="193">
        <v>189662.6563</v>
      </c>
      <c r="G4" s="193">
        <v>154197.2813</v>
      </c>
      <c r="H4" s="193">
        <v>98955.474499999997</v>
      </c>
      <c r="I4" s="193">
        <v>55241.804700000001</v>
      </c>
      <c r="J4" s="160">
        <v>35.825400000000002</v>
      </c>
      <c r="K4" s="160"/>
    </row>
    <row r="5" spans="1:11">
      <c r="A5" s="160" t="s">
        <v>76</v>
      </c>
      <c r="B5" s="160"/>
      <c r="C5" s="160"/>
      <c r="D5" s="160">
        <v>3511.0140000000001</v>
      </c>
      <c r="E5" s="160"/>
      <c r="F5" s="193">
        <v>294292.125</v>
      </c>
      <c r="G5" s="193">
        <v>239261.8125</v>
      </c>
      <c r="H5" s="193">
        <v>168195.6318</v>
      </c>
      <c r="I5" s="303">
        <v>71066.179699999993</v>
      </c>
      <c r="J5" s="160">
        <v>29.702200000000001</v>
      </c>
      <c r="K5" s="160"/>
    </row>
    <row r="6" spans="1:11">
      <c r="A6" s="160" t="s">
        <v>24</v>
      </c>
      <c r="B6" s="160"/>
      <c r="C6" s="160"/>
      <c r="D6" s="160">
        <v>9430.0889999999999</v>
      </c>
      <c r="E6" s="160"/>
      <c r="F6" s="193">
        <v>615635.75</v>
      </c>
      <c r="G6" s="193">
        <v>500516.8125</v>
      </c>
      <c r="H6" s="193">
        <v>384672.87199999997</v>
      </c>
      <c r="I6" s="340">
        <v>115843.92969999999</v>
      </c>
      <c r="J6" s="160">
        <v>23.1448</v>
      </c>
      <c r="K6" s="160"/>
    </row>
    <row r="7" spans="1:11">
      <c r="A7" s="160" t="s">
        <v>199</v>
      </c>
      <c r="B7" s="160"/>
      <c r="C7" s="160"/>
      <c r="D7" s="160">
        <v>23537.198</v>
      </c>
      <c r="E7" s="160"/>
      <c r="F7" s="193">
        <v>1339651.75</v>
      </c>
      <c r="G7" s="193">
        <v>1089147.625</v>
      </c>
      <c r="H7" s="193">
        <v>780396.04029999999</v>
      </c>
      <c r="I7" s="340">
        <v>308751.5625</v>
      </c>
      <c r="J7" s="160">
        <v>28.347999999999999</v>
      </c>
    </row>
    <row r="10" spans="1:11">
      <c r="A10" s="160"/>
    </row>
    <row r="11" spans="1:11">
      <c r="A11" s="160"/>
    </row>
    <row r="12" spans="1:11">
      <c r="A12" s="160"/>
    </row>
    <row r="13" spans="1:11">
      <c r="A13" s="160"/>
    </row>
    <row r="14" spans="1:11">
      <c r="A14" s="160"/>
    </row>
    <row r="15" spans="1:11" ht="14.4">
      <c r="A15" s="447"/>
      <c r="D15" s="265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5" sqref="I5"/>
    </sheetView>
  </sheetViews>
  <sheetFormatPr defaultRowHeight="13.2"/>
  <cols>
    <col min="1" max="1" width="31.77734375" customWidth="1"/>
    <col min="9" max="9" width="12.109375" customWidth="1"/>
  </cols>
  <sheetData>
    <row r="1" spans="1:10">
      <c r="A1" s="160" t="s">
        <v>190</v>
      </c>
      <c r="B1" s="160" t="s">
        <v>191</v>
      </c>
      <c r="C1" s="160" t="s">
        <v>192</v>
      </c>
      <c r="D1" s="160" t="s">
        <v>193</v>
      </c>
      <c r="E1" s="160" t="s">
        <v>194</v>
      </c>
      <c r="F1" s="160" t="s">
        <v>195</v>
      </c>
      <c r="G1" s="160" t="s">
        <v>196</v>
      </c>
      <c r="H1" s="160" t="s">
        <v>197</v>
      </c>
      <c r="I1" s="160" t="s">
        <v>198</v>
      </c>
      <c r="J1" s="160" t="s">
        <v>112</v>
      </c>
    </row>
    <row r="2" spans="1:10">
      <c r="A2" s="160" t="s">
        <v>70</v>
      </c>
      <c r="B2" s="160"/>
      <c r="C2" s="160"/>
      <c r="D2" s="160">
        <v>2445.9899999999998</v>
      </c>
      <c r="E2" s="160"/>
      <c r="F2" s="160">
        <v>146699.26560000001</v>
      </c>
      <c r="G2" s="160">
        <v>119267.7031</v>
      </c>
      <c r="H2" s="160">
        <v>94972.408599999995</v>
      </c>
      <c r="I2" s="318">
        <v>24295.291000000001</v>
      </c>
      <c r="J2" s="160">
        <v>20.3703</v>
      </c>
    </row>
    <row r="3" spans="1:10">
      <c r="A3" s="160" t="s">
        <v>77</v>
      </c>
      <c r="B3" s="160"/>
      <c r="C3" s="160"/>
      <c r="D3" s="160">
        <v>4173.5479999999998</v>
      </c>
      <c r="E3" s="160"/>
      <c r="F3" s="160">
        <v>169932.45310000001</v>
      </c>
      <c r="G3" s="160">
        <v>138156.4375</v>
      </c>
      <c r="H3" s="160">
        <v>87538.113400000002</v>
      </c>
      <c r="I3" s="160">
        <v>50618.316400000003</v>
      </c>
      <c r="J3" s="160">
        <v>36.638399999999997</v>
      </c>
    </row>
    <row r="4" spans="1:10">
      <c r="A4" s="160" t="s">
        <v>76</v>
      </c>
      <c r="B4" s="160"/>
      <c r="C4" s="160"/>
      <c r="D4" s="160">
        <v>4603.25</v>
      </c>
      <c r="E4" s="160"/>
      <c r="F4" s="160">
        <v>230964.25</v>
      </c>
      <c r="G4" s="160">
        <v>187775.79689999999</v>
      </c>
      <c r="H4" s="160">
        <v>117752.6259</v>
      </c>
      <c r="I4" s="265">
        <f>70023.1641+B11</f>
        <v>70274.39409999999</v>
      </c>
      <c r="J4" s="160">
        <v>37.290799999999997</v>
      </c>
    </row>
    <row r="5" spans="1:10">
      <c r="A5" s="160" t="s">
        <v>24</v>
      </c>
      <c r="B5" s="160"/>
      <c r="C5" s="160"/>
      <c r="D5" s="160">
        <v>5915.92</v>
      </c>
      <c r="E5" s="160"/>
      <c r="F5" s="160">
        <v>341807.4375</v>
      </c>
      <c r="G5" s="160">
        <v>277892.15629999997</v>
      </c>
      <c r="H5" s="160">
        <v>207476.2475</v>
      </c>
      <c r="I5" s="265">
        <f>70415.9141+B12</f>
        <v>70921.754099999991</v>
      </c>
      <c r="J5" s="160">
        <v>25.339200000000002</v>
      </c>
    </row>
    <row r="6" spans="1:10">
      <c r="A6" s="160" t="s">
        <v>25</v>
      </c>
      <c r="B6" s="160"/>
      <c r="C6" s="160"/>
      <c r="D6" s="160">
        <v>6142.0010000000002</v>
      </c>
      <c r="E6" s="160"/>
      <c r="F6" s="160">
        <v>327416.5</v>
      </c>
      <c r="G6" s="160">
        <v>266192.28129999997</v>
      </c>
      <c r="H6" s="160">
        <v>170692.9405</v>
      </c>
      <c r="I6" s="160">
        <v>95499.335900000005</v>
      </c>
      <c r="J6" s="160">
        <v>35.875999999999998</v>
      </c>
    </row>
    <row r="7" spans="1:10">
      <c r="A7" s="160" t="s">
        <v>199</v>
      </c>
      <c r="B7" s="160"/>
      <c r="C7" s="160"/>
      <c r="D7" s="160">
        <v>23280.708999999999</v>
      </c>
      <c r="E7" s="160"/>
      <c r="F7" s="160">
        <v>1216819.875</v>
      </c>
      <c r="G7" s="160">
        <v>989284.375</v>
      </c>
      <c r="H7" s="160">
        <v>678432.33589999995</v>
      </c>
      <c r="I7" s="160">
        <v>310852.03129999997</v>
      </c>
      <c r="J7" s="160">
        <v>31.421900000000001</v>
      </c>
    </row>
    <row r="8" spans="1:10">
      <c r="A8" s="160"/>
      <c r="B8" s="160"/>
      <c r="C8" s="160"/>
      <c r="D8" s="160"/>
      <c r="E8" s="160"/>
      <c r="F8" s="160"/>
      <c r="G8" s="160"/>
      <c r="H8" s="160"/>
      <c r="I8" s="318"/>
      <c r="J8" s="160"/>
    </row>
    <row r="9" spans="1:10">
      <c r="A9" s="160"/>
      <c r="B9" s="160"/>
      <c r="C9" s="160"/>
      <c r="D9" s="160"/>
      <c r="E9" s="160"/>
      <c r="F9" s="160"/>
      <c r="G9" s="160"/>
      <c r="H9" s="160"/>
      <c r="I9" s="160"/>
      <c r="J9" s="160"/>
    </row>
    <row r="10" spans="1:10" ht="14.4">
      <c r="A10" s="447" t="s">
        <v>223</v>
      </c>
    </row>
    <row r="11" spans="1:10" ht="14.4">
      <c r="A11" s="447" t="s">
        <v>238</v>
      </c>
      <c r="B11">
        <v>251.23</v>
      </c>
    </row>
    <row r="12" spans="1:10" ht="14.4">
      <c r="A12" s="447" t="s">
        <v>239</v>
      </c>
      <c r="B12">
        <v>505.84</v>
      </c>
    </row>
    <row r="13" spans="1:10" ht="14.4">
      <c r="A13" s="447"/>
    </row>
    <row r="14" spans="1:10" ht="14.4">
      <c r="A14" s="447"/>
    </row>
    <row r="15" spans="1:10" ht="14.4">
      <c r="A15" s="447"/>
    </row>
    <row r="16" spans="1:10" ht="14.4">
      <c r="A16" s="447"/>
    </row>
    <row r="17" spans="1:2" ht="14.4">
      <c r="A17" s="447"/>
      <c r="B17" s="265"/>
    </row>
    <row r="18" spans="1:2" ht="14.4">
      <c r="A18" s="447"/>
    </row>
    <row r="19" spans="1:2" ht="14.4">
      <c r="A19" s="447"/>
    </row>
    <row r="20" spans="1:2" ht="14.4">
      <c r="A20" s="447"/>
    </row>
    <row r="21" spans="1:2" ht="14.4">
      <c r="A21" s="447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I4" sqref="I4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s="193" t="s">
        <v>70</v>
      </c>
      <c r="B2" s="193"/>
      <c r="C2" s="193"/>
      <c r="D2" s="193">
        <v>1645.875</v>
      </c>
      <c r="E2" s="193"/>
      <c r="F2" s="193">
        <v>110908.3438</v>
      </c>
      <c r="G2" s="193">
        <v>90169.390599999999</v>
      </c>
      <c r="H2" s="193">
        <v>62971.753400000001</v>
      </c>
      <c r="I2" s="193">
        <v>27197.636699999999</v>
      </c>
      <c r="J2">
        <v>30.162800000000001</v>
      </c>
    </row>
    <row r="3" spans="1:10">
      <c r="A3" s="193" t="s">
        <v>77</v>
      </c>
      <c r="B3" s="193"/>
      <c r="C3" s="193"/>
      <c r="D3" s="193">
        <v>3097.42</v>
      </c>
      <c r="E3" s="193"/>
      <c r="F3" s="193">
        <v>148370.4688</v>
      </c>
      <c r="G3" s="193">
        <v>120626.36719999999</v>
      </c>
      <c r="H3" s="193">
        <v>74781.270300000004</v>
      </c>
      <c r="I3" s="193">
        <v>45845.101600000002</v>
      </c>
      <c r="J3">
        <v>38.005800000000001</v>
      </c>
    </row>
    <row r="4" spans="1:10">
      <c r="A4" s="193" t="s">
        <v>76</v>
      </c>
      <c r="B4" s="193"/>
      <c r="C4" s="193"/>
      <c r="D4" s="193">
        <v>3081.6559999999999</v>
      </c>
      <c r="E4" s="193"/>
      <c r="F4" s="193">
        <v>227642.54689999999</v>
      </c>
      <c r="G4" s="193">
        <v>185075.1875</v>
      </c>
      <c r="H4" s="193">
        <v>112396.5726</v>
      </c>
      <c r="I4" s="303">
        <f>72678.6094+C14</f>
        <v>73531.049400000004</v>
      </c>
      <c r="J4">
        <v>39.2697</v>
      </c>
    </row>
    <row r="5" spans="1:10">
      <c r="A5" s="193" t="s">
        <v>24</v>
      </c>
      <c r="B5" s="193"/>
      <c r="C5" s="193"/>
      <c r="D5" s="193">
        <v>5561.9290000000001</v>
      </c>
      <c r="E5" s="193"/>
      <c r="F5" s="193">
        <v>356791.71879999997</v>
      </c>
      <c r="G5" s="193">
        <v>290074.5625</v>
      </c>
      <c r="H5" s="193">
        <v>199742.3027</v>
      </c>
      <c r="I5" s="340">
        <v>90332.25</v>
      </c>
      <c r="J5">
        <v>31.140999999999998</v>
      </c>
    </row>
    <row r="6" spans="1:10">
      <c r="A6" s="193" t="s">
        <v>25</v>
      </c>
      <c r="B6" s="193"/>
      <c r="C6" s="193"/>
      <c r="D6" s="193">
        <v>6923.6909999999998</v>
      </c>
      <c r="E6" s="193"/>
      <c r="F6" s="193">
        <v>329422.25</v>
      </c>
      <c r="G6" s="193">
        <v>267822.96879999997</v>
      </c>
      <c r="H6" s="193">
        <v>174173.3653</v>
      </c>
      <c r="I6" s="340">
        <v>93649.601599999995</v>
      </c>
      <c r="J6">
        <v>34.966900000000003</v>
      </c>
    </row>
    <row r="7" spans="1:10">
      <c r="A7" s="193" t="s">
        <v>199</v>
      </c>
      <c r="B7" s="193"/>
      <c r="C7" s="193"/>
      <c r="D7" s="193">
        <v>20310.571</v>
      </c>
      <c r="E7" s="193"/>
      <c r="F7" s="193">
        <v>1173135.375</v>
      </c>
      <c r="G7" s="193">
        <v>953768.4375</v>
      </c>
      <c r="H7" s="193">
        <v>624065.26430000004</v>
      </c>
      <c r="I7" s="193">
        <v>329703.1875</v>
      </c>
      <c r="J7">
        <v>34.568399999999997</v>
      </c>
    </row>
    <row r="8" spans="1:10">
      <c r="A8" s="193"/>
      <c r="B8" s="193"/>
      <c r="C8" s="193"/>
      <c r="D8" s="193"/>
      <c r="E8" s="193"/>
      <c r="F8" s="193"/>
      <c r="G8" s="193"/>
      <c r="H8" s="193"/>
      <c r="I8" s="340"/>
    </row>
    <row r="9" spans="1:10">
      <c r="D9" s="193"/>
      <c r="E9" s="193"/>
      <c r="F9" s="193"/>
      <c r="G9" s="193"/>
      <c r="H9" s="193"/>
      <c r="I9" s="193"/>
    </row>
    <row r="14" spans="1:10" ht="14.4">
      <c r="A14" s="377" t="s">
        <v>240</v>
      </c>
      <c r="C14">
        <v>852.44</v>
      </c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3" sqref="I3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t="s">
        <v>70</v>
      </c>
      <c r="D2">
        <v>1503.07</v>
      </c>
      <c r="F2">
        <v>122029.25</v>
      </c>
      <c r="G2">
        <v>99210.757800000007</v>
      </c>
      <c r="H2">
        <v>67573.8226</v>
      </c>
      <c r="I2">
        <v>31636.9375</v>
      </c>
      <c r="J2">
        <v>31.8886</v>
      </c>
    </row>
    <row r="3" spans="1:10">
      <c r="A3" t="s">
        <v>77</v>
      </c>
      <c r="D3">
        <v>3503.4740000000002</v>
      </c>
      <c r="F3">
        <v>171251.98439999999</v>
      </c>
      <c r="G3">
        <v>139229.20310000001</v>
      </c>
      <c r="H3">
        <v>87728.492499999993</v>
      </c>
      <c r="I3" s="265">
        <f>51500.707+B12</f>
        <v>51814.257000000005</v>
      </c>
      <c r="J3">
        <v>36.989800000000002</v>
      </c>
    </row>
    <row r="4" spans="1:10">
      <c r="A4" t="s">
        <v>25</v>
      </c>
      <c r="D4">
        <v>4172.0870000000004</v>
      </c>
      <c r="F4">
        <v>227118.51560000001</v>
      </c>
      <c r="G4">
        <v>184649.17189999999</v>
      </c>
      <c r="H4">
        <v>123975.3152</v>
      </c>
      <c r="I4" s="160">
        <v>60673.855499999998</v>
      </c>
      <c r="J4">
        <v>32.858899999999998</v>
      </c>
    </row>
    <row r="5" spans="1:10">
      <c r="A5" t="s">
        <v>24</v>
      </c>
      <c r="D5">
        <v>6075.9250000000002</v>
      </c>
      <c r="F5">
        <v>310469.6875</v>
      </c>
      <c r="G5">
        <v>252414.375</v>
      </c>
      <c r="H5">
        <v>185321.5007</v>
      </c>
      <c r="I5">
        <v>67092.867199999993</v>
      </c>
      <c r="J5">
        <v>26.580400000000001</v>
      </c>
    </row>
    <row r="6" spans="1:10">
      <c r="A6" t="s">
        <v>76</v>
      </c>
      <c r="D6">
        <v>2975.4279999999999</v>
      </c>
      <c r="F6">
        <v>223897.10939999999</v>
      </c>
      <c r="G6">
        <v>182030.125</v>
      </c>
      <c r="H6">
        <v>101971.349</v>
      </c>
      <c r="I6" s="265">
        <f>80058.7734+B11</f>
        <v>80162.843400000012</v>
      </c>
      <c r="J6">
        <v>43.981000000000002</v>
      </c>
    </row>
    <row r="7" spans="1:10">
      <c r="A7" t="s">
        <v>199</v>
      </c>
      <c r="D7">
        <v>18229.984</v>
      </c>
      <c r="F7">
        <v>1054766.5</v>
      </c>
      <c r="G7">
        <v>857533.625</v>
      </c>
      <c r="H7">
        <v>566570.48</v>
      </c>
      <c r="I7">
        <v>290963.125</v>
      </c>
      <c r="J7">
        <v>33.930199999999999</v>
      </c>
    </row>
    <row r="11" spans="1:10" ht="14.4">
      <c r="A11" s="447" t="s">
        <v>241</v>
      </c>
      <c r="B11">
        <v>104.07</v>
      </c>
    </row>
    <row r="12" spans="1:10" ht="14.4">
      <c r="A12" s="447" t="s">
        <v>242</v>
      </c>
      <c r="B12">
        <v>313.55</v>
      </c>
    </row>
    <row r="16" spans="1:10" ht="14.4">
      <c r="B16" s="369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I4" sqref="I4"/>
    </sheetView>
  </sheetViews>
  <sheetFormatPr defaultRowHeight="13.2"/>
  <cols>
    <col min="1" max="1" width="22.88671875" customWidth="1"/>
    <col min="6" max="9" width="13.6640625" customWidth="1"/>
    <col min="10" max="10" width="19.88671875" customWidth="1"/>
  </cols>
  <sheetData>
    <row r="1" spans="1:10">
      <c r="A1" s="679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t="s">
        <v>70</v>
      </c>
      <c r="D2">
        <v>1788.26</v>
      </c>
      <c r="F2" s="160">
        <v>152268.20310000001</v>
      </c>
      <c r="G2" s="160">
        <v>123795.2813</v>
      </c>
      <c r="H2" s="193">
        <v>88102.978700000007</v>
      </c>
      <c r="I2" s="193">
        <v>35692.300799999997</v>
      </c>
      <c r="J2" s="160">
        <v>28.831700000000001</v>
      </c>
    </row>
    <row r="3" spans="1:10">
      <c r="A3" t="s">
        <v>77</v>
      </c>
      <c r="D3">
        <v>2790.681</v>
      </c>
      <c r="F3" s="160">
        <v>148749.625</v>
      </c>
      <c r="G3" s="160">
        <v>120934.63280000001</v>
      </c>
      <c r="H3" s="193">
        <v>65424.4755</v>
      </c>
      <c r="I3" s="193">
        <v>55510.156300000002</v>
      </c>
      <c r="J3" s="160">
        <v>45.9009</v>
      </c>
    </row>
    <row r="4" spans="1:10">
      <c r="A4" t="s">
        <v>24</v>
      </c>
      <c r="D4">
        <v>3945.6480000000001</v>
      </c>
      <c r="F4" s="160">
        <v>275310.96879999997</v>
      </c>
      <c r="G4" s="160">
        <v>223829.92189999999</v>
      </c>
      <c r="H4" s="193">
        <v>159581.35740000001</v>
      </c>
      <c r="I4" s="303">
        <f>64248.5625+B12</f>
        <v>65015.292500000003</v>
      </c>
      <c r="J4" s="160">
        <v>28.7041</v>
      </c>
    </row>
    <row r="5" spans="1:10">
      <c r="A5" t="s">
        <v>25</v>
      </c>
      <c r="D5">
        <v>5325.4</v>
      </c>
      <c r="F5" s="160">
        <v>240335.625</v>
      </c>
      <c r="G5" s="160">
        <v>195394.8125</v>
      </c>
      <c r="H5" s="193">
        <v>128971.731</v>
      </c>
      <c r="I5" s="193">
        <v>66423.078099999999</v>
      </c>
      <c r="J5" s="160">
        <v>33.994199999999999</v>
      </c>
    </row>
    <row r="6" spans="1:10">
      <c r="A6" t="s">
        <v>76</v>
      </c>
      <c r="D6">
        <v>3236.6410000000001</v>
      </c>
      <c r="F6" s="160">
        <v>266417.3125</v>
      </c>
      <c r="G6" s="160">
        <v>216599.39060000001</v>
      </c>
      <c r="H6" s="193">
        <v>122563.459</v>
      </c>
      <c r="I6" s="340">
        <v>94035.929699999993</v>
      </c>
      <c r="J6" s="160">
        <v>43.4146</v>
      </c>
    </row>
    <row r="7" spans="1:10">
      <c r="A7" t="s">
        <v>199</v>
      </c>
      <c r="D7">
        <v>17086.63</v>
      </c>
      <c r="F7" s="160">
        <v>1083081.75</v>
      </c>
      <c r="G7" s="160">
        <v>880554</v>
      </c>
      <c r="H7" s="193">
        <v>564644.00159999996</v>
      </c>
      <c r="I7" s="340">
        <v>315910.03129999997</v>
      </c>
      <c r="J7" s="160">
        <v>35.876199999999997</v>
      </c>
    </row>
    <row r="8" spans="1:10">
      <c r="F8" s="160"/>
      <c r="G8" s="160"/>
      <c r="H8" s="193"/>
      <c r="I8" s="340"/>
      <c r="J8" s="160"/>
    </row>
    <row r="12" spans="1:10" ht="14.4">
      <c r="A12" s="447" t="s">
        <v>243</v>
      </c>
      <c r="B12">
        <v>766.73</v>
      </c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5" sqref="I5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60" t="s">
        <v>190</v>
      </c>
      <c r="B1" s="160" t="s">
        <v>191</v>
      </c>
      <c r="C1" s="160" t="s">
        <v>192</v>
      </c>
      <c r="D1" s="160" t="s">
        <v>193</v>
      </c>
      <c r="E1" s="160" t="s">
        <v>194</v>
      </c>
      <c r="F1" s="160" t="s">
        <v>195</v>
      </c>
      <c r="G1" s="160" t="s">
        <v>196</v>
      </c>
      <c r="H1" s="160" t="s">
        <v>197</v>
      </c>
      <c r="I1" s="160" t="s">
        <v>198</v>
      </c>
      <c r="J1" t="s">
        <v>112</v>
      </c>
    </row>
    <row r="2" spans="1:10">
      <c r="A2" s="160" t="s">
        <v>70</v>
      </c>
      <c r="B2" s="160"/>
      <c r="C2" s="160"/>
      <c r="D2" s="193">
        <v>2236.9760000000001</v>
      </c>
      <c r="E2" s="193"/>
      <c r="F2" s="193">
        <v>126741.28909999999</v>
      </c>
      <c r="G2" s="193">
        <v>103041.6875</v>
      </c>
      <c r="H2" s="193">
        <v>70188.418399999995</v>
      </c>
      <c r="I2" s="193">
        <v>32853.273399999998</v>
      </c>
      <c r="J2" s="193">
        <v>31.883400000000002</v>
      </c>
    </row>
    <row r="3" spans="1:10">
      <c r="A3" s="160" t="s">
        <v>77</v>
      </c>
      <c r="B3" s="160"/>
      <c r="C3" s="160"/>
      <c r="D3" s="193">
        <v>4217.26</v>
      </c>
      <c r="E3" s="193"/>
      <c r="F3" s="193">
        <v>179987.7813</v>
      </c>
      <c r="G3" s="193">
        <v>146331.54689999999</v>
      </c>
      <c r="H3" s="193">
        <v>82760.120500000005</v>
      </c>
      <c r="I3" s="193">
        <v>63571.417999999998</v>
      </c>
      <c r="J3" s="193">
        <v>43.443399999999997</v>
      </c>
    </row>
    <row r="4" spans="1:10">
      <c r="A4" s="160" t="s">
        <v>76</v>
      </c>
      <c r="B4" s="160"/>
      <c r="C4" s="160"/>
      <c r="D4" s="193">
        <v>6303.5</v>
      </c>
      <c r="E4" s="193"/>
      <c r="F4" s="193">
        <v>208778.45310000001</v>
      </c>
      <c r="G4" s="193">
        <v>169738.51560000001</v>
      </c>
      <c r="H4" s="193">
        <v>99462.941000000006</v>
      </c>
      <c r="I4" s="303">
        <f>70275.5781+C14+C15-C18</f>
        <v>70336.038100000005</v>
      </c>
      <c r="J4" s="193">
        <v>41.402200000000001</v>
      </c>
    </row>
    <row r="5" spans="1:10">
      <c r="A5" s="160" t="s">
        <v>24</v>
      </c>
      <c r="B5" s="160"/>
      <c r="C5" s="160"/>
      <c r="D5" s="193">
        <v>7122.3379999999997</v>
      </c>
      <c r="E5" s="193"/>
      <c r="F5" s="193">
        <v>384251.3125</v>
      </c>
      <c r="G5" s="193">
        <v>312399.34379999997</v>
      </c>
      <c r="H5" s="193">
        <v>231004.38930000001</v>
      </c>
      <c r="I5" s="303">
        <f>81394.9375+C13</f>
        <v>81505.717499999999</v>
      </c>
      <c r="J5" s="193">
        <v>26.0547</v>
      </c>
    </row>
    <row r="6" spans="1:10">
      <c r="A6" s="160" t="s">
        <v>25</v>
      </c>
      <c r="B6" s="160"/>
      <c r="C6" s="160"/>
      <c r="D6" s="193">
        <v>6086.7349999999997</v>
      </c>
      <c r="E6" s="193"/>
      <c r="F6" s="193">
        <v>331445.71879999997</v>
      </c>
      <c r="G6" s="193">
        <v>269468.0625</v>
      </c>
      <c r="H6" s="193">
        <v>177275.34030000001</v>
      </c>
      <c r="I6" s="193">
        <v>92192.718800000002</v>
      </c>
      <c r="J6" s="193">
        <v>34.212800000000001</v>
      </c>
    </row>
    <row r="7" spans="1:10">
      <c r="A7" t="s">
        <v>199</v>
      </c>
      <c r="D7" s="193">
        <v>25966.809000000001</v>
      </c>
      <c r="E7" s="193"/>
      <c r="F7" s="193">
        <v>1231204.5</v>
      </c>
      <c r="G7" s="193">
        <v>1000979.125</v>
      </c>
      <c r="H7" s="193">
        <v>660691.2095</v>
      </c>
      <c r="I7" s="193">
        <v>340287.9375</v>
      </c>
      <c r="J7" s="193">
        <v>33.9955</v>
      </c>
    </row>
    <row r="8" spans="1:10">
      <c r="D8" s="193"/>
      <c r="E8" s="193"/>
      <c r="F8" s="193"/>
      <c r="G8" s="193"/>
      <c r="H8" s="193"/>
      <c r="I8" s="303"/>
      <c r="J8" s="193"/>
    </row>
    <row r="12" spans="1:10" ht="14.4">
      <c r="A12" s="447" t="s">
        <v>223</v>
      </c>
    </row>
    <row r="13" spans="1:10" ht="14.4">
      <c r="A13" s="447" t="s">
        <v>244</v>
      </c>
      <c r="C13">
        <v>110.78</v>
      </c>
      <c r="D13" t="s">
        <v>121</v>
      </c>
    </row>
    <row r="14" spans="1:10" ht="14.4">
      <c r="A14" s="447" t="s">
        <v>245</v>
      </c>
      <c r="C14">
        <v>37.11</v>
      </c>
      <c r="D14" t="s">
        <v>120</v>
      </c>
    </row>
    <row r="15" spans="1:10" ht="14.4">
      <c r="A15" s="447" t="s">
        <v>246</v>
      </c>
      <c r="B15" s="377"/>
      <c r="C15">
        <v>447.69</v>
      </c>
      <c r="D15" t="s">
        <v>120</v>
      </c>
    </row>
    <row r="16" spans="1:10" ht="14.4">
      <c r="A16" s="447"/>
      <c r="B16" s="378"/>
    </row>
    <row r="17" spans="1:4" ht="14.4">
      <c r="A17" s="447" t="s">
        <v>247</v>
      </c>
      <c r="B17" s="378"/>
    </row>
    <row r="18" spans="1:4" ht="14.4">
      <c r="A18" s="447" t="s">
        <v>248</v>
      </c>
      <c r="C18">
        <v>424.34</v>
      </c>
      <c r="D18" t="s">
        <v>120</v>
      </c>
    </row>
    <row r="22" spans="1:4" ht="14.4">
      <c r="A22" s="447"/>
    </row>
    <row r="23" spans="1:4" ht="14.4">
      <c r="A23" s="447"/>
    </row>
    <row r="24" spans="1:4" ht="14.4">
      <c r="A24" s="447"/>
    </row>
    <row r="25" spans="1:4" ht="14.4">
      <c r="A25" s="447"/>
    </row>
    <row r="26" spans="1:4" ht="14.4">
      <c r="A26" s="447"/>
    </row>
    <row r="27" spans="1:4" ht="14.4">
      <c r="A27" s="447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5" sqref="I5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t="s">
        <v>70</v>
      </c>
      <c r="D2">
        <v>1144.8399999999999</v>
      </c>
      <c r="F2">
        <v>93280.992199999993</v>
      </c>
      <c r="G2">
        <v>75838.210900000005</v>
      </c>
      <c r="H2">
        <v>50246.104299999999</v>
      </c>
      <c r="I2" s="160">
        <v>25592.105500000001</v>
      </c>
      <c r="J2">
        <v>33.745600000000003</v>
      </c>
    </row>
    <row r="3" spans="1:10">
      <c r="A3" t="s">
        <v>77</v>
      </c>
      <c r="D3">
        <v>2377.7399999999998</v>
      </c>
      <c r="F3">
        <v>245971.39060000001</v>
      </c>
      <c r="G3" s="160">
        <v>199976.70310000001</v>
      </c>
      <c r="H3">
        <v>135641.84210000001</v>
      </c>
      <c r="I3" s="265">
        <f>64334.8594+C15</f>
        <v>64521.879399999998</v>
      </c>
      <c r="J3">
        <v>32.171100000000003</v>
      </c>
    </row>
    <row r="4" spans="1:10">
      <c r="A4" t="s">
        <v>76</v>
      </c>
      <c r="D4">
        <v>3647.8609999999999</v>
      </c>
      <c r="F4">
        <v>253697.6875</v>
      </c>
      <c r="G4">
        <v>206258.26560000001</v>
      </c>
      <c r="H4">
        <v>138217.47140000001</v>
      </c>
      <c r="I4" s="265">
        <f>68040.7891+C13+C14</f>
        <v>68167.509099999996</v>
      </c>
      <c r="J4">
        <v>32.988100000000003</v>
      </c>
    </row>
    <row r="5" spans="1:10">
      <c r="A5" t="s">
        <v>24</v>
      </c>
      <c r="D5">
        <v>5616.201</v>
      </c>
      <c r="F5">
        <v>327118.4375</v>
      </c>
      <c r="G5">
        <v>265949.84379999997</v>
      </c>
      <c r="H5">
        <v>189730.3395</v>
      </c>
      <c r="I5" s="265">
        <f>76219.4922+C12</f>
        <v>76523.542199999996</v>
      </c>
      <c r="J5">
        <v>28.659300000000002</v>
      </c>
    </row>
    <row r="6" spans="1:10">
      <c r="A6" t="s">
        <v>25</v>
      </c>
      <c r="D6">
        <v>5439.3549999999996</v>
      </c>
      <c r="F6">
        <v>305658.1875</v>
      </c>
      <c r="G6">
        <v>248502.54689999999</v>
      </c>
      <c r="H6">
        <v>153509.1635</v>
      </c>
      <c r="I6" s="160">
        <v>94993.375</v>
      </c>
      <c r="J6">
        <v>38.226300000000002</v>
      </c>
    </row>
    <row r="7" spans="1:10">
      <c r="A7" t="s">
        <v>199</v>
      </c>
      <c r="D7">
        <v>18225.996999999999</v>
      </c>
      <c r="F7">
        <v>1225726.75</v>
      </c>
      <c r="G7">
        <v>996525.5625</v>
      </c>
      <c r="H7">
        <v>667344.92079999996</v>
      </c>
      <c r="I7" s="160">
        <v>329180.625</v>
      </c>
      <c r="J7">
        <v>33.032800000000002</v>
      </c>
    </row>
    <row r="8" spans="1:10">
      <c r="I8" s="160"/>
    </row>
    <row r="12" spans="1:10" ht="14.4">
      <c r="A12" s="447" t="s">
        <v>249</v>
      </c>
      <c r="C12">
        <v>304.05</v>
      </c>
      <c r="D12" t="s">
        <v>121</v>
      </c>
    </row>
    <row r="13" spans="1:10" ht="14.4">
      <c r="A13" s="447" t="s">
        <v>250</v>
      </c>
      <c r="C13">
        <v>101.38</v>
      </c>
      <c r="D13" t="s">
        <v>120</v>
      </c>
    </row>
    <row r="14" spans="1:10" ht="14.4">
      <c r="A14" s="447" t="s">
        <v>251</v>
      </c>
      <c r="C14">
        <v>25.34</v>
      </c>
      <c r="D14" t="s">
        <v>120</v>
      </c>
      <c r="H14" s="359"/>
    </row>
    <row r="15" spans="1:10" ht="14.4">
      <c r="A15" s="447" t="s">
        <v>252</v>
      </c>
      <c r="B15" s="265"/>
      <c r="C15">
        <v>187.02</v>
      </c>
      <c r="D15" t="s">
        <v>118</v>
      </c>
    </row>
    <row r="16" spans="1:10">
      <c r="A16" s="384"/>
      <c r="B16" s="384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190</v>
      </c>
      <c r="B1" t="s">
        <v>191</v>
      </c>
      <c r="C1" t="s">
        <v>192</v>
      </c>
      <c r="D1" t="s">
        <v>193</v>
      </c>
      <c r="E1" t="s">
        <v>194</v>
      </c>
      <c r="F1" t="s">
        <v>195</v>
      </c>
      <c r="G1" t="s">
        <v>196</v>
      </c>
      <c r="H1" t="s">
        <v>197</v>
      </c>
      <c r="I1" t="s">
        <v>198</v>
      </c>
      <c r="J1" t="s">
        <v>112</v>
      </c>
    </row>
    <row r="2" spans="1:10">
      <c r="A2" t="s">
        <v>70</v>
      </c>
      <c r="D2">
        <v>1371.3</v>
      </c>
      <c r="F2">
        <v>133494.0938</v>
      </c>
      <c r="G2">
        <v>108531.7813</v>
      </c>
      <c r="H2">
        <v>73340.6538</v>
      </c>
      <c r="I2" s="160">
        <v>35191.125</v>
      </c>
      <c r="J2">
        <v>32.424700000000001</v>
      </c>
    </row>
    <row r="3" spans="1:10">
      <c r="A3" t="s">
        <v>76</v>
      </c>
      <c r="D3">
        <v>1755.808</v>
      </c>
      <c r="F3">
        <v>146239.29689999999</v>
      </c>
      <c r="G3">
        <v>118893.72659999999</v>
      </c>
      <c r="H3">
        <v>82375.256599999993</v>
      </c>
      <c r="I3" s="160">
        <v>36518.472699999998</v>
      </c>
      <c r="J3">
        <v>30.715199999999999</v>
      </c>
    </row>
    <row r="4" spans="1:10">
      <c r="A4" t="s">
        <v>25</v>
      </c>
      <c r="D4">
        <v>3693.2</v>
      </c>
      <c r="F4">
        <v>175172.20310000001</v>
      </c>
      <c r="G4">
        <v>142416.4063</v>
      </c>
      <c r="H4">
        <v>100514.527</v>
      </c>
      <c r="I4" s="160">
        <v>41901.871099999997</v>
      </c>
      <c r="J4">
        <v>29.422000000000001</v>
      </c>
    </row>
    <row r="5" spans="1:10">
      <c r="A5" t="s">
        <v>77</v>
      </c>
      <c r="D5">
        <v>1779.4179999999999</v>
      </c>
      <c r="F5">
        <v>195767.5</v>
      </c>
      <c r="G5">
        <v>159160.54689999999</v>
      </c>
      <c r="H5">
        <v>108963.0938</v>
      </c>
      <c r="I5" s="160">
        <v>50197.457000000002</v>
      </c>
      <c r="J5">
        <v>31.538799999999998</v>
      </c>
    </row>
    <row r="6" spans="1:10">
      <c r="A6" t="s">
        <v>24</v>
      </c>
      <c r="D6">
        <v>11094.215</v>
      </c>
      <c r="F6">
        <v>247168.1875</v>
      </c>
      <c r="G6">
        <v>200949.5938</v>
      </c>
      <c r="H6">
        <v>146290.073</v>
      </c>
      <c r="I6" s="160">
        <v>54659.527300000002</v>
      </c>
      <c r="J6">
        <v>27.200600000000001</v>
      </c>
    </row>
    <row r="7" spans="1:10">
      <c r="A7" t="s">
        <v>199</v>
      </c>
      <c r="D7">
        <v>19693.940999999999</v>
      </c>
      <c r="F7">
        <v>897841.3125</v>
      </c>
      <c r="G7">
        <v>729952.0625</v>
      </c>
      <c r="H7">
        <v>511483.6042</v>
      </c>
      <c r="I7" s="160">
        <v>218468.45310000001</v>
      </c>
      <c r="J7">
        <v>29.929099999999998</v>
      </c>
    </row>
    <row r="8" spans="1:10">
      <c r="I8" s="193"/>
    </row>
    <row r="11" spans="1:10">
      <c r="A11" s="265"/>
      <c r="B11" s="265"/>
      <c r="C11" s="265"/>
    </row>
    <row r="12" spans="1:10">
      <c r="A12" s="265"/>
      <c r="B12" s="265"/>
      <c r="C12" s="265"/>
    </row>
    <row r="13" spans="1:10">
      <c r="A13" s="265"/>
      <c r="B13" s="265"/>
      <c r="C13" s="265"/>
    </row>
    <row r="14" spans="1:10">
      <c r="B14" s="265"/>
      <c r="C14" s="265"/>
    </row>
    <row r="15" spans="1:10">
      <c r="A15" s="700"/>
    </row>
    <row r="18" spans="1:2">
      <c r="A18" s="265"/>
      <c r="B18" s="265"/>
    </row>
    <row r="19" spans="1:2">
      <c r="A19" s="265"/>
      <c r="B19" s="265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35" customWidth="1"/>
    <col min="6" max="8" width="12.109375" style="11" customWidth="1"/>
    <col min="9" max="9" width="11.44140625" style="135" customWidth="1"/>
    <col min="10" max="12" width="12.88671875" style="11" customWidth="1"/>
    <col min="13" max="13" width="11.44140625" style="135" customWidth="1"/>
    <col min="14" max="16" width="12" style="11" customWidth="1"/>
    <col min="17" max="18" width="11.44140625" style="135" customWidth="1"/>
    <col min="19" max="16384" width="9.109375" style="12"/>
  </cols>
  <sheetData>
    <row r="1" spans="1:19" s="19" customFormat="1" ht="15" customHeight="1">
      <c r="A1" s="30" t="s">
        <v>169</v>
      </c>
      <c r="B1" s="728" t="s">
        <v>171</v>
      </c>
      <c r="C1" s="718"/>
      <c r="D1" s="718"/>
      <c r="E1" s="718"/>
      <c r="F1" s="728" t="s">
        <v>172</v>
      </c>
      <c r="G1" s="718"/>
      <c r="H1" s="718"/>
      <c r="I1" s="718"/>
      <c r="J1" s="728" t="s">
        <v>178</v>
      </c>
      <c r="K1" s="718"/>
      <c r="L1" s="718"/>
      <c r="M1" s="718"/>
      <c r="N1" s="728" t="s">
        <v>170</v>
      </c>
      <c r="O1" s="718"/>
      <c r="P1" s="718"/>
      <c r="Q1" s="718"/>
      <c r="R1" s="169"/>
    </row>
    <row r="2" spans="1:19" s="19" customFormat="1" ht="15" customHeight="1">
      <c r="A2" s="5" t="s">
        <v>0</v>
      </c>
      <c r="B2" s="49" t="s">
        <v>10</v>
      </c>
      <c r="C2" s="49" t="s">
        <v>11</v>
      </c>
      <c r="D2" s="49" t="s">
        <v>12</v>
      </c>
      <c r="E2" s="178" t="s">
        <v>126</v>
      </c>
      <c r="F2" s="49" t="s">
        <v>7</v>
      </c>
      <c r="G2" s="49" t="s">
        <v>8</v>
      </c>
      <c r="H2" s="49" t="s">
        <v>9</v>
      </c>
      <c r="I2" s="178" t="s">
        <v>125</v>
      </c>
      <c r="J2" s="49" t="s">
        <v>4</v>
      </c>
      <c r="K2" s="49" t="s">
        <v>5</v>
      </c>
      <c r="L2" s="49" t="s">
        <v>6</v>
      </c>
      <c r="M2" s="178" t="s">
        <v>124</v>
      </c>
      <c r="N2" s="49" t="s">
        <v>1</v>
      </c>
      <c r="O2" s="49" t="s">
        <v>2</v>
      </c>
      <c r="P2" s="49" t="s">
        <v>3</v>
      </c>
      <c r="Q2" s="178" t="s">
        <v>113</v>
      </c>
      <c r="R2" s="101" t="s">
        <v>127</v>
      </c>
    </row>
    <row r="3" spans="1:19" s="19" customFormat="1" ht="1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 s="19" customFormat="1" ht="15" customHeight="1">
      <c r="A4" s="6" t="s">
        <v>36</v>
      </c>
      <c r="B4" s="89" t="e">
        <f>'Target 2022'!#REF!</f>
        <v>#REF!</v>
      </c>
      <c r="C4" s="89" t="e">
        <f>'Target 2022'!#REF!</f>
        <v>#REF!</v>
      </c>
      <c r="D4" s="89" t="e">
        <f>'Target 2022'!#REF!</f>
        <v>#REF!</v>
      </c>
      <c r="E4" s="179" t="e">
        <f>SUM(B4:D4)</f>
        <v>#REF!</v>
      </c>
      <c r="F4" s="89" t="e">
        <f>'Target 2022'!#REF!</f>
        <v>#REF!</v>
      </c>
      <c r="G4" s="89" t="e">
        <f>'Target 2022'!#REF!</f>
        <v>#REF!</v>
      </c>
      <c r="H4" s="89" t="e">
        <f>'Target 2022'!#REF!</f>
        <v>#REF!</v>
      </c>
      <c r="I4" s="179" t="e">
        <f>SUM(F4:H4)</f>
        <v>#REF!</v>
      </c>
      <c r="J4" s="89" t="e">
        <f>'Target 2022'!#REF!</f>
        <v>#REF!</v>
      </c>
      <c r="K4" s="89" t="e">
        <f>'Target 2022'!#REF!</f>
        <v>#REF!</v>
      </c>
      <c r="L4" s="89" t="e">
        <f>'Target 2022'!#REF!</f>
        <v>#REF!</v>
      </c>
      <c r="M4" s="179" t="e">
        <f>SUM(J4:L4)</f>
        <v>#REF!</v>
      </c>
      <c r="N4" s="89" t="e">
        <f>'Target 2022'!#REF!</f>
        <v>#REF!</v>
      </c>
      <c r="O4" s="89" t="e">
        <f>'Target 2022'!#REF!</f>
        <v>#REF!</v>
      </c>
      <c r="P4" s="89" t="e">
        <f>'Target 2022'!#REF!</f>
        <v>#REF!</v>
      </c>
      <c r="Q4" s="179" t="e">
        <f>SUM(N4:P4)</f>
        <v>#REF!</v>
      </c>
      <c r="R4" s="103" t="e">
        <f>Q4+M4+I4+E4</f>
        <v>#REF!</v>
      </c>
    </row>
    <row r="5" spans="1:19" s="19" customFormat="1" ht="15" customHeight="1">
      <c r="A5" s="7" t="s">
        <v>35</v>
      </c>
      <c r="B5" s="85" t="e">
        <f>B4</f>
        <v>#REF!</v>
      </c>
      <c r="C5" s="85" t="e">
        <f>C4+B5</f>
        <v>#REF!</v>
      </c>
      <c r="D5" s="85" t="e">
        <f>D4+C5</f>
        <v>#REF!</v>
      </c>
      <c r="E5" s="180"/>
      <c r="F5" s="85" t="e">
        <f>F4</f>
        <v>#REF!</v>
      </c>
      <c r="G5" s="85" t="e">
        <f>G4+F5</f>
        <v>#REF!</v>
      </c>
      <c r="H5" s="85" t="e">
        <f>H4+G5</f>
        <v>#REF!</v>
      </c>
      <c r="I5" s="180"/>
      <c r="J5" s="85" t="e">
        <f>J4</f>
        <v>#REF!</v>
      </c>
      <c r="K5" s="85" t="e">
        <f>K4+J5</f>
        <v>#REF!</v>
      </c>
      <c r="L5" s="85" t="e">
        <f>L4+K5</f>
        <v>#REF!</v>
      </c>
      <c r="M5" s="180"/>
      <c r="N5" s="85" t="e">
        <f>N4</f>
        <v>#REF!</v>
      </c>
      <c r="O5" s="85" t="e">
        <f>O4+N5</f>
        <v>#REF!</v>
      </c>
      <c r="P5" s="85" t="e">
        <f>P4+O5</f>
        <v>#REF!</v>
      </c>
      <c r="Q5" s="180"/>
      <c r="R5" s="360" t="e">
        <f>R6/R4</f>
        <v>#REF!</v>
      </c>
    </row>
    <row r="6" spans="1:19" s="19" customFormat="1" ht="15" customHeight="1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79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79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79">
        <f>SUM(J6:L6)</f>
        <v>0</v>
      </c>
      <c r="N6" s="83">
        <f>SUMIF(I!A:A,$A$1,I!I:I)</f>
        <v>0</v>
      </c>
      <c r="O6" s="27">
        <f>SUMIF(II!A:A,$A$1,II!I:I)</f>
        <v>0</v>
      </c>
      <c r="P6" s="27">
        <f>SUMIF(III!A:A,$A$1,III!I:I)</f>
        <v>0</v>
      </c>
      <c r="Q6" s="179">
        <f>SUM(N6:P6)</f>
        <v>0</v>
      </c>
      <c r="R6" s="103">
        <f>Q6+M6+I6+E6</f>
        <v>0</v>
      </c>
    </row>
    <row r="7" spans="1:19" s="19" customFormat="1" ht="15" customHeight="1">
      <c r="A7" s="7" t="s">
        <v>38</v>
      </c>
      <c r="B7" s="85">
        <f>B6</f>
        <v>0</v>
      </c>
      <c r="C7" s="85">
        <f>C6+B7</f>
        <v>0</v>
      </c>
      <c r="D7" s="85">
        <f>D6+C7</f>
        <v>0</v>
      </c>
      <c r="E7" s="180"/>
      <c r="F7" s="85">
        <f>F6</f>
        <v>0</v>
      </c>
      <c r="G7" s="85">
        <f>G6+F7</f>
        <v>0</v>
      </c>
      <c r="H7" s="85">
        <f>H6+G7</f>
        <v>0</v>
      </c>
      <c r="I7" s="180"/>
      <c r="J7" s="85">
        <f>J6</f>
        <v>0</v>
      </c>
      <c r="K7" s="85">
        <f>K6+J7</f>
        <v>0</v>
      </c>
      <c r="L7" s="85">
        <f>L6+K7</f>
        <v>0</v>
      </c>
      <c r="M7" s="180"/>
      <c r="N7" s="85">
        <f>N6</f>
        <v>0</v>
      </c>
      <c r="O7" s="85">
        <f>O6+N7</f>
        <v>0</v>
      </c>
      <c r="P7" s="85">
        <f>P6+O7</f>
        <v>0</v>
      </c>
      <c r="Q7" s="180"/>
      <c r="R7" s="105"/>
    </row>
    <row r="8" spans="1:19" s="19" customFormat="1" ht="15" customHeight="1">
      <c r="A8" s="24" t="s">
        <v>39</v>
      </c>
      <c r="B8" s="90" t="e">
        <f t="shared" ref="B8:D9" si="0">B6/B4</f>
        <v>#REF!</v>
      </c>
      <c r="C8" s="90" t="e">
        <f t="shared" si="0"/>
        <v>#REF!</v>
      </c>
      <c r="D8" s="90" t="e">
        <f t="shared" si="0"/>
        <v>#REF!</v>
      </c>
      <c r="E8" s="181"/>
      <c r="F8" s="90" t="e">
        <f t="shared" ref="F8:H9" si="1">F6/F4</f>
        <v>#REF!</v>
      </c>
      <c r="G8" s="90" t="e">
        <f t="shared" si="1"/>
        <v>#REF!</v>
      </c>
      <c r="H8" s="90" t="e">
        <f t="shared" si="1"/>
        <v>#REF!</v>
      </c>
      <c r="I8" s="181"/>
      <c r="J8" s="90" t="e">
        <f>J6/J4</f>
        <v>#REF!</v>
      </c>
      <c r="K8" s="90" t="e">
        <f t="shared" ref="J8:L9" si="2">K6/K4</f>
        <v>#REF!</v>
      </c>
      <c r="L8" s="90" t="e">
        <f t="shared" si="2"/>
        <v>#REF!</v>
      </c>
      <c r="M8" s="181"/>
      <c r="N8" s="90" t="e">
        <f t="shared" ref="N8:P9" si="3">N6/N4</f>
        <v>#REF!</v>
      </c>
      <c r="O8" s="90" t="e">
        <f t="shared" si="3"/>
        <v>#REF!</v>
      </c>
      <c r="P8" s="90" t="e">
        <f t="shared" si="3"/>
        <v>#REF!</v>
      </c>
      <c r="Q8" s="181"/>
      <c r="R8" s="108"/>
    </row>
    <row r="9" spans="1:19" s="20" customFormat="1" ht="15" customHeight="1">
      <c r="A9" s="24" t="s">
        <v>40</v>
      </c>
      <c r="B9" s="90" t="e">
        <f t="shared" si="0"/>
        <v>#REF!</v>
      </c>
      <c r="C9" s="90" t="e">
        <f t="shared" si="0"/>
        <v>#REF!</v>
      </c>
      <c r="D9" s="90" t="e">
        <f t="shared" si="0"/>
        <v>#REF!</v>
      </c>
      <c r="E9" s="181"/>
      <c r="F9" s="90" t="e">
        <f>F7/F5</f>
        <v>#REF!</v>
      </c>
      <c r="G9" s="90" t="e">
        <f t="shared" si="1"/>
        <v>#REF!</v>
      </c>
      <c r="H9" s="90" t="e">
        <f t="shared" si="1"/>
        <v>#REF!</v>
      </c>
      <c r="I9" s="181"/>
      <c r="J9" s="90" t="e">
        <f t="shared" si="2"/>
        <v>#REF!</v>
      </c>
      <c r="K9" s="90" t="e">
        <f>K7/K5</f>
        <v>#REF!</v>
      </c>
      <c r="L9" s="90" t="e">
        <f t="shared" si="2"/>
        <v>#REF!</v>
      </c>
      <c r="M9" s="181"/>
      <c r="N9" s="90" t="e">
        <f t="shared" si="3"/>
        <v>#REF!</v>
      </c>
      <c r="O9" s="90" t="e">
        <f>O7/O5</f>
        <v>#REF!</v>
      </c>
      <c r="P9" s="90" t="e">
        <f t="shared" si="3"/>
        <v>#REF!</v>
      </c>
      <c r="Q9" s="181"/>
      <c r="R9" s="109"/>
    </row>
    <row r="10" spans="1:19" s="42" customFormat="1" ht="15" customHeight="1">
      <c r="A10" s="7" t="s">
        <v>48</v>
      </c>
      <c r="B10" s="91" t="e">
        <f>B7-B5</f>
        <v>#REF!</v>
      </c>
      <c r="C10" s="91" t="e">
        <f>C7-C5</f>
        <v>#REF!</v>
      </c>
      <c r="D10" s="91" t="e">
        <f>D7-D5</f>
        <v>#REF!</v>
      </c>
      <c r="E10" s="180"/>
      <c r="F10" s="91" t="e">
        <f>F7-F5</f>
        <v>#REF!</v>
      </c>
      <c r="G10" s="91" t="e">
        <f>G7-G5</f>
        <v>#REF!</v>
      </c>
      <c r="H10" s="91" t="e">
        <f>H7-H5</f>
        <v>#REF!</v>
      </c>
      <c r="I10" s="180"/>
      <c r="J10" s="91" t="e">
        <f>J7-J5</f>
        <v>#REF!</v>
      </c>
      <c r="K10" s="91" t="e">
        <f>K7-K5</f>
        <v>#REF!</v>
      </c>
      <c r="L10" s="91" t="e">
        <f>L7-L5</f>
        <v>#REF!</v>
      </c>
      <c r="M10" s="180"/>
      <c r="N10" s="91" t="e">
        <f>N7-N5</f>
        <v>#REF!</v>
      </c>
      <c r="O10" s="91" t="e">
        <f>O7-O5</f>
        <v>#REF!</v>
      </c>
      <c r="P10" s="91" t="e">
        <f>P7-P5</f>
        <v>#REF!</v>
      </c>
      <c r="Q10" s="180"/>
      <c r="R10" s="105"/>
    </row>
    <row r="11" spans="1:19" s="19" customFormat="1" ht="15" customHeight="1">
      <c r="A11" s="6" t="s">
        <v>41</v>
      </c>
      <c r="B11" s="89" t="e">
        <f>'Target 2022'!#REF!</f>
        <v>#REF!</v>
      </c>
      <c r="C11" s="89" t="e">
        <f>'Target 2022'!#REF!</f>
        <v>#REF!</v>
      </c>
      <c r="D11" s="89" t="e">
        <f>'Target 2022'!#REF!</f>
        <v>#REF!</v>
      </c>
      <c r="E11" s="179" t="e">
        <f>SUM(B11:D11)</f>
        <v>#REF!</v>
      </c>
      <c r="F11" s="89" t="e">
        <f>'Target 2022'!#REF!</f>
        <v>#REF!</v>
      </c>
      <c r="G11" s="89" t="e">
        <f>'Target 2022'!#REF!</f>
        <v>#REF!</v>
      </c>
      <c r="H11" s="89" t="e">
        <f>'Target 2022'!#REF!</f>
        <v>#REF!</v>
      </c>
      <c r="I11" s="179" t="e">
        <f>SUM(F11:H11)</f>
        <v>#REF!</v>
      </c>
      <c r="J11" s="89" t="e">
        <f>'Target 2022'!#REF!</f>
        <v>#REF!</v>
      </c>
      <c r="K11" s="89" t="e">
        <f>'Target 2022'!#REF!</f>
        <v>#REF!</v>
      </c>
      <c r="L11" s="89" t="e">
        <f>'Target 2022'!#REF!</f>
        <v>#REF!</v>
      </c>
      <c r="M11" s="179" t="e">
        <f>SUM(J11:L11)</f>
        <v>#REF!</v>
      </c>
      <c r="N11" s="89" t="e">
        <f>'Target 2022'!#REF!</f>
        <v>#REF!</v>
      </c>
      <c r="O11" s="89" t="e">
        <f>'Target 2022'!#REF!</f>
        <v>#REF!</v>
      </c>
      <c r="P11" s="89" t="e">
        <f>'Target 2022'!#REF!</f>
        <v>#REF!</v>
      </c>
      <c r="Q11" s="179" t="e">
        <f>SUM(N11:P11)</f>
        <v>#REF!</v>
      </c>
      <c r="R11" s="103" t="e">
        <f>Q11+M11+I11+E11</f>
        <v>#REF!</v>
      </c>
      <c r="S11" s="11"/>
    </row>
    <row r="12" spans="1:19" s="19" customFormat="1" ht="15" customHeight="1">
      <c r="A12" s="7" t="s">
        <v>42</v>
      </c>
      <c r="B12" s="85" t="e">
        <f>B11</f>
        <v>#REF!</v>
      </c>
      <c r="C12" s="85" t="e">
        <f>C11+B12</f>
        <v>#REF!</v>
      </c>
      <c r="D12" s="85" t="e">
        <f>D11+C12</f>
        <v>#REF!</v>
      </c>
      <c r="E12" s="180"/>
      <c r="F12" s="85" t="e">
        <f>F11</f>
        <v>#REF!</v>
      </c>
      <c r="G12" s="85" t="e">
        <f>G11+F12</f>
        <v>#REF!</v>
      </c>
      <c r="H12" s="85" t="e">
        <f>H11+G12</f>
        <v>#REF!</v>
      </c>
      <c r="I12" s="180"/>
      <c r="J12" s="85" t="e">
        <f>J11</f>
        <v>#REF!</v>
      </c>
      <c r="K12" s="85" t="e">
        <f>K11+J12</f>
        <v>#REF!</v>
      </c>
      <c r="L12" s="85" t="e">
        <f>L11+K12</f>
        <v>#REF!</v>
      </c>
      <c r="M12" s="180"/>
      <c r="N12" s="85" t="e">
        <f>N11</f>
        <v>#REF!</v>
      </c>
      <c r="O12" s="85" t="e">
        <f>O11+N12</f>
        <v>#REF!</v>
      </c>
      <c r="P12" s="85" t="e">
        <f>P11+O12</f>
        <v>#REF!</v>
      </c>
      <c r="Q12" s="180"/>
      <c r="R12" s="360" t="e">
        <f>R13/R11</f>
        <v>#REF!</v>
      </c>
    </row>
    <row r="13" spans="1:19" s="19" customFormat="1" ht="15" customHeight="1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79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79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79">
        <f>SUM(J13:L13)</f>
        <v>0</v>
      </c>
      <c r="N13" s="8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79">
        <f>SUM(N13:P13)</f>
        <v>0</v>
      </c>
      <c r="R13" s="103">
        <f>Q13+M13+I13+E13</f>
        <v>0</v>
      </c>
    </row>
    <row r="14" spans="1:19" customFormat="1">
      <c r="A14" s="7" t="s">
        <v>44</v>
      </c>
      <c r="B14" s="85">
        <f>B13</f>
        <v>0</v>
      </c>
      <c r="C14" s="85">
        <f>C13+B14</f>
        <v>0</v>
      </c>
      <c r="D14" s="85">
        <f>D13+C14</f>
        <v>0</v>
      </c>
      <c r="E14" s="180"/>
      <c r="F14" s="85">
        <f>F13</f>
        <v>0</v>
      </c>
      <c r="G14" s="85">
        <f>G13+F14</f>
        <v>0</v>
      </c>
      <c r="H14" s="85">
        <f>H13+G14</f>
        <v>0</v>
      </c>
      <c r="I14" s="180"/>
      <c r="J14" s="85">
        <f>J13</f>
        <v>0</v>
      </c>
      <c r="K14" s="85">
        <f>K13+J14</f>
        <v>0</v>
      </c>
      <c r="L14" s="85">
        <f>L13+K14</f>
        <v>0</v>
      </c>
      <c r="M14" s="180"/>
      <c r="N14" s="85">
        <f>N13</f>
        <v>0</v>
      </c>
      <c r="O14" s="85">
        <f>O13+N14</f>
        <v>0</v>
      </c>
      <c r="P14" s="85">
        <f>P13+O14</f>
        <v>0</v>
      </c>
      <c r="Q14" s="180"/>
      <c r="R14" s="105"/>
    </row>
    <row r="15" spans="1:19" s="19" customFormat="1" ht="15" customHeight="1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81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81"/>
      <c r="J15" s="25" t="e">
        <f t="shared" ref="J15:L16" si="6">J13/J11</f>
        <v>#REF!</v>
      </c>
      <c r="K15" s="25" t="e">
        <f t="shared" si="6"/>
        <v>#REF!</v>
      </c>
      <c r="L15" s="25" t="e">
        <f t="shared" si="6"/>
        <v>#REF!</v>
      </c>
      <c r="M15" s="181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81"/>
      <c r="R15" s="108"/>
    </row>
    <row r="16" spans="1:19" s="19" customFormat="1" ht="15" customHeight="1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81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81"/>
      <c r="J16" s="25" t="e">
        <f t="shared" si="6"/>
        <v>#REF!</v>
      </c>
      <c r="K16" s="25" t="e">
        <f>K14/K12</f>
        <v>#REF!</v>
      </c>
      <c r="L16" s="25" t="e">
        <f t="shared" si="6"/>
        <v>#REF!</v>
      </c>
      <c r="M16" s="181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81"/>
      <c r="R16" s="109"/>
    </row>
    <row r="17" spans="1:19" s="19" customFormat="1" ht="11.25" customHeight="1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80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80"/>
      <c r="J17" s="23" t="e">
        <f>J14-J12</f>
        <v>#REF!</v>
      </c>
      <c r="K17" s="23" t="e">
        <f>K14-K12</f>
        <v>#REF!</v>
      </c>
      <c r="L17" s="23" t="e">
        <f>L14-L12</f>
        <v>#REF!</v>
      </c>
      <c r="M17" s="180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80"/>
      <c r="R17" s="110"/>
    </row>
    <row r="18" spans="1:19" s="19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82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82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82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82"/>
      <c r="R18" s="112"/>
    </row>
    <row r="19" spans="1:19" s="19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82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82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82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82"/>
      <c r="R19" s="112"/>
    </row>
    <row r="20" spans="1:19" s="66" customFormat="1" ht="15" customHeight="1">
      <c r="B20" s="94"/>
      <c r="C20" s="94"/>
      <c r="D20" s="94"/>
      <c r="E20" s="183"/>
      <c r="F20" s="94"/>
      <c r="G20" s="94"/>
      <c r="H20" s="94"/>
      <c r="I20" s="183"/>
      <c r="J20" s="94"/>
      <c r="K20" s="94"/>
      <c r="L20" s="94"/>
      <c r="M20" s="183"/>
      <c r="O20" s="94"/>
      <c r="P20" s="94"/>
      <c r="Q20" s="183"/>
      <c r="R20" s="113"/>
      <c r="S20" s="65"/>
    </row>
    <row r="21" spans="1:19" s="19" customFormat="1" ht="15" customHeight="1">
      <c r="A21" s="51"/>
      <c r="B21" s="171"/>
      <c r="C21" s="171"/>
      <c r="D21" s="171"/>
      <c r="E21" s="184"/>
      <c r="F21" s="171"/>
      <c r="G21" s="171"/>
      <c r="H21" s="171"/>
      <c r="I21" s="184"/>
      <c r="J21" s="171"/>
      <c r="K21" s="171"/>
      <c r="L21" s="93"/>
      <c r="M21" s="184"/>
      <c r="N21" s="170" t="s">
        <v>26</v>
      </c>
      <c r="O21" s="171"/>
      <c r="P21" s="171"/>
      <c r="Q21" s="171"/>
      <c r="R21" s="117"/>
    </row>
    <row r="22" spans="1:19" s="19" customFormat="1" ht="15" customHeight="1">
      <c r="A22" s="68" t="s">
        <v>75</v>
      </c>
      <c r="B22" s="72">
        <v>3450</v>
      </c>
      <c r="C22" s="72">
        <v>3450</v>
      </c>
      <c r="D22" s="72">
        <v>3450</v>
      </c>
      <c r="E22" s="185"/>
      <c r="F22" s="72">
        <v>3450</v>
      </c>
      <c r="G22" s="72">
        <v>3450</v>
      </c>
      <c r="H22" s="72">
        <v>3450</v>
      </c>
      <c r="I22" s="185"/>
      <c r="J22" s="72">
        <v>3450</v>
      </c>
      <c r="K22" s="72">
        <v>3450</v>
      </c>
      <c r="L22" s="72">
        <v>3450</v>
      </c>
      <c r="M22" s="185"/>
      <c r="N22" s="72">
        <v>3450</v>
      </c>
      <c r="O22" s="72">
        <v>3450</v>
      </c>
      <c r="P22" s="72">
        <v>3450</v>
      </c>
      <c r="Q22" s="185"/>
      <c r="R22" s="117"/>
    </row>
    <row r="23" spans="1:19" s="19" customFormat="1" ht="15" customHeight="1">
      <c r="A23" s="18" t="s">
        <v>50</v>
      </c>
      <c r="B23" s="73" t="e">
        <f>B5</f>
        <v>#REF!</v>
      </c>
      <c r="C23" s="73" t="e">
        <f>C5</f>
        <v>#REF!</v>
      </c>
      <c r="D23" s="73" t="e">
        <f>D5</f>
        <v>#REF!</v>
      </c>
      <c r="E23" s="186"/>
      <c r="F23" s="73" t="e">
        <f>F5</f>
        <v>#REF!</v>
      </c>
      <c r="G23" s="73" t="e">
        <f>G5</f>
        <v>#REF!</v>
      </c>
      <c r="H23" s="73" t="e">
        <f>H5</f>
        <v>#REF!</v>
      </c>
      <c r="I23" s="186"/>
      <c r="J23" s="73" t="e">
        <f>J5</f>
        <v>#REF!</v>
      </c>
      <c r="K23" s="73" t="e">
        <f>K5</f>
        <v>#REF!</v>
      </c>
      <c r="L23" s="73" t="e">
        <f>L5</f>
        <v>#REF!</v>
      </c>
      <c r="M23" s="186"/>
      <c r="N23" s="73" t="e">
        <f>N5</f>
        <v>#REF!</v>
      </c>
      <c r="O23" s="73" t="e">
        <f>O5</f>
        <v>#REF!</v>
      </c>
      <c r="P23" s="73" t="e">
        <f>P5</f>
        <v>#REF!</v>
      </c>
      <c r="Q23" s="186"/>
      <c r="R23" s="119"/>
    </row>
    <row r="24" spans="1:19" s="19" customFormat="1" ht="15" customHeight="1">
      <c r="A24" s="38" t="s">
        <v>51</v>
      </c>
      <c r="B24" s="76">
        <f>B7</f>
        <v>0</v>
      </c>
      <c r="C24" s="76">
        <f>C7</f>
        <v>0</v>
      </c>
      <c r="D24" s="76">
        <f>D7</f>
        <v>0</v>
      </c>
      <c r="E24" s="187"/>
      <c r="F24" s="76">
        <f>F7</f>
        <v>0</v>
      </c>
      <c r="G24" s="76">
        <f>G7</f>
        <v>0</v>
      </c>
      <c r="H24" s="76">
        <f>H7</f>
        <v>0</v>
      </c>
      <c r="I24" s="187"/>
      <c r="J24" s="76">
        <f>J7</f>
        <v>0</v>
      </c>
      <c r="K24" s="76">
        <f>K7</f>
        <v>0</v>
      </c>
      <c r="L24" s="76">
        <f>L7</f>
        <v>0</v>
      </c>
      <c r="M24" s="187"/>
      <c r="N24" s="76">
        <f>N7</f>
        <v>0</v>
      </c>
      <c r="O24" s="76">
        <f>O7</f>
        <v>0</v>
      </c>
      <c r="P24" s="76">
        <f>P7</f>
        <v>0</v>
      </c>
      <c r="Q24" s="187"/>
      <c r="R24" s="119"/>
    </row>
    <row r="25" spans="1:19" s="21" customFormat="1" ht="15" customHeight="1">
      <c r="A25" s="38" t="s">
        <v>52</v>
      </c>
      <c r="B25" s="121" t="e">
        <f>B24/B23</f>
        <v>#REF!</v>
      </c>
      <c r="C25" s="121" t="e">
        <f>C24/C23</f>
        <v>#REF!</v>
      </c>
      <c r="D25" s="121" t="e">
        <f>D24/D23</f>
        <v>#REF!</v>
      </c>
      <c r="E25" s="188"/>
      <c r="F25" s="121" t="e">
        <f>F24/F23</f>
        <v>#REF!</v>
      </c>
      <c r="G25" s="121" t="e">
        <f>G24/G23</f>
        <v>#REF!</v>
      </c>
      <c r="H25" s="121" t="e">
        <f>H24/H23</f>
        <v>#REF!</v>
      </c>
      <c r="I25" s="188"/>
      <c r="J25" s="121" t="e">
        <f>J24/J23</f>
        <v>#REF!</v>
      </c>
      <c r="K25" s="121" t="e">
        <f>K24/K23</f>
        <v>#REF!</v>
      </c>
      <c r="L25" s="121" t="e">
        <f>L24/L23</f>
        <v>#REF!</v>
      </c>
      <c r="M25" s="188"/>
      <c r="N25" s="121" t="e">
        <f>N24/N23</f>
        <v>#REF!</v>
      </c>
      <c r="O25" s="121" t="e">
        <f>O24/O23</f>
        <v>#REF!</v>
      </c>
      <c r="P25" s="121" t="e">
        <f>P24/P23</f>
        <v>#REF!</v>
      </c>
      <c r="Q25" s="188"/>
      <c r="R25" s="119"/>
    </row>
    <row r="26" spans="1:19" s="19" customFormat="1" ht="15" customHeight="1">
      <c r="A26" s="37" t="s">
        <v>60</v>
      </c>
      <c r="B26" s="80">
        <f>B22*0.3</f>
        <v>1035</v>
      </c>
      <c r="C26" s="80">
        <f>C22*0.3</f>
        <v>1035</v>
      </c>
      <c r="D26" s="80">
        <f>D22*0.3</f>
        <v>1035</v>
      </c>
      <c r="E26" s="189"/>
      <c r="F26" s="80">
        <f>F22*0.3</f>
        <v>1035</v>
      </c>
      <c r="G26" s="80">
        <f>G22*0.3</f>
        <v>1035</v>
      </c>
      <c r="H26" s="80">
        <f>H22*0.3</f>
        <v>1035</v>
      </c>
      <c r="I26" s="189"/>
      <c r="J26" s="80">
        <f>J22*0.3</f>
        <v>1035</v>
      </c>
      <c r="K26" s="80">
        <f>K22*0.3</f>
        <v>1035</v>
      </c>
      <c r="L26" s="80">
        <f>L22*0.3</f>
        <v>1035</v>
      </c>
      <c r="M26" s="189"/>
      <c r="N26" s="80">
        <f>N22*0.3</f>
        <v>1035</v>
      </c>
      <c r="O26" s="80">
        <f>O22*0.3</f>
        <v>1035</v>
      </c>
      <c r="P26" s="80">
        <f>P22*0.3</f>
        <v>1035</v>
      </c>
      <c r="Q26" s="189"/>
      <c r="R26" s="122"/>
      <c r="S26" s="11"/>
    </row>
    <row r="27" spans="1:19" s="19" customFormat="1" ht="15" customHeight="1">
      <c r="A27" s="38" t="s">
        <v>53</v>
      </c>
      <c r="B27" s="76" t="e">
        <f>IF(B25&lt;80%,0,IF(B25&lt;90%,0.5,IF(B25&lt;95%,0.75,1)))</f>
        <v>#REF!</v>
      </c>
      <c r="C27" s="76" t="e">
        <f>IF(C25&lt;80%,0,IF(C25&lt;90%,0.5,IF(C25&lt;95%,0.75,1)))</f>
        <v>#REF!</v>
      </c>
      <c r="D27" s="76" t="e">
        <f>IF(D25&lt;80%,0,IF(D25&lt;90%,0.5,IF(D25&lt;95%,0.75,1)))</f>
        <v>#REF!</v>
      </c>
      <c r="E27" s="187"/>
      <c r="F27" s="76" t="e">
        <f>IF(F25&lt;80%,0,IF(F25&lt;90%,0.5,IF(F25&lt;95%,0.75,1)))</f>
        <v>#REF!</v>
      </c>
      <c r="G27" s="76" t="e">
        <f>IF(G25&lt;80%,0,IF(G25&lt;90%,0.5,IF(G25&lt;95%,0.75,1)))</f>
        <v>#REF!</v>
      </c>
      <c r="H27" s="76" t="e">
        <f>IF(H25&lt;80%,0,IF(H25&lt;90%,0.5,IF(H25&lt;95%,0.75,1)))</f>
        <v>#REF!</v>
      </c>
      <c r="I27" s="187"/>
      <c r="J27" s="76" t="e">
        <f>IF(J25&lt;80%,0,IF(J25&lt;90%,0.5,IF(J25&lt;95%,0.75,1)))</f>
        <v>#REF!</v>
      </c>
      <c r="K27" s="76" t="e">
        <f>IF(K25&lt;80%,0,IF(K25&lt;90%,0.5,IF(K25&lt;95%,0.75,1)))</f>
        <v>#REF!</v>
      </c>
      <c r="L27" s="76" t="e">
        <f>IF(L25&lt;80%,0,IF(L25&lt;90%,0.5,IF(L25&lt;95%,0.75,1)))</f>
        <v>#REF!</v>
      </c>
      <c r="M27" s="187"/>
      <c r="N27" s="76" t="e">
        <f>IF(N25&lt;80%,0,IF(N25&lt;90%,0.5,IF(N25&lt;95%,0.75,1)))</f>
        <v>#REF!</v>
      </c>
      <c r="O27" s="76" t="e">
        <f>IF(O25&lt;80%,0,IF(O25&lt;90%,0.5,IF(O25&lt;95%,0.75,1)))</f>
        <v>#REF!</v>
      </c>
      <c r="P27" s="76" t="e">
        <f>IF(P25&lt;80%,0,IF(P25&lt;90%,0.5,IF(P25&lt;95%,0.75,1)))</f>
        <v>#REF!</v>
      </c>
      <c r="Q27" s="187"/>
      <c r="R27" s="119"/>
      <c r="S27" s="11"/>
    </row>
    <row r="28" spans="1:19" s="20" customFormat="1" ht="15" customHeight="1">
      <c r="A28" s="54" t="s">
        <v>54</v>
      </c>
      <c r="B28" s="75" t="e">
        <f>B27*B26</f>
        <v>#REF!</v>
      </c>
      <c r="C28" s="75" t="e">
        <f>C27*C26</f>
        <v>#REF!</v>
      </c>
      <c r="D28" s="75" t="e">
        <f>D27*D26</f>
        <v>#REF!</v>
      </c>
      <c r="E28" s="190"/>
      <c r="F28" s="75" t="e">
        <f>F27*F26</f>
        <v>#REF!</v>
      </c>
      <c r="G28" s="75" t="e">
        <f>G27*G26</f>
        <v>#REF!</v>
      </c>
      <c r="H28" s="75" t="e">
        <f>H27*H26</f>
        <v>#REF!</v>
      </c>
      <c r="I28" s="190"/>
      <c r="J28" s="75" t="e">
        <f>J27*J26</f>
        <v>#REF!</v>
      </c>
      <c r="K28" s="75" t="e">
        <f>K27*K26</f>
        <v>#REF!</v>
      </c>
      <c r="L28" s="75" t="e">
        <f>L27*L26</f>
        <v>#REF!</v>
      </c>
      <c r="M28" s="190"/>
      <c r="N28" s="75" t="e">
        <f>N27*N26</f>
        <v>#REF!</v>
      </c>
      <c r="O28" s="75" t="e">
        <f>O27*O26</f>
        <v>#REF!</v>
      </c>
      <c r="P28" s="75" t="e">
        <f>P27*P26</f>
        <v>#REF!</v>
      </c>
      <c r="Q28" s="190"/>
      <c r="R28" s="123"/>
    </row>
    <row r="29" spans="1:19" s="19" customFormat="1" ht="15" customHeight="1">
      <c r="A29" s="18" t="s">
        <v>49</v>
      </c>
      <c r="B29" s="73" t="e">
        <f>B12</f>
        <v>#REF!</v>
      </c>
      <c r="C29" s="73" t="e">
        <f>C12</f>
        <v>#REF!</v>
      </c>
      <c r="D29" s="73" t="e">
        <f>D12</f>
        <v>#REF!</v>
      </c>
      <c r="E29" s="186"/>
      <c r="F29" s="73" t="e">
        <f>F12</f>
        <v>#REF!</v>
      </c>
      <c r="G29" s="73" t="e">
        <f>G12</f>
        <v>#REF!</v>
      </c>
      <c r="H29" s="73" t="e">
        <f>H12</f>
        <v>#REF!</v>
      </c>
      <c r="I29" s="186"/>
      <c r="J29" s="73" t="e">
        <f>J12</f>
        <v>#REF!</v>
      </c>
      <c r="K29" s="73" t="e">
        <f>K12</f>
        <v>#REF!</v>
      </c>
      <c r="L29" s="73" t="e">
        <f>L12</f>
        <v>#REF!</v>
      </c>
      <c r="M29" s="186"/>
      <c r="N29" s="73" t="e">
        <f>N12</f>
        <v>#REF!</v>
      </c>
      <c r="O29" s="73" t="e">
        <f>O12</f>
        <v>#REF!</v>
      </c>
      <c r="P29" s="73" t="e">
        <f>P12</f>
        <v>#REF!</v>
      </c>
      <c r="Q29" s="186"/>
      <c r="R29" s="119"/>
    </row>
    <row r="30" spans="1:19" s="19" customFormat="1" ht="15" customHeight="1">
      <c r="A30" s="38" t="s">
        <v>55</v>
      </c>
      <c r="B30" s="76">
        <f>B14</f>
        <v>0</v>
      </c>
      <c r="C30" s="76">
        <f>C14</f>
        <v>0</v>
      </c>
      <c r="D30" s="76">
        <f>D14</f>
        <v>0</v>
      </c>
      <c r="E30" s="187"/>
      <c r="F30" s="76">
        <f>F14</f>
        <v>0</v>
      </c>
      <c r="G30" s="76">
        <f>G14</f>
        <v>0</v>
      </c>
      <c r="H30" s="76">
        <f>H14</f>
        <v>0</v>
      </c>
      <c r="I30" s="187"/>
      <c r="J30" s="76">
        <f>J14</f>
        <v>0</v>
      </c>
      <c r="K30" s="76">
        <f>K14</f>
        <v>0</v>
      </c>
      <c r="L30" s="76">
        <f>L14</f>
        <v>0</v>
      </c>
      <c r="M30" s="187"/>
      <c r="N30" s="76">
        <f>N14</f>
        <v>0</v>
      </c>
      <c r="O30" s="76">
        <f>O14</f>
        <v>0</v>
      </c>
      <c r="P30" s="76">
        <f>P14</f>
        <v>0</v>
      </c>
      <c r="Q30" s="187"/>
      <c r="R30" s="119"/>
    </row>
    <row r="31" spans="1:19" s="21" customFormat="1" ht="15" customHeight="1">
      <c r="A31" s="38" t="s">
        <v>56</v>
      </c>
      <c r="B31" s="121" t="e">
        <f>B30/B29</f>
        <v>#REF!</v>
      </c>
      <c r="C31" s="121" t="e">
        <f>C30/C29</f>
        <v>#REF!</v>
      </c>
      <c r="D31" s="121" t="e">
        <f>D30/D29</f>
        <v>#REF!</v>
      </c>
      <c r="E31" s="188"/>
      <c r="F31" s="121" t="e">
        <f>F30/F29</f>
        <v>#REF!</v>
      </c>
      <c r="G31" s="121" t="e">
        <f>G30/G29</f>
        <v>#REF!</v>
      </c>
      <c r="H31" s="121" t="e">
        <f>H30/H29</f>
        <v>#REF!</v>
      </c>
      <c r="I31" s="188"/>
      <c r="J31" s="121" t="e">
        <f>J30/J29</f>
        <v>#REF!</v>
      </c>
      <c r="K31" s="121" t="e">
        <f>K30/K29</f>
        <v>#REF!</v>
      </c>
      <c r="L31" s="121" t="e">
        <f>L30/L29</f>
        <v>#REF!</v>
      </c>
      <c r="M31" s="188"/>
      <c r="N31" s="121" t="e">
        <f>N30/N29</f>
        <v>#REF!</v>
      </c>
      <c r="O31" s="121" t="e">
        <f>O30/O29</f>
        <v>#REF!</v>
      </c>
      <c r="P31" s="121" t="e">
        <f>P30/P29</f>
        <v>#REF!</v>
      </c>
      <c r="Q31" s="188"/>
      <c r="R31" s="119"/>
    </row>
    <row r="32" spans="1:19" s="21" customFormat="1" ht="15" customHeight="1">
      <c r="A32" s="82" t="s">
        <v>61</v>
      </c>
      <c r="B32" s="76">
        <f>B22*0.15</f>
        <v>517.5</v>
      </c>
      <c r="C32" s="76">
        <f>C22*0.15</f>
        <v>517.5</v>
      </c>
      <c r="D32" s="76">
        <f>D22*0.15</f>
        <v>517.5</v>
      </c>
      <c r="E32" s="187"/>
      <c r="F32" s="76">
        <f>F22*0.15</f>
        <v>517.5</v>
      </c>
      <c r="G32" s="76">
        <f>G22*0.15</f>
        <v>517.5</v>
      </c>
      <c r="H32" s="76">
        <f>H22*0.15</f>
        <v>517.5</v>
      </c>
      <c r="I32" s="187"/>
      <c r="J32" s="76">
        <f>J22*0.15</f>
        <v>517.5</v>
      </c>
      <c r="K32" s="76">
        <f>K22*0.15</f>
        <v>517.5</v>
      </c>
      <c r="L32" s="76">
        <f>L22*0.15</f>
        <v>517.5</v>
      </c>
      <c r="M32" s="187"/>
      <c r="N32" s="76">
        <f>N22*0.15</f>
        <v>517.5</v>
      </c>
      <c r="O32" s="76">
        <f>O22*0.15</f>
        <v>517.5</v>
      </c>
      <c r="P32" s="76">
        <f>P22*0.15</f>
        <v>517.5</v>
      </c>
      <c r="Q32" s="187"/>
      <c r="R32" s="119"/>
    </row>
    <row r="33" spans="1:19" s="35" customFormat="1" ht="15" customHeight="1">
      <c r="A33" s="38" t="s">
        <v>57</v>
      </c>
      <c r="B33" s="80" t="e">
        <f>IF(B31&lt;80%,0,IF(B31&lt;90%,0.5,IF(B31&lt;95%,0.75,1)))</f>
        <v>#REF!</v>
      </c>
      <c r="C33" s="80" t="e">
        <f>IF(C31&lt;80%,0,IF(C31&lt;90%,0.5,IF(C31&lt;95%,0.75,1)))</f>
        <v>#REF!</v>
      </c>
      <c r="D33" s="80" t="e">
        <f>IF(D31&lt;80%,0,IF(D31&lt;90%,0.5,IF(D31&lt;95%,0.75,1)))</f>
        <v>#REF!</v>
      </c>
      <c r="E33" s="189"/>
      <c r="F33" s="80" t="e">
        <f>IF(F31&lt;80%,0,IF(F31&lt;90%,0.5,IF(F31&lt;95%,0.75,1)))</f>
        <v>#REF!</v>
      </c>
      <c r="G33" s="80" t="e">
        <f>IF(G31&lt;80%,0,IF(G31&lt;90%,0.5,IF(G31&lt;95%,0.75,1)))</f>
        <v>#REF!</v>
      </c>
      <c r="H33" s="80" t="e">
        <f>IF(H31&lt;80%,0,IF(H31&lt;90%,0.5,IF(H31&lt;95%,0.75,1)))</f>
        <v>#REF!</v>
      </c>
      <c r="I33" s="189"/>
      <c r="J33" s="80" t="e">
        <f>IF(J31&lt;80%,0,IF(J31&lt;90%,0.5,IF(J31&lt;95%,0.75,1)))</f>
        <v>#REF!</v>
      </c>
      <c r="K33" s="80" t="e">
        <f>IF(K31&lt;80%,0,IF(K31&lt;90%,0.5,IF(K31&lt;95%,0.75,1)))</f>
        <v>#REF!</v>
      </c>
      <c r="L33" s="80" t="e">
        <f>IF(L31&lt;80%,0,IF(L31&lt;90%,0.5,IF(L31&lt;95%,0.75,1)))</f>
        <v>#REF!</v>
      </c>
      <c r="M33" s="189"/>
      <c r="N33" s="80" t="e">
        <f>IF(N31&lt;80%,0,IF(N31&lt;90%,0.5,IF(N31&lt;95%,0.75,1)))</f>
        <v>#REF!</v>
      </c>
      <c r="O33" s="80" t="e">
        <f>IF(O31&lt;80%,0,IF(O31&lt;90%,0.5,IF(O31&lt;95%,0.75,1)))</f>
        <v>#REF!</v>
      </c>
      <c r="P33" s="80" t="e">
        <f>IF(P31&lt;80%,0,IF(P31&lt;90%,0.5,IF(P31&lt;95%,0.75,1)))</f>
        <v>#REF!</v>
      </c>
      <c r="Q33" s="189"/>
      <c r="R33" s="119"/>
    </row>
    <row r="34" spans="1:19" s="19" customFormat="1" ht="15" customHeight="1">
      <c r="A34" s="54" t="s">
        <v>58</v>
      </c>
      <c r="B34" s="75" t="e">
        <f>B33*B32</f>
        <v>#REF!</v>
      </c>
      <c r="C34" s="75" t="e">
        <f>C33*C32</f>
        <v>#REF!</v>
      </c>
      <c r="D34" s="75" t="e">
        <f>D33*D32</f>
        <v>#REF!</v>
      </c>
      <c r="E34" s="190"/>
      <c r="F34" s="75" t="e">
        <f>F33*F32</f>
        <v>#REF!</v>
      </c>
      <c r="G34" s="75" t="e">
        <f>G33*G32</f>
        <v>#REF!</v>
      </c>
      <c r="H34" s="75" t="e">
        <f>H33*H32</f>
        <v>#REF!</v>
      </c>
      <c r="I34" s="190"/>
      <c r="J34" s="75" t="e">
        <f>J33*J32</f>
        <v>#REF!</v>
      </c>
      <c r="K34" s="75" t="e">
        <f>K33*K32</f>
        <v>#REF!</v>
      </c>
      <c r="L34" s="75" t="e">
        <f>L33*L32</f>
        <v>#REF!</v>
      </c>
      <c r="M34" s="190"/>
      <c r="N34" s="75" t="e">
        <f>N33*N32</f>
        <v>#REF!</v>
      </c>
      <c r="O34" s="75" t="e">
        <f>O33*O32</f>
        <v>#REF!</v>
      </c>
      <c r="P34" s="75" t="e">
        <f>P33*P32</f>
        <v>#REF!</v>
      </c>
      <c r="Q34" s="190"/>
      <c r="R34" s="123"/>
    </row>
    <row r="35" spans="1:19" s="21" customFormat="1" ht="15" customHeight="1">
      <c r="A35" s="18" t="s">
        <v>34</v>
      </c>
      <c r="B35" s="73">
        <v>1</v>
      </c>
      <c r="C35" s="73">
        <v>1</v>
      </c>
      <c r="D35" s="73">
        <v>1</v>
      </c>
      <c r="E35" s="186"/>
      <c r="F35" s="73">
        <v>1</v>
      </c>
      <c r="G35" s="73">
        <v>1</v>
      </c>
      <c r="H35" s="73">
        <v>1</v>
      </c>
      <c r="I35" s="186"/>
      <c r="J35" s="73">
        <v>1</v>
      </c>
      <c r="K35" s="73">
        <v>1</v>
      </c>
      <c r="L35" s="73">
        <v>1</v>
      </c>
      <c r="M35" s="186"/>
      <c r="N35" s="73">
        <v>1</v>
      </c>
      <c r="O35" s="73">
        <v>1</v>
      </c>
      <c r="P35" s="73">
        <v>1</v>
      </c>
      <c r="Q35" s="186"/>
      <c r="R35" s="124"/>
    </row>
    <row r="36" spans="1:19" s="21" customFormat="1" ht="15" customHeight="1">
      <c r="A36" s="48" t="s">
        <v>59</v>
      </c>
      <c r="B36" s="125">
        <f>B22*0.05</f>
        <v>172.5</v>
      </c>
      <c r="C36" s="125">
        <f>C22*0.05</f>
        <v>172.5</v>
      </c>
      <c r="D36" s="125">
        <f>D22*0.05</f>
        <v>172.5</v>
      </c>
      <c r="E36" s="191"/>
      <c r="F36" s="125">
        <f>F22*0.05</f>
        <v>172.5</v>
      </c>
      <c r="G36" s="125">
        <f>G22*0.05</f>
        <v>172.5</v>
      </c>
      <c r="H36" s="125">
        <f>H22*0.05</f>
        <v>172.5</v>
      </c>
      <c r="I36" s="191"/>
      <c r="J36" s="125">
        <f>J22*0.05</f>
        <v>172.5</v>
      </c>
      <c r="K36" s="125">
        <f>K22*0.05</f>
        <v>172.5</v>
      </c>
      <c r="L36" s="125">
        <f>L22*0.05</f>
        <v>172.5</v>
      </c>
      <c r="M36" s="191"/>
      <c r="N36" s="125">
        <f>N22*0.05</f>
        <v>172.5</v>
      </c>
      <c r="O36" s="125">
        <f>O22*0.05</f>
        <v>172.5</v>
      </c>
      <c r="P36" s="125">
        <f>P22*0.05</f>
        <v>172.5</v>
      </c>
      <c r="Q36" s="191"/>
      <c r="R36" s="122"/>
    </row>
    <row r="37" spans="1:19" s="35" customFormat="1" ht="15" customHeight="1">
      <c r="A37" s="38" t="s">
        <v>62</v>
      </c>
      <c r="B37" s="76"/>
      <c r="C37" s="76"/>
      <c r="D37" s="76"/>
      <c r="E37" s="187"/>
      <c r="F37" s="76">
        <v>1</v>
      </c>
      <c r="G37" s="76">
        <v>1</v>
      </c>
      <c r="H37" s="76"/>
      <c r="I37" s="187"/>
      <c r="J37" s="76">
        <v>1</v>
      </c>
      <c r="K37" s="76">
        <v>1</v>
      </c>
      <c r="L37" s="76">
        <v>1</v>
      </c>
      <c r="M37" s="187"/>
      <c r="N37" s="76">
        <v>1</v>
      </c>
      <c r="O37" s="76">
        <v>1</v>
      </c>
      <c r="P37" s="76">
        <v>1</v>
      </c>
      <c r="Q37" s="187"/>
      <c r="R37" s="119"/>
    </row>
    <row r="38" spans="1:19" s="20" customFormat="1" ht="15" customHeight="1">
      <c r="A38" s="61" t="s">
        <v>63</v>
      </c>
      <c r="B38" s="75">
        <f>B37*B36</f>
        <v>0</v>
      </c>
      <c r="C38" s="75">
        <f>C37*C36</f>
        <v>0</v>
      </c>
      <c r="D38" s="75">
        <f>D37*D36</f>
        <v>0</v>
      </c>
      <c r="E38" s="190"/>
      <c r="F38" s="75">
        <f>F37*F36</f>
        <v>172.5</v>
      </c>
      <c r="G38" s="75">
        <f>G37*G36</f>
        <v>172.5</v>
      </c>
      <c r="H38" s="75">
        <f>H37*H36</f>
        <v>0</v>
      </c>
      <c r="I38" s="190"/>
      <c r="J38" s="75">
        <f>J37*J36</f>
        <v>172.5</v>
      </c>
      <c r="K38" s="75">
        <f>K37*K36</f>
        <v>172.5</v>
      </c>
      <c r="L38" s="75">
        <f>L37*L36</f>
        <v>172.5</v>
      </c>
      <c r="M38" s="190"/>
      <c r="N38" s="75">
        <f>N37*N36</f>
        <v>172.5</v>
      </c>
      <c r="O38" s="75">
        <f>O37*O36</f>
        <v>172.5</v>
      </c>
      <c r="P38" s="75">
        <f>P37*P36</f>
        <v>172.5</v>
      </c>
      <c r="Q38" s="190"/>
      <c r="R38" s="126"/>
      <c r="S38" s="13"/>
    </row>
    <row r="39" spans="1:19" s="41" customFormat="1" ht="15" customHeight="1">
      <c r="A39" s="51" t="s">
        <v>67</v>
      </c>
      <c r="B39" s="78" t="e">
        <f>B34+B28+B38</f>
        <v>#REF!</v>
      </c>
      <c r="C39" s="78" t="e">
        <f>C34+C28+C38</f>
        <v>#REF!</v>
      </c>
      <c r="D39" s="78" t="e">
        <f>D34+D28+D38</f>
        <v>#REF!</v>
      </c>
      <c r="E39" s="192"/>
      <c r="F39" s="78" t="e">
        <f>F34+F28+F38</f>
        <v>#REF!</v>
      </c>
      <c r="G39" s="78" t="e">
        <f>G34+G28+G38</f>
        <v>#REF!</v>
      </c>
      <c r="H39" s="78" t="e">
        <f>H34+H28+H38</f>
        <v>#REF!</v>
      </c>
      <c r="I39" s="192"/>
      <c r="J39" s="78" t="e">
        <f>J34+J28+J38</f>
        <v>#REF!</v>
      </c>
      <c r="K39" s="78" t="e">
        <f>K34+K28+K38+129.37</f>
        <v>#REF!</v>
      </c>
      <c r="L39" s="78" t="e">
        <f>L34+L28+L38</f>
        <v>#REF!</v>
      </c>
      <c r="M39" s="192"/>
      <c r="N39" s="78" t="e">
        <f>N34+N28+N38</f>
        <v>#REF!</v>
      </c>
      <c r="O39" s="78" t="e">
        <f>O34+O28+O38</f>
        <v>#REF!</v>
      </c>
      <c r="P39" s="78" t="e">
        <f>P34+P28+P38</f>
        <v>#REF!</v>
      </c>
      <c r="Q39" s="192"/>
      <c r="R39" s="127"/>
      <c r="S39" s="15"/>
    </row>
    <row r="40" spans="1:19" s="19" customFormat="1" ht="15" customHeight="1">
      <c r="A40" s="118" t="s">
        <v>123</v>
      </c>
      <c r="B40" s="720" t="e">
        <f>D5</f>
        <v>#REF!</v>
      </c>
      <c r="C40" s="721"/>
      <c r="D40" s="721"/>
      <c r="E40" s="731"/>
      <c r="F40" s="720" t="e">
        <f>H5</f>
        <v>#REF!</v>
      </c>
      <c r="G40" s="721"/>
      <c r="H40" s="721"/>
      <c r="I40" s="731"/>
      <c r="J40" s="720" t="e">
        <f>L5</f>
        <v>#REF!</v>
      </c>
      <c r="K40" s="721"/>
      <c r="L40" s="721"/>
      <c r="M40" s="731"/>
      <c r="N40" s="720" t="e">
        <f>P5</f>
        <v>#REF!</v>
      </c>
      <c r="O40" s="721"/>
      <c r="P40" s="721"/>
      <c r="Q40" s="731"/>
      <c r="R40" s="122"/>
    </row>
    <row r="41" spans="1:19" s="35" customFormat="1" ht="15" customHeight="1">
      <c r="A41" s="120" t="s">
        <v>69</v>
      </c>
      <c r="B41" s="732">
        <f>D7</f>
        <v>0</v>
      </c>
      <c r="C41" s="733"/>
      <c r="D41" s="733"/>
      <c r="E41" s="731"/>
      <c r="F41" s="732">
        <f>H7</f>
        <v>0</v>
      </c>
      <c r="G41" s="733"/>
      <c r="H41" s="733"/>
      <c r="I41" s="731"/>
      <c r="J41" s="732">
        <f>L7</f>
        <v>0</v>
      </c>
      <c r="K41" s="733"/>
      <c r="L41" s="733"/>
      <c r="M41" s="731"/>
      <c r="N41" s="732">
        <f>P7</f>
        <v>0</v>
      </c>
      <c r="O41" s="733"/>
      <c r="P41" s="733"/>
      <c r="Q41" s="731"/>
      <c r="R41" s="122"/>
    </row>
    <row r="42" spans="1:19" s="19" customFormat="1" ht="15" customHeight="1">
      <c r="A42" s="120" t="s">
        <v>68</v>
      </c>
      <c r="B42" s="734" t="e">
        <f>B41/B40</f>
        <v>#REF!</v>
      </c>
      <c r="C42" s="735"/>
      <c r="D42" s="735"/>
      <c r="E42" s="731"/>
      <c r="F42" s="734" t="e">
        <f>F41/F40</f>
        <v>#REF!</v>
      </c>
      <c r="G42" s="735"/>
      <c r="H42" s="735"/>
      <c r="I42" s="731"/>
      <c r="J42" s="734" t="e">
        <f>J41/J40</f>
        <v>#REF!</v>
      </c>
      <c r="K42" s="735"/>
      <c r="L42" s="735"/>
      <c r="M42" s="731"/>
      <c r="N42" s="734" t="e">
        <f>N41/N40</f>
        <v>#REF!</v>
      </c>
      <c r="O42" s="735"/>
      <c r="P42" s="735"/>
      <c r="Q42" s="731"/>
      <c r="R42" s="128"/>
    </row>
    <row r="43" spans="1:19" s="20" customFormat="1" ht="15" customHeight="1">
      <c r="A43" s="120" t="s">
        <v>65</v>
      </c>
      <c r="B43" s="729">
        <f>D22</f>
        <v>3450</v>
      </c>
      <c r="C43" s="730"/>
      <c r="D43" s="730"/>
      <c r="E43" s="731"/>
      <c r="F43" s="729">
        <f>H22</f>
        <v>3450</v>
      </c>
      <c r="G43" s="730"/>
      <c r="H43" s="730"/>
      <c r="I43" s="731"/>
      <c r="J43" s="729">
        <f>L22</f>
        <v>3450</v>
      </c>
      <c r="K43" s="730"/>
      <c r="L43" s="730"/>
      <c r="M43" s="731"/>
      <c r="N43" s="729">
        <f>P22</f>
        <v>3450</v>
      </c>
      <c r="O43" s="730"/>
      <c r="P43" s="730"/>
      <c r="Q43" s="731"/>
      <c r="R43" s="122"/>
    </row>
    <row r="44" spans="1:19" s="35" customFormat="1" ht="15" customHeight="1">
      <c r="A44" s="82" t="s">
        <v>66</v>
      </c>
      <c r="B44" s="724" t="e">
        <f>IF(B42&lt;100%,0,IF(B42&lt;110%,0.5,1))</f>
        <v>#REF!</v>
      </c>
      <c r="C44" s="725"/>
      <c r="D44" s="725"/>
      <c r="E44" s="719"/>
      <c r="F44" s="724" t="e">
        <f>IF(F42&lt;100%,0,IF(F42&lt;110%,0.5,1))</f>
        <v>#REF!</v>
      </c>
      <c r="G44" s="725"/>
      <c r="H44" s="725"/>
      <c r="I44" s="719"/>
      <c r="J44" s="724" t="e">
        <f>IF(J42&lt;100%,0,IF(J42&lt;110%,0.5,1))</f>
        <v>#REF!</v>
      </c>
      <c r="K44" s="725"/>
      <c r="L44" s="725"/>
      <c r="M44" s="719"/>
      <c r="N44" s="724" t="e">
        <f>IF(N42&lt;100%,0,IF(N42&lt;110%,0.5,1))</f>
        <v>#REF!</v>
      </c>
      <c r="O44" s="725"/>
      <c r="P44" s="725"/>
      <c r="Q44" s="719"/>
      <c r="R44" s="129"/>
    </row>
    <row r="45" spans="1:19" s="19" customFormat="1" ht="15" customHeight="1">
      <c r="A45" s="51" t="s">
        <v>64</v>
      </c>
      <c r="B45" s="726" t="e">
        <f>B44*B43</f>
        <v>#REF!</v>
      </c>
      <c r="C45" s="727"/>
      <c r="D45" s="727"/>
      <c r="E45" s="719"/>
      <c r="F45" s="726" t="e">
        <f>F44*F43</f>
        <v>#REF!</v>
      </c>
      <c r="G45" s="727"/>
      <c r="H45" s="727"/>
      <c r="I45" s="719"/>
      <c r="J45" s="726" t="e">
        <f>J44*J43</f>
        <v>#REF!</v>
      </c>
      <c r="K45" s="727"/>
      <c r="L45" s="727"/>
      <c r="M45" s="719"/>
      <c r="N45" s="726" t="e">
        <f>N44*N43</f>
        <v>#REF!</v>
      </c>
      <c r="O45" s="727"/>
      <c r="P45" s="727"/>
      <c r="Q45" s="719"/>
      <c r="R45" s="130"/>
    </row>
    <row r="46" spans="1:19" s="19" customFormat="1" ht="15" customHeight="1" thickBot="1">
      <c r="A46" s="58"/>
      <c r="B46" s="59"/>
      <c r="C46" s="59"/>
      <c r="D46" s="59"/>
      <c r="E46" s="132"/>
      <c r="F46" s="59"/>
      <c r="G46" s="59"/>
      <c r="H46" s="59"/>
      <c r="I46" s="132"/>
      <c r="J46" s="59"/>
      <c r="K46" s="59"/>
      <c r="L46" s="59"/>
      <c r="M46" s="132"/>
      <c r="N46" s="59"/>
      <c r="O46" s="59"/>
      <c r="P46" s="59"/>
      <c r="Q46" s="132"/>
      <c r="R46" s="133"/>
    </row>
    <row r="47" spans="1:19" ht="13.8" thickBot="1">
      <c r="A47" s="325" t="s">
        <v>94</v>
      </c>
      <c r="B47" s="365" t="s">
        <v>95</v>
      </c>
      <c r="C47" s="365" t="s">
        <v>11</v>
      </c>
      <c r="D47" s="365" t="s">
        <v>12</v>
      </c>
      <c r="E47" s="334" t="s">
        <v>96</v>
      </c>
      <c r="F47" s="428" t="s">
        <v>7</v>
      </c>
      <c r="G47" s="428" t="s">
        <v>8</v>
      </c>
      <c r="H47" s="365" t="s">
        <v>9</v>
      </c>
      <c r="I47" s="334" t="s">
        <v>96</v>
      </c>
      <c r="J47" s="336" t="s">
        <v>4</v>
      </c>
      <c r="K47" s="336" t="s">
        <v>5</v>
      </c>
      <c r="L47" s="336" t="s">
        <v>6</v>
      </c>
      <c r="M47" s="334" t="s">
        <v>96</v>
      </c>
      <c r="N47" s="336" t="s">
        <v>1</v>
      </c>
      <c r="O47" s="336" t="s">
        <v>2</v>
      </c>
      <c r="P47" s="336" t="s">
        <v>3</v>
      </c>
      <c r="Q47" s="334" t="s">
        <v>96</v>
      </c>
      <c r="R47" s="334" t="s">
        <v>96</v>
      </c>
    </row>
    <row r="48" spans="1:19" ht="13.8" thickTop="1">
      <c r="A48" s="326" t="s">
        <v>97</v>
      </c>
      <c r="B48" s="151"/>
      <c r="C48" s="151"/>
      <c r="D48" s="151"/>
      <c r="E48" s="335">
        <f>SUM(B48:D48)</f>
        <v>0</v>
      </c>
      <c r="F48" s="421"/>
      <c r="G48" s="421"/>
      <c r="H48" s="151"/>
      <c r="I48" s="335">
        <f>SUM(F48:H48)</f>
        <v>0</v>
      </c>
      <c r="J48" s="151"/>
      <c r="K48" s="151"/>
      <c r="L48" s="151"/>
      <c r="M48" s="335">
        <f>SUM(J48:L48)</f>
        <v>0</v>
      </c>
      <c r="N48" s="151"/>
      <c r="O48" s="151"/>
      <c r="P48" s="151"/>
      <c r="Q48" s="335">
        <f>SUM(N48:P48)</f>
        <v>0</v>
      </c>
      <c r="R48" s="335">
        <f>M48+I48+E48+Q48</f>
        <v>0</v>
      </c>
      <c r="S48" s="64"/>
    </row>
    <row r="49" spans="1:19">
      <c r="A49" s="327" t="s">
        <v>98</v>
      </c>
      <c r="B49" s="152"/>
      <c r="C49" s="152"/>
      <c r="D49" s="152"/>
      <c r="E49" s="196"/>
      <c r="F49" s="420"/>
      <c r="G49" s="420"/>
      <c r="H49" s="152"/>
      <c r="I49" s="196"/>
      <c r="J49" s="152"/>
      <c r="K49" s="152"/>
      <c r="L49" s="152"/>
      <c r="M49" s="196"/>
      <c r="N49" s="152"/>
      <c r="O49" s="152"/>
      <c r="P49" s="152"/>
      <c r="Q49" s="196"/>
      <c r="R49" s="196"/>
      <c r="S49" s="64"/>
    </row>
    <row r="50" spans="1:19">
      <c r="A50" s="327" t="s">
        <v>99</v>
      </c>
      <c r="B50" s="152"/>
      <c r="C50" s="152"/>
      <c r="D50" s="152"/>
      <c r="E50" s="196"/>
      <c r="F50" s="420"/>
      <c r="G50" s="420"/>
      <c r="H50" s="152"/>
      <c r="I50" s="196"/>
      <c r="J50" s="152"/>
      <c r="K50" s="152"/>
      <c r="L50" s="152"/>
      <c r="M50" s="196"/>
      <c r="N50" s="152"/>
      <c r="O50" s="152"/>
      <c r="P50" s="152"/>
      <c r="Q50" s="196"/>
      <c r="R50" s="196"/>
      <c r="S50" s="64"/>
    </row>
    <row r="51" spans="1:19">
      <c r="A51" s="327" t="s">
        <v>133</v>
      </c>
      <c r="B51" s="152"/>
      <c r="C51" s="152"/>
      <c r="D51" s="152"/>
      <c r="E51" s="196"/>
      <c r="F51" s="420"/>
      <c r="G51" s="420"/>
      <c r="H51" s="152"/>
      <c r="I51" s="196"/>
      <c r="J51" s="152"/>
      <c r="K51" s="152"/>
      <c r="L51" s="152"/>
      <c r="M51" s="196"/>
      <c r="N51" s="152"/>
      <c r="O51" s="152"/>
      <c r="P51" s="152"/>
      <c r="Q51" s="196"/>
      <c r="R51" s="196"/>
      <c r="S51" s="64"/>
    </row>
    <row r="52" spans="1:19">
      <c r="A52" s="327" t="s">
        <v>100</v>
      </c>
      <c r="B52" s="366"/>
      <c r="C52" s="366"/>
      <c r="D52" s="366"/>
      <c r="E52" s="197"/>
      <c r="F52" s="429"/>
      <c r="G52" s="429"/>
      <c r="H52" s="366"/>
      <c r="I52" s="197"/>
      <c r="J52" s="396"/>
      <c r="K52" s="396"/>
      <c r="L52" s="396"/>
      <c r="M52" s="197"/>
      <c r="N52" s="396"/>
      <c r="O52" s="396"/>
      <c r="P52" s="396"/>
      <c r="Q52" s="197"/>
      <c r="R52" s="197"/>
      <c r="S52" s="64"/>
    </row>
    <row r="53" spans="1:19" ht="13.8" thickBot="1">
      <c r="A53" s="328" t="s">
        <v>101</v>
      </c>
      <c r="B53" s="153"/>
      <c r="C53" s="153"/>
      <c r="D53" s="153"/>
      <c r="E53" s="335">
        <f t="shared" ref="E53:E54" si="12">SUM(B53:D53)</f>
        <v>0</v>
      </c>
      <c r="F53" s="422"/>
      <c r="G53" s="422"/>
      <c r="H53" s="153"/>
      <c r="I53" s="335">
        <f t="shared" ref="I53:I54" si="13">SUM(F53:H53)</f>
        <v>0</v>
      </c>
      <c r="J53" s="153"/>
      <c r="K53" s="153"/>
      <c r="L53" s="153"/>
      <c r="M53" s="335">
        <f t="shared" ref="M53:M54" si="14">SUM(J53:L53)</f>
        <v>0</v>
      </c>
      <c r="N53" s="153"/>
      <c r="O53" s="153"/>
      <c r="P53" s="153"/>
      <c r="Q53" s="335">
        <f t="shared" ref="Q53:Q54" si="15">SUM(N53:P53)</f>
        <v>0</v>
      </c>
      <c r="R53" s="335">
        <f>M53+I53+E53+Q53</f>
        <v>0</v>
      </c>
      <c r="S53" s="64"/>
    </row>
    <row r="54" spans="1:19" ht="13.8" thickTop="1">
      <c r="A54" s="329" t="s">
        <v>134</v>
      </c>
      <c r="B54" s="154"/>
      <c r="C54" s="154"/>
      <c r="D54" s="154"/>
      <c r="E54" s="335">
        <f t="shared" si="12"/>
        <v>0</v>
      </c>
      <c r="F54" s="423"/>
      <c r="G54" s="423"/>
      <c r="H54" s="154"/>
      <c r="I54" s="335">
        <f t="shared" si="13"/>
        <v>0</v>
      </c>
      <c r="J54" s="154"/>
      <c r="K54" s="154"/>
      <c r="L54" s="154"/>
      <c r="M54" s="335">
        <f t="shared" si="14"/>
        <v>0</v>
      </c>
      <c r="N54" s="154"/>
      <c r="O54" s="154"/>
      <c r="P54" s="154"/>
      <c r="Q54" s="335">
        <f t="shared" si="15"/>
        <v>0</v>
      </c>
      <c r="R54" s="335">
        <f>M54+I54+E54+Q54</f>
        <v>0</v>
      </c>
      <c r="S54" s="64"/>
    </row>
    <row r="55" spans="1:19">
      <c r="A55" s="327" t="s">
        <v>102</v>
      </c>
      <c r="B55" s="152"/>
      <c r="C55" s="152"/>
      <c r="D55" s="152"/>
      <c r="E55" s="198"/>
      <c r="F55" s="420"/>
      <c r="G55" s="420"/>
      <c r="H55" s="152"/>
      <c r="I55" s="198"/>
      <c r="J55" s="152"/>
      <c r="K55" s="152"/>
      <c r="L55" s="152"/>
      <c r="M55" s="198"/>
      <c r="N55" s="152"/>
      <c r="O55" s="152"/>
      <c r="P55" s="152"/>
      <c r="Q55" s="198"/>
      <c r="R55" s="198"/>
      <c r="S55" s="64"/>
    </row>
    <row r="56" spans="1:19">
      <c r="A56" s="327" t="s">
        <v>103</v>
      </c>
      <c r="B56" s="152"/>
      <c r="C56" s="152"/>
      <c r="D56" s="152"/>
      <c r="E56" s="335">
        <f t="shared" ref="E56:E60" si="16">SUM(B56:D56)</f>
        <v>0</v>
      </c>
      <c r="F56" s="420"/>
      <c r="G56" s="420"/>
      <c r="H56" s="152"/>
      <c r="I56" s="335">
        <f t="shared" ref="I56:I60" si="17">SUM(F56:H56)</f>
        <v>0</v>
      </c>
      <c r="J56" s="152"/>
      <c r="K56" s="152"/>
      <c r="L56" s="152"/>
      <c r="M56" s="335">
        <f t="shared" ref="M56:M60" si="18">SUM(J56:L56)</f>
        <v>0</v>
      </c>
      <c r="N56" s="152"/>
      <c r="O56" s="152"/>
      <c r="P56" s="152"/>
      <c r="Q56" s="335">
        <f t="shared" ref="Q56:Q60" si="19">SUM(N56:P56)</f>
        <v>0</v>
      </c>
      <c r="R56" s="335">
        <f>M56+I56+E56+Q56</f>
        <v>0</v>
      </c>
      <c r="S56" s="64"/>
    </row>
    <row r="57" spans="1:19" ht="13.8" thickBot="1">
      <c r="A57" s="330" t="s">
        <v>104</v>
      </c>
      <c r="B57" s="155"/>
      <c r="C57" s="155"/>
      <c r="D57" s="155"/>
      <c r="E57" s="335">
        <f t="shared" si="16"/>
        <v>0</v>
      </c>
      <c r="F57" s="424"/>
      <c r="G57" s="424"/>
      <c r="H57" s="155"/>
      <c r="I57" s="335">
        <f t="shared" si="17"/>
        <v>0</v>
      </c>
      <c r="J57" s="155"/>
      <c r="K57" s="155"/>
      <c r="L57" s="155"/>
      <c r="M57" s="335">
        <f t="shared" si="18"/>
        <v>0</v>
      </c>
      <c r="N57" s="155"/>
      <c r="O57" s="155"/>
      <c r="P57" s="155"/>
      <c r="Q57" s="335">
        <f t="shared" si="19"/>
        <v>0</v>
      </c>
      <c r="R57" s="335">
        <f>M57+I57+E57+Q57</f>
        <v>0</v>
      </c>
      <c r="S57" s="64"/>
    </row>
    <row r="58" spans="1:19" ht="13.8" thickTop="1">
      <c r="A58" s="326" t="s">
        <v>184</v>
      </c>
      <c r="B58" s="151"/>
      <c r="C58" s="151"/>
      <c r="D58" s="151"/>
      <c r="E58" s="335">
        <f t="shared" si="16"/>
        <v>0</v>
      </c>
      <c r="F58" s="421"/>
      <c r="G58" s="421"/>
      <c r="H58" s="151"/>
      <c r="I58" s="335">
        <f t="shared" si="17"/>
        <v>0</v>
      </c>
      <c r="J58" s="151"/>
      <c r="K58" s="151"/>
      <c r="L58" s="151"/>
      <c r="M58" s="335">
        <f t="shared" si="18"/>
        <v>0</v>
      </c>
      <c r="N58" s="151"/>
      <c r="O58" s="151"/>
      <c r="P58" s="151"/>
      <c r="Q58" s="335">
        <f t="shared" si="19"/>
        <v>0</v>
      </c>
      <c r="R58" s="335">
        <f>M58+I58+E58+Q58</f>
        <v>0</v>
      </c>
      <c r="S58" s="64"/>
    </row>
    <row r="59" spans="1:19" ht="13.8" thickBot="1">
      <c r="A59" s="328" t="s">
        <v>105</v>
      </c>
      <c r="B59" s="153"/>
      <c r="C59" s="153"/>
      <c r="D59" s="153"/>
      <c r="E59" s="335">
        <f t="shared" si="16"/>
        <v>0</v>
      </c>
      <c r="F59" s="422"/>
      <c r="G59" s="422"/>
      <c r="H59" s="153"/>
      <c r="I59" s="335">
        <f t="shared" si="17"/>
        <v>0</v>
      </c>
      <c r="J59" s="153"/>
      <c r="K59" s="153"/>
      <c r="L59" s="153"/>
      <c r="M59" s="335">
        <f t="shared" si="18"/>
        <v>0</v>
      </c>
      <c r="N59" s="153"/>
      <c r="O59" s="153"/>
      <c r="P59" s="153"/>
      <c r="Q59" s="335">
        <f t="shared" si="19"/>
        <v>0</v>
      </c>
      <c r="R59" s="335">
        <f>M59+I59+E59+Q59</f>
        <v>0</v>
      </c>
      <c r="S59" s="64"/>
    </row>
    <row r="60" spans="1:19" ht="14.4" thickTop="1" thickBot="1">
      <c r="A60" s="328" t="s">
        <v>106</v>
      </c>
      <c r="B60" s="153"/>
      <c r="C60" s="153"/>
      <c r="D60" s="153"/>
      <c r="E60" s="335">
        <f t="shared" si="16"/>
        <v>0</v>
      </c>
      <c r="F60" s="422"/>
      <c r="G60" s="422"/>
      <c r="H60" s="153"/>
      <c r="I60" s="335">
        <f t="shared" si="17"/>
        <v>0</v>
      </c>
      <c r="J60" s="153"/>
      <c r="K60" s="153"/>
      <c r="L60" s="153"/>
      <c r="M60" s="335">
        <f t="shared" si="18"/>
        <v>0</v>
      </c>
      <c r="N60" s="153"/>
      <c r="O60" s="153"/>
      <c r="P60" s="153"/>
      <c r="Q60" s="335">
        <f t="shared" si="19"/>
        <v>0</v>
      </c>
      <c r="R60" s="335">
        <f>M60+I60+E60+Q60</f>
        <v>0</v>
      </c>
      <c r="S60" s="64"/>
    </row>
    <row r="61" spans="1:19" ht="13.8" thickTop="1">
      <c r="A61" s="331" t="s">
        <v>107</v>
      </c>
      <c r="B61" s="158"/>
      <c r="C61" s="158"/>
      <c r="D61" s="158"/>
      <c r="E61" s="150"/>
      <c r="F61" s="425"/>
      <c r="G61" s="425"/>
      <c r="H61" s="194"/>
      <c r="I61" s="150"/>
      <c r="J61" s="158"/>
      <c r="K61" s="158"/>
      <c r="L61" s="158"/>
      <c r="M61" s="150"/>
      <c r="N61" s="158"/>
      <c r="O61" s="158"/>
      <c r="P61" s="158"/>
      <c r="Q61" s="150"/>
      <c r="R61" s="150"/>
      <c r="S61" s="64"/>
    </row>
    <row r="62" spans="1:19">
      <c r="A62" s="332" t="s">
        <v>108</v>
      </c>
      <c r="B62" s="159"/>
      <c r="C62" s="159"/>
      <c r="D62" s="159"/>
      <c r="E62" s="335">
        <f t="shared" ref="E62:E64" si="20">SUM(B62:D62)</f>
        <v>0</v>
      </c>
      <c r="F62" s="426"/>
      <c r="G62" s="426"/>
      <c r="H62" s="195"/>
      <c r="I62" s="335">
        <f t="shared" ref="I62:I64" si="21">SUM(F62:H62)</f>
        <v>0</v>
      </c>
      <c r="J62" s="159"/>
      <c r="K62" s="159"/>
      <c r="L62" s="159"/>
      <c r="M62" s="335">
        <f t="shared" ref="M62:M64" si="22">SUM(J62:L62)</f>
        <v>0</v>
      </c>
      <c r="N62" s="159"/>
      <c r="O62" s="159"/>
      <c r="P62" s="159"/>
      <c r="Q62" s="335">
        <f t="shared" ref="Q62:Q64" si="23">SUM(N62:P62)</f>
        <v>0</v>
      </c>
      <c r="R62" s="335">
        <f>M62+I62+E62+Q62</f>
        <v>0</v>
      </c>
      <c r="S62" s="64"/>
    </row>
    <row r="63" spans="1:19">
      <c r="A63" s="332" t="s">
        <v>109</v>
      </c>
      <c r="B63" s="159"/>
      <c r="C63" s="379"/>
      <c r="D63" s="381"/>
      <c r="E63" s="335">
        <f t="shared" si="20"/>
        <v>0</v>
      </c>
      <c r="F63" s="426"/>
      <c r="G63" s="426"/>
      <c r="H63" s="195"/>
      <c r="I63" s="335">
        <f t="shared" si="21"/>
        <v>0</v>
      </c>
      <c r="J63" s="159"/>
      <c r="K63" s="159"/>
      <c r="L63" s="159"/>
      <c r="M63" s="335">
        <f t="shared" si="22"/>
        <v>0</v>
      </c>
      <c r="N63" s="159"/>
      <c r="O63" s="159"/>
      <c r="P63" s="159"/>
      <c r="Q63" s="335">
        <f t="shared" si="23"/>
        <v>0</v>
      </c>
      <c r="R63" s="335">
        <f>M63+I63+E63+Q63</f>
        <v>0</v>
      </c>
      <c r="S63" s="64"/>
    </row>
    <row r="64" spans="1:19">
      <c r="A64" s="332" t="s">
        <v>110</v>
      </c>
      <c r="B64" s="159"/>
      <c r="C64" s="379"/>
      <c r="D64" s="381"/>
      <c r="E64" s="335">
        <f t="shared" si="20"/>
        <v>0</v>
      </c>
      <c r="F64" s="426"/>
      <c r="G64" s="426"/>
      <c r="H64" s="195"/>
      <c r="I64" s="335">
        <f t="shared" si="21"/>
        <v>0</v>
      </c>
      <c r="J64" s="159"/>
      <c r="K64" s="159"/>
      <c r="L64" s="159"/>
      <c r="M64" s="335">
        <f t="shared" si="22"/>
        <v>0</v>
      </c>
      <c r="N64" s="159"/>
      <c r="O64" s="159"/>
      <c r="P64" s="159"/>
      <c r="Q64" s="335">
        <f t="shared" si="23"/>
        <v>0</v>
      </c>
      <c r="R64" s="335">
        <f>M64+I64+E64+Q64</f>
        <v>0</v>
      </c>
      <c r="S64" s="64"/>
    </row>
    <row r="65" spans="1:19" ht="13.8" thickBot="1">
      <c r="A65" s="333" t="s">
        <v>111</v>
      </c>
      <c r="B65" s="345"/>
      <c r="C65" s="380"/>
      <c r="D65" s="382"/>
      <c r="E65" s="199"/>
      <c r="F65" s="427"/>
      <c r="G65" s="427"/>
      <c r="H65" s="347"/>
      <c r="I65" s="199"/>
      <c r="J65" s="345"/>
      <c r="K65" s="345"/>
      <c r="L65" s="345"/>
      <c r="M65" s="199"/>
      <c r="N65" s="345"/>
      <c r="O65" s="345"/>
      <c r="P65" s="345"/>
      <c r="Q65" s="199"/>
      <c r="R65" s="199"/>
      <c r="S65" s="64"/>
    </row>
    <row r="66" spans="1:19" ht="13.8" thickTop="1">
      <c r="A66"/>
      <c r="B66" s="64"/>
      <c r="C66" s="64"/>
      <c r="D66" s="156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</row>
  </sheetData>
  <mergeCells count="28"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35" customWidth="1"/>
    <col min="6" max="8" width="12.109375" style="11" customWidth="1"/>
    <col min="9" max="9" width="11.44140625" style="135" customWidth="1"/>
    <col min="10" max="12" width="12.88671875" style="11" customWidth="1"/>
    <col min="13" max="13" width="11.44140625" style="135" customWidth="1"/>
    <col min="14" max="16" width="12" style="11" customWidth="1"/>
    <col min="17" max="18" width="11.44140625" style="135" customWidth="1"/>
  </cols>
  <sheetData>
    <row r="1" spans="1:18">
      <c r="A1" s="30" t="s">
        <v>179</v>
      </c>
      <c r="B1" s="728" t="s">
        <v>181</v>
      </c>
      <c r="C1" s="718"/>
      <c r="D1" s="718"/>
      <c r="E1" s="718"/>
      <c r="F1" s="728" t="s">
        <v>182</v>
      </c>
      <c r="G1" s="718"/>
      <c r="H1" s="718"/>
      <c r="I1" s="718"/>
      <c r="J1" s="728" t="s">
        <v>183</v>
      </c>
      <c r="K1" s="769"/>
      <c r="L1" s="769"/>
      <c r="M1" s="770"/>
      <c r="N1" s="728" t="s">
        <v>180</v>
      </c>
      <c r="O1" s="769"/>
      <c r="P1" s="769"/>
      <c r="Q1" s="770"/>
      <c r="R1" s="169"/>
    </row>
    <row r="2" spans="1:18">
      <c r="A2" s="5" t="s">
        <v>0</v>
      </c>
      <c r="B2" s="49" t="s">
        <v>10</v>
      </c>
      <c r="C2" s="49" t="s">
        <v>11</v>
      </c>
      <c r="D2" s="49" t="s">
        <v>12</v>
      </c>
      <c r="E2" s="178" t="s">
        <v>126</v>
      </c>
      <c r="F2" s="49" t="s">
        <v>7</v>
      </c>
      <c r="G2" s="49" t="s">
        <v>8</v>
      </c>
      <c r="H2" s="49" t="s">
        <v>9</v>
      </c>
      <c r="I2" s="178" t="s">
        <v>125</v>
      </c>
      <c r="J2" s="49" t="s">
        <v>4</v>
      </c>
      <c r="K2" s="49" t="s">
        <v>5</v>
      </c>
      <c r="L2" s="49" t="s">
        <v>6</v>
      </c>
      <c r="M2" s="178" t="s">
        <v>124</v>
      </c>
      <c r="N2" s="49" t="s">
        <v>1</v>
      </c>
      <c r="O2" s="49" t="s">
        <v>2</v>
      </c>
      <c r="P2" s="49" t="s">
        <v>3</v>
      </c>
      <c r="Q2" s="178" t="s">
        <v>113</v>
      </c>
      <c r="R2" s="101" t="s">
        <v>127</v>
      </c>
    </row>
    <row r="3" spans="1:18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8">
      <c r="A4" s="6" t="s">
        <v>36</v>
      </c>
      <c r="B4" s="89" t="e">
        <f>'Target 2022'!#REF!</f>
        <v>#REF!</v>
      </c>
      <c r="C4" s="89" t="e">
        <f>'Target 2022'!#REF!</f>
        <v>#REF!</v>
      </c>
      <c r="D4" s="89" t="e">
        <f>'Target 2022'!#REF!</f>
        <v>#REF!</v>
      </c>
      <c r="E4" s="179" t="e">
        <f>SUM(B4:D4)</f>
        <v>#REF!</v>
      </c>
      <c r="F4" s="89" t="e">
        <f>'Target 2022'!#REF!</f>
        <v>#REF!</v>
      </c>
      <c r="G4" s="89" t="e">
        <f>'Target 2022'!#REF!</f>
        <v>#REF!</v>
      </c>
      <c r="H4" s="89" t="e">
        <f>'Target 2022'!#REF!</f>
        <v>#REF!</v>
      </c>
      <c r="I4" s="179" t="e">
        <f>SUM(F4:H4)</f>
        <v>#REF!</v>
      </c>
      <c r="J4" s="89" t="e">
        <f>'Target 2022'!#REF!</f>
        <v>#REF!</v>
      </c>
      <c r="K4" s="89" t="e">
        <f>'Target 2022'!#REF!</f>
        <v>#REF!</v>
      </c>
      <c r="L4" s="89" t="e">
        <f>'Target 2022'!#REF!</f>
        <v>#REF!</v>
      </c>
      <c r="M4" s="179"/>
      <c r="N4" s="89" t="e">
        <f>'Target 2022'!#REF!</f>
        <v>#REF!</v>
      </c>
      <c r="O4" s="89" t="e">
        <f>'Target 2022'!#REF!</f>
        <v>#REF!</v>
      </c>
      <c r="P4" s="89" t="e">
        <f>'Target 2022'!#REF!</f>
        <v>#REF!</v>
      </c>
      <c r="Q4" s="179" t="e">
        <f>SUM(N4:P4)</f>
        <v>#REF!</v>
      </c>
      <c r="R4" s="103" t="e">
        <f>Q4+M4+I4+E4</f>
        <v>#REF!</v>
      </c>
    </row>
    <row r="5" spans="1:18">
      <c r="A5" s="7" t="s">
        <v>35</v>
      </c>
      <c r="B5" s="85" t="e">
        <f>B4</f>
        <v>#REF!</v>
      </c>
      <c r="C5" s="85" t="e">
        <f>C4+B5</f>
        <v>#REF!</v>
      </c>
      <c r="D5" s="85" t="e">
        <f>D4+C5</f>
        <v>#REF!</v>
      </c>
      <c r="E5" s="180"/>
      <c r="F5" s="85" t="e">
        <f>F4</f>
        <v>#REF!</v>
      </c>
      <c r="G5" s="85" t="e">
        <f>G4+F5</f>
        <v>#REF!</v>
      </c>
      <c r="H5" s="85" t="e">
        <f>H4+G5</f>
        <v>#REF!</v>
      </c>
      <c r="I5" s="180"/>
      <c r="J5" s="85" t="e">
        <f>J4</f>
        <v>#REF!</v>
      </c>
      <c r="K5" s="85" t="e">
        <f>K4+J5</f>
        <v>#REF!</v>
      </c>
      <c r="L5" s="85" t="e">
        <f>L4+K5</f>
        <v>#REF!</v>
      </c>
      <c r="M5" s="180"/>
      <c r="N5" s="85" t="e">
        <f>N4</f>
        <v>#REF!</v>
      </c>
      <c r="O5" s="85" t="e">
        <f>O4+N5</f>
        <v>#REF!</v>
      </c>
      <c r="P5" s="85" t="e">
        <f>P4+O5</f>
        <v>#REF!</v>
      </c>
      <c r="Q5" s="180"/>
      <c r="R5" s="105"/>
    </row>
    <row r="6" spans="1:18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79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79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79">
        <f>SUM(J6:L6)</f>
        <v>0</v>
      </c>
      <c r="N6" s="83">
        <f>SUMIF(I!A:A,$A$1,I!I:I)</f>
        <v>0</v>
      </c>
      <c r="O6" s="27">
        <f>SUMIF(II!A:A,$A$1,II!I:I)</f>
        <v>0</v>
      </c>
      <c r="P6" s="27">
        <f>SUMIF(III!A:A,$A$1,III!I:I)</f>
        <v>0</v>
      </c>
      <c r="Q6" s="179">
        <f>SUM(N6:P6)</f>
        <v>0</v>
      </c>
      <c r="R6" s="103">
        <f>Q6+M6+I6+E6</f>
        <v>0</v>
      </c>
    </row>
    <row r="7" spans="1:18">
      <c r="A7" s="7" t="s">
        <v>38</v>
      </c>
      <c r="B7" s="85">
        <f>B6</f>
        <v>0</v>
      </c>
      <c r="C7" s="85">
        <f>C6+B7</f>
        <v>0</v>
      </c>
      <c r="D7" s="85">
        <f>D6+C7</f>
        <v>0</v>
      </c>
      <c r="E7" s="180"/>
      <c r="F7" s="85">
        <f>F6</f>
        <v>0</v>
      </c>
      <c r="G7" s="85">
        <f>G6+F7</f>
        <v>0</v>
      </c>
      <c r="H7" s="85">
        <f>H6+G7</f>
        <v>0</v>
      </c>
      <c r="I7" s="180"/>
      <c r="J7" s="85">
        <f>J6</f>
        <v>0</v>
      </c>
      <c r="K7" s="85">
        <f>K6+J7</f>
        <v>0</v>
      </c>
      <c r="L7" s="85">
        <f>L6+K7</f>
        <v>0</v>
      </c>
      <c r="M7" s="180"/>
      <c r="N7" s="85">
        <f>N6</f>
        <v>0</v>
      </c>
      <c r="O7" s="85">
        <f>O6+N7</f>
        <v>0</v>
      </c>
      <c r="P7" s="85">
        <f>P6+O7</f>
        <v>0</v>
      </c>
      <c r="Q7" s="180"/>
      <c r="R7" s="105"/>
    </row>
    <row r="8" spans="1:18">
      <c r="A8" s="24" t="s">
        <v>39</v>
      </c>
      <c r="B8" s="90" t="e">
        <f t="shared" ref="B8:D9" si="0">B6/B4</f>
        <v>#REF!</v>
      </c>
      <c r="C8" s="90" t="e">
        <f t="shared" si="0"/>
        <v>#REF!</v>
      </c>
      <c r="D8" s="90" t="e">
        <f t="shared" si="0"/>
        <v>#REF!</v>
      </c>
      <c r="E8" s="181"/>
      <c r="F8" s="90" t="e">
        <f t="shared" ref="F8:H9" si="1">F6/F4</f>
        <v>#REF!</v>
      </c>
      <c r="G8" s="90" t="e">
        <f t="shared" si="1"/>
        <v>#REF!</v>
      </c>
      <c r="H8" s="90" t="e">
        <f t="shared" si="1"/>
        <v>#REF!</v>
      </c>
      <c r="I8" s="181"/>
      <c r="J8" s="90" t="e">
        <f t="shared" ref="J8:L9" si="2">J6/J4</f>
        <v>#REF!</v>
      </c>
      <c r="K8" s="90" t="e">
        <f t="shared" si="2"/>
        <v>#REF!</v>
      </c>
      <c r="L8" s="90" t="e">
        <f t="shared" si="2"/>
        <v>#REF!</v>
      </c>
      <c r="M8" s="181"/>
      <c r="N8" s="90" t="e">
        <f t="shared" ref="N8:P9" si="3">N6/N4</f>
        <v>#REF!</v>
      </c>
      <c r="O8" s="90" t="e">
        <f t="shared" si="3"/>
        <v>#REF!</v>
      </c>
      <c r="P8" s="90" t="e">
        <f t="shared" si="3"/>
        <v>#REF!</v>
      </c>
      <c r="Q8" s="181"/>
      <c r="R8" s="108"/>
    </row>
    <row r="9" spans="1:18">
      <c r="A9" s="24" t="s">
        <v>40</v>
      </c>
      <c r="B9" s="90" t="e">
        <f t="shared" si="0"/>
        <v>#REF!</v>
      </c>
      <c r="C9" s="90" t="e">
        <f t="shared" si="0"/>
        <v>#REF!</v>
      </c>
      <c r="D9" s="90" t="e">
        <f t="shared" si="0"/>
        <v>#REF!</v>
      </c>
      <c r="E9" s="181"/>
      <c r="F9" s="90" t="e">
        <f>F7/F5</f>
        <v>#REF!</v>
      </c>
      <c r="G9" s="90" t="e">
        <f t="shared" si="1"/>
        <v>#REF!</v>
      </c>
      <c r="H9" s="90" t="e">
        <f t="shared" si="1"/>
        <v>#REF!</v>
      </c>
      <c r="I9" s="181"/>
      <c r="J9" s="90" t="e">
        <f t="shared" si="2"/>
        <v>#REF!</v>
      </c>
      <c r="K9" s="90" t="e">
        <f>K7/K5</f>
        <v>#REF!</v>
      </c>
      <c r="L9" s="90" t="e">
        <f t="shared" si="2"/>
        <v>#REF!</v>
      </c>
      <c r="M9" s="181"/>
      <c r="N9" s="90" t="e">
        <f t="shared" si="3"/>
        <v>#REF!</v>
      </c>
      <c r="O9" s="90" t="e">
        <f t="shared" si="3"/>
        <v>#REF!</v>
      </c>
      <c r="P9" s="90" t="e">
        <f t="shared" si="3"/>
        <v>#REF!</v>
      </c>
      <c r="Q9" s="181"/>
      <c r="R9" s="109"/>
    </row>
    <row r="10" spans="1:18">
      <c r="A10" s="7" t="s">
        <v>48</v>
      </c>
      <c r="B10" s="91" t="e">
        <f>B7-B5</f>
        <v>#REF!</v>
      </c>
      <c r="C10" s="91" t="e">
        <f>C7-C5</f>
        <v>#REF!</v>
      </c>
      <c r="D10" s="91" t="e">
        <f>D7-D5</f>
        <v>#REF!</v>
      </c>
      <c r="E10" s="180"/>
      <c r="F10" s="91" t="e">
        <f>F7-F5</f>
        <v>#REF!</v>
      </c>
      <c r="G10" s="91" t="e">
        <f>G7-G5</f>
        <v>#REF!</v>
      </c>
      <c r="H10" s="91" t="e">
        <f>H7-H5</f>
        <v>#REF!</v>
      </c>
      <c r="I10" s="180"/>
      <c r="J10" s="91" t="e">
        <f>J7-J5</f>
        <v>#REF!</v>
      </c>
      <c r="K10" s="91" t="e">
        <f>K7-K5</f>
        <v>#REF!</v>
      </c>
      <c r="L10" s="91" t="e">
        <f>L7-L5</f>
        <v>#REF!</v>
      </c>
      <c r="M10" s="180"/>
      <c r="N10" s="91" t="e">
        <f>N7-N5</f>
        <v>#REF!</v>
      </c>
      <c r="O10" s="91" t="e">
        <f>O7-O5</f>
        <v>#REF!</v>
      </c>
      <c r="P10" s="91" t="e">
        <f>P7-P5</f>
        <v>#REF!</v>
      </c>
      <c r="Q10" s="180"/>
      <c r="R10" s="105"/>
    </row>
    <row r="11" spans="1:18">
      <c r="A11" s="6" t="s">
        <v>41</v>
      </c>
      <c r="B11" s="89" t="e">
        <f>'Target 2022'!#REF!</f>
        <v>#REF!</v>
      </c>
      <c r="C11" s="89" t="e">
        <f>'Target 2022'!#REF!</f>
        <v>#REF!</v>
      </c>
      <c r="D11" s="89" t="e">
        <f>'Target 2022'!#REF!</f>
        <v>#REF!</v>
      </c>
      <c r="E11" s="179" t="e">
        <f>SUM(B11:D11)</f>
        <v>#REF!</v>
      </c>
      <c r="F11" s="89" t="e">
        <f>'Target 2022'!#REF!</f>
        <v>#REF!</v>
      </c>
      <c r="G11" s="89" t="e">
        <f>'Target 2022'!#REF!</f>
        <v>#REF!</v>
      </c>
      <c r="H11" s="89" t="e">
        <f>'Target 2022'!#REF!</f>
        <v>#REF!</v>
      </c>
      <c r="I11" s="179" t="e">
        <f>SUM(F11:H11)</f>
        <v>#REF!</v>
      </c>
      <c r="J11" s="89"/>
      <c r="K11" s="89" t="e">
        <f>'Target 2022'!#REF!</f>
        <v>#REF!</v>
      </c>
      <c r="L11" s="89" t="e">
        <f>'Target 2022'!#REF!</f>
        <v>#REF!</v>
      </c>
      <c r="M11" s="179" t="e">
        <f>SUM(J11:L11)</f>
        <v>#REF!</v>
      </c>
      <c r="N11" s="89" t="e">
        <f>'Target 2022'!#REF!</f>
        <v>#REF!</v>
      </c>
      <c r="O11" s="89" t="e">
        <f>'Target 2022'!#REF!</f>
        <v>#REF!</v>
      </c>
      <c r="P11" s="89" t="e">
        <f>'Target 2022'!#REF!</f>
        <v>#REF!</v>
      </c>
      <c r="Q11" s="179" t="e">
        <f>SUM(N11:P11)</f>
        <v>#REF!</v>
      </c>
      <c r="R11" s="103" t="e">
        <f>Q11+M11+I11+E11</f>
        <v>#REF!</v>
      </c>
    </row>
    <row r="12" spans="1:18">
      <c r="A12" s="7" t="s">
        <v>42</v>
      </c>
      <c r="B12" s="85" t="e">
        <f>B11</f>
        <v>#REF!</v>
      </c>
      <c r="C12" s="85" t="e">
        <f>C11+B12</f>
        <v>#REF!</v>
      </c>
      <c r="D12" s="85" t="e">
        <f>D11+C12</f>
        <v>#REF!</v>
      </c>
      <c r="E12" s="180"/>
      <c r="F12" s="85" t="e">
        <f>F11</f>
        <v>#REF!</v>
      </c>
      <c r="G12" s="85" t="e">
        <f>G11+F12</f>
        <v>#REF!</v>
      </c>
      <c r="H12" s="85" t="e">
        <f>H11+G12</f>
        <v>#REF!</v>
      </c>
      <c r="I12" s="180"/>
      <c r="J12" s="85">
        <f>J11</f>
        <v>0</v>
      </c>
      <c r="K12" s="85" t="e">
        <f>K11+J12</f>
        <v>#REF!</v>
      </c>
      <c r="L12" s="85" t="e">
        <f>L11+K12</f>
        <v>#REF!</v>
      </c>
      <c r="M12" s="180"/>
      <c r="N12" s="85" t="e">
        <f>N11</f>
        <v>#REF!</v>
      </c>
      <c r="O12" s="85" t="e">
        <f>O11+N12</f>
        <v>#REF!</v>
      </c>
      <c r="P12" s="85" t="e">
        <f>P11+O12</f>
        <v>#REF!</v>
      </c>
      <c r="Q12" s="180"/>
      <c r="R12" s="105"/>
    </row>
    <row r="13" spans="1:18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79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79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79">
        <f>SUM(J13:L13)</f>
        <v>0</v>
      </c>
      <c r="N13" s="8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79">
        <f>SUM(N13:P13)</f>
        <v>0</v>
      </c>
      <c r="R13" s="103">
        <f>Q13+M13+I13+E13</f>
        <v>0</v>
      </c>
    </row>
    <row r="14" spans="1:18">
      <c r="A14" s="7" t="s">
        <v>44</v>
      </c>
      <c r="B14" s="85">
        <f>B13</f>
        <v>0</v>
      </c>
      <c r="C14" s="85">
        <f>C13+B14</f>
        <v>0</v>
      </c>
      <c r="D14" s="85">
        <f>D13+C14</f>
        <v>0</v>
      </c>
      <c r="E14" s="180"/>
      <c r="F14" s="85">
        <f>F13</f>
        <v>0</v>
      </c>
      <c r="G14" s="85">
        <f>G13+F14</f>
        <v>0</v>
      </c>
      <c r="H14" s="85">
        <f>H13+G14</f>
        <v>0</v>
      </c>
      <c r="I14" s="180"/>
      <c r="J14" s="85">
        <f>J13</f>
        <v>0</v>
      </c>
      <c r="K14" s="85">
        <f>K13+J14</f>
        <v>0</v>
      </c>
      <c r="L14" s="85">
        <f>L13+K14</f>
        <v>0</v>
      </c>
      <c r="M14" s="180"/>
      <c r="N14" s="85">
        <f>N13</f>
        <v>0</v>
      </c>
      <c r="O14" s="85">
        <f>O13+N14</f>
        <v>0</v>
      </c>
      <c r="P14" s="85">
        <f>P13+O14</f>
        <v>0</v>
      </c>
      <c r="Q14" s="180"/>
      <c r="R14" s="105"/>
    </row>
    <row r="15" spans="1:18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81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81"/>
      <c r="J15" s="25" t="e">
        <f t="shared" ref="J15:L16" si="6">J13/J11</f>
        <v>#DIV/0!</v>
      </c>
      <c r="K15" s="25" t="e">
        <f t="shared" si="6"/>
        <v>#REF!</v>
      </c>
      <c r="L15" s="25" t="e">
        <f t="shared" si="6"/>
        <v>#REF!</v>
      </c>
      <c r="M15" s="181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81"/>
      <c r="R15" s="108"/>
    </row>
    <row r="16" spans="1:18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81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81"/>
      <c r="J16" s="25" t="e">
        <f t="shared" si="6"/>
        <v>#DIV/0!</v>
      </c>
      <c r="K16" s="25" t="e">
        <f>K14/K12</f>
        <v>#REF!</v>
      </c>
      <c r="L16" s="25" t="e">
        <f t="shared" si="6"/>
        <v>#REF!</v>
      </c>
      <c r="M16" s="181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81"/>
      <c r="R16" s="109"/>
    </row>
    <row r="17" spans="1:18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80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80"/>
      <c r="J17" s="23">
        <f>J14-J12</f>
        <v>0</v>
      </c>
      <c r="K17" s="23" t="e">
        <f>K14-K12</f>
        <v>#REF!</v>
      </c>
      <c r="L17" s="23" t="e">
        <f>L14-L12</f>
        <v>#REF!</v>
      </c>
      <c r="M17" s="180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80"/>
      <c r="R17" s="110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82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82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82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82"/>
      <c r="R18" s="112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82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82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82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82"/>
      <c r="R19" s="112"/>
    </row>
    <row r="20" spans="1:18">
      <c r="A20" s="66"/>
      <c r="B20" s="94"/>
      <c r="C20" s="94"/>
      <c r="D20" s="94"/>
      <c r="E20" s="183"/>
      <c r="F20" s="94"/>
      <c r="G20" s="94"/>
      <c r="H20" s="94"/>
      <c r="I20" s="183"/>
      <c r="J20" s="94"/>
      <c r="K20" s="94"/>
      <c r="L20" s="94"/>
      <c r="M20" s="183"/>
      <c r="N20" s="66"/>
      <c r="O20" s="94"/>
      <c r="P20" s="94"/>
      <c r="Q20" s="183"/>
      <c r="R20" s="113"/>
    </row>
    <row r="21" spans="1:18" ht="15.6">
      <c r="A21" s="51"/>
      <c r="B21" s="306"/>
      <c r="C21" s="306"/>
      <c r="D21" s="306"/>
      <c r="E21" s="184"/>
      <c r="F21" s="306"/>
      <c r="G21" s="306"/>
      <c r="H21" s="306"/>
      <c r="I21" s="184"/>
      <c r="J21" s="306"/>
      <c r="K21" s="306"/>
      <c r="L21" s="93"/>
      <c r="M21" s="184"/>
      <c r="N21" s="305" t="s">
        <v>26</v>
      </c>
      <c r="O21" s="306"/>
      <c r="P21" s="306"/>
      <c r="Q21" s="306"/>
      <c r="R21" s="117"/>
    </row>
    <row r="22" spans="1:18" ht="15.6">
      <c r="A22" s="68" t="s">
        <v>75</v>
      </c>
      <c r="B22" s="72">
        <v>0</v>
      </c>
      <c r="C22" s="72">
        <v>0</v>
      </c>
      <c r="D22" s="72">
        <v>0</v>
      </c>
      <c r="E22" s="185"/>
      <c r="F22" s="72">
        <v>0</v>
      </c>
      <c r="G22" s="72">
        <v>0</v>
      </c>
      <c r="H22" s="72">
        <v>0</v>
      </c>
      <c r="I22" s="185"/>
      <c r="J22" s="72">
        <v>0</v>
      </c>
      <c r="K22" s="72">
        <v>0</v>
      </c>
      <c r="L22" s="72">
        <v>0</v>
      </c>
      <c r="M22" s="185"/>
      <c r="N22" s="72">
        <v>0</v>
      </c>
      <c r="O22" s="72">
        <v>0</v>
      </c>
      <c r="P22" s="72">
        <v>0</v>
      </c>
      <c r="Q22" s="185"/>
      <c r="R22" s="117"/>
    </row>
    <row r="23" spans="1:18">
      <c r="A23" s="18" t="s">
        <v>50</v>
      </c>
      <c r="B23" s="73" t="e">
        <f>B5</f>
        <v>#REF!</v>
      </c>
      <c r="C23" s="73" t="e">
        <f>C5</f>
        <v>#REF!</v>
      </c>
      <c r="D23" s="73" t="e">
        <f>D5</f>
        <v>#REF!</v>
      </c>
      <c r="E23" s="186"/>
      <c r="F23" s="73" t="e">
        <f>F5</f>
        <v>#REF!</v>
      </c>
      <c r="G23" s="73" t="e">
        <f>G5</f>
        <v>#REF!</v>
      </c>
      <c r="H23" s="73" t="e">
        <f>H5</f>
        <v>#REF!</v>
      </c>
      <c r="I23" s="186"/>
      <c r="J23" s="73" t="e">
        <f>J5</f>
        <v>#REF!</v>
      </c>
      <c r="K23" s="73" t="e">
        <f>K5</f>
        <v>#REF!</v>
      </c>
      <c r="L23" s="73" t="e">
        <f>L5</f>
        <v>#REF!</v>
      </c>
      <c r="M23" s="186"/>
      <c r="N23" s="73" t="e">
        <f>N5</f>
        <v>#REF!</v>
      </c>
      <c r="O23" s="73" t="e">
        <f>O5</f>
        <v>#REF!</v>
      </c>
      <c r="P23" s="73" t="e">
        <f>P5</f>
        <v>#REF!</v>
      </c>
      <c r="Q23" s="186"/>
      <c r="R23" s="119"/>
    </row>
    <row r="24" spans="1:18">
      <c r="A24" s="38" t="s">
        <v>51</v>
      </c>
      <c r="B24" s="50">
        <f>B7</f>
        <v>0</v>
      </c>
      <c r="C24" s="50">
        <f>C7</f>
        <v>0</v>
      </c>
      <c r="D24" s="50">
        <f>D7</f>
        <v>0</v>
      </c>
      <c r="E24" s="187"/>
      <c r="F24" s="50">
        <f>F7</f>
        <v>0</v>
      </c>
      <c r="G24" s="50">
        <f>G7</f>
        <v>0</v>
      </c>
      <c r="H24" s="50">
        <f>H7</f>
        <v>0</v>
      </c>
      <c r="I24" s="187"/>
      <c r="J24" s="50">
        <f>J7</f>
        <v>0</v>
      </c>
      <c r="K24" s="50">
        <f>K7</f>
        <v>0</v>
      </c>
      <c r="L24" s="50">
        <f>L7</f>
        <v>0</v>
      </c>
      <c r="M24" s="187"/>
      <c r="N24" s="50">
        <f>N7</f>
        <v>0</v>
      </c>
      <c r="O24" s="50">
        <f>O7</f>
        <v>0</v>
      </c>
      <c r="P24" s="50">
        <f>P7</f>
        <v>0</v>
      </c>
      <c r="Q24" s="187"/>
      <c r="R24" s="119"/>
    </row>
    <row r="25" spans="1:18">
      <c r="A25" s="38" t="s">
        <v>52</v>
      </c>
      <c r="B25" s="87" t="e">
        <f>B24/B23</f>
        <v>#REF!</v>
      </c>
      <c r="C25" s="87" t="e">
        <f>C24/C23</f>
        <v>#REF!</v>
      </c>
      <c r="D25" s="87" t="e">
        <f>D24/D23</f>
        <v>#REF!</v>
      </c>
      <c r="E25" s="188"/>
      <c r="F25" s="87" t="e">
        <f>F24/F23</f>
        <v>#REF!</v>
      </c>
      <c r="G25" s="87" t="e">
        <f>G24/G23</f>
        <v>#REF!</v>
      </c>
      <c r="H25" s="87" t="e">
        <f>H24/H23</f>
        <v>#REF!</v>
      </c>
      <c r="I25" s="188"/>
      <c r="J25" s="87" t="e">
        <f>J24/J23</f>
        <v>#REF!</v>
      </c>
      <c r="K25" s="87" t="e">
        <f>K24/K23</f>
        <v>#REF!</v>
      </c>
      <c r="L25" s="87" t="e">
        <f>L24/L23</f>
        <v>#REF!</v>
      </c>
      <c r="M25" s="188"/>
      <c r="N25" s="87" t="e">
        <f>N24/N23</f>
        <v>#REF!</v>
      </c>
      <c r="O25" s="87" t="e">
        <f>O24/O23</f>
        <v>#REF!</v>
      </c>
      <c r="P25" s="87" t="e">
        <f>P24/P23</f>
        <v>#REF!</v>
      </c>
      <c r="Q25" s="188"/>
      <c r="R25" s="119"/>
    </row>
    <row r="26" spans="1:18">
      <c r="A26" s="37" t="s">
        <v>60</v>
      </c>
      <c r="B26" s="53">
        <f>B22*0.2</f>
        <v>0</v>
      </c>
      <c r="C26" s="53">
        <f>C22*0.2</f>
        <v>0</v>
      </c>
      <c r="D26" s="53">
        <f>D22*0.2</f>
        <v>0</v>
      </c>
      <c r="E26" s="189"/>
      <c r="F26" s="53">
        <f>F22*0.2</f>
        <v>0</v>
      </c>
      <c r="G26" s="53">
        <f>G22*0.2</f>
        <v>0</v>
      </c>
      <c r="H26" s="53">
        <f>H22*0.2</f>
        <v>0</v>
      </c>
      <c r="I26" s="189"/>
      <c r="J26" s="53">
        <f>J22*0.2</f>
        <v>0</v>
      </c>
      <c r="K26" s="53">
        <f>K22*0.2</f>
        <v>0</v>
      </c>
      <c r="L26" s="53">
        <f>L22*0.2</f>
        <v>0</v>
      </c>
      <c r="M26" s="189"/>
      <c r="N26" s="53">
        <f>N22*0.2</f>
        <v>0</v>
      </c>
      <c r="O26" s="53">
        <f>O22*0.2</f>
        <v>0</v>
      </c>
      <c r="P26" s="53">
        <f>P22*0.2</f>
        <v>0</v>
      </c>
      <c r="Q26" s="189"/>
      <c r="R26" s="122"/>
    </row>
    <row r="27" spans="1:18">
      <c r="A27" s="38" t="s">
        <v>53</v>
      </c>
      <c r="B27" s="76" t="e">
        <f>IF(B25&lt;80%,0,IF(B25&lt;90%,0.5,IF(B25&lt;95%,0.75,1)))</f>
        <v>#REF!</v>
      </c>
      <c r="C27" s="76" t="e">
        <f>IF(C25&lt;80%,0,IF(C25&lt;90%,0.5,IF(C25&lt;95%,0.75,1)))</f>
        <v>#REF!</v>
      </c>
      <c r="D27" s="76" t="e">
        <f>IF(D25&lt;80%,0,IF(D25&lt;90%,0.5,IF(D25&lt;95%,0.75,1)))</f>
        <v>#REF!</v>
      </c>
      <c r="E27" s="187"/>
      <c r="F27" s="76" t="e">
        <f>IF(F25&lt;80%,0,IF(F25&lt;90%,0.5,IF(F25&lt;95%,0.75,1)))</f>
        <v>#REF!</v>
      </c>
      <c r="G27" s="76" t="e">
        <f>IF(G25&lt;80%,0,IF(G25&lt;90%,0.5,IF(G25&lt;95%,0.75,1)))</f>
        <v>#REF!</v>
      </c>
      <c r="H27" s="76" t="e">
        <f>IF(H25&lt;80%,0,IF(H25&lt;90%,0.5,IF(H25&lt;95%,0.75,1)))</f>
        <v>#REF!</v>
      </c>
      <c r="I27" s="187"/>
      <c r="J27" s="76" t="e">
        <f>IF(J25&lt;80%,0,IF(J25&lt;90%,0.5,IF(J25&lt;95%,0.75,1)))</f>
        <v>#REF!</v>
      </c>
      <c r="K27" s="76" t="e">
        <f>IF(K25&lt;80%,0,IF(K25&lt;90%,0.5,IF(K25&lt;95%,0.75,1)))</f>
        <v>#REF!</v>
      </c>
      <c r="L27" s="76" t="e">
        <f>IF(L25&lt;80%,0,IF(L25&lt;90%,0.5,IF(L25&lt;95%,0.75,1)))</f>
        <v>#REF!</v>
      </c>
      <c r="M27" s="187"/>
      <c r="N27" s="76" t="e">
        <f>IF(N25&lt;80%,0,IF(N25&lt;90%,0.5,IF(N25&lt;95%,0.75,1)))</f>
        <v>#REF!</v>
      </c>
      <c r="O27" s="76" t="e">
        <f>IF(O25&lt;80%,0,IF(O25&lt;90%,0.5,IF(O25&lt;95%,0.75,1)))</f>
        <v>#REF!</v>
      </c>
      <c r="P27" s="76" t="e">
        <f>IF(P25&lt;80%,0,IF(P25&lt;90%,0.5,IF(P25&lt;95%,0.75,1)))</f>
        <v>#REF!</v>
      </c>
      <c r="Q27" s="187"/>
      <c r="R27" s="119"/>
    </row>
    <row r="28" spans="1:18">
      <c r="A28" s="54" t="s">
        <v>54</v>
      </c>
      <c r="B28" s="71" t="e">
        <f>B27*B26</f>
        <v>#REF!</v>
      </c>
      <c r="C28" s="71" t="e">
        <f>C27*C26</f>
        <v>#REF!</v>
      </c>
      <c r="D28" s="71" t="e">
        <f>D27*D26</f>
        <v>#REF!</v>
      </c>
      <c r="E28" s="190"/>
      <c r="F28" s="71" t="e">
        <f>F27*F26</f>
        <v>#REF!</v>
      </c>
      <c r="G28" s="71" t="e">
        <f>G27*G26</f>
        <v>#REF!</v>
      </c>
      <c r="H28" s="71" t="e">
        <f>H27*H26</f>
        <v>#REF!</v>
      </c>
      <c r="I28" s="190"/>
      <c r="J28" s="71" t="e">
        <f>J27*J26</f>
        <v>#REF!</v>
      </c>
      <c r="K28" s="71" t="e">
        <f>K27*K26</f>
        <v>#REF!</v>
      </c>
      <c r="L28" s="71" t="e">
        <f>L27*L26</f>
        <v>#REF!</v>
      </c>
      <c r="M28" s="190"/>
      <c r="N28" s="71" t="e">
        <f>N27*N26</f>
        <v>#REF!</v>
      </c>
      <c r="O28" s="71" t="e">
        <f>O27*O26</f>
        <v>#REF!</v>
      </c>
      <c r="P28" s="71" t="e">
        <f>P27*P26</f>
        <v>#REF!</v>
      </c>
      <c r="Q28" s="190"/>
      <c r="R28" s="123"/>
    </row>
    <row r="29" spans="1:18">
      <c r="A29" s="18" t="s">
        <v>49</v>
      </c>
      <c r="B29" s="40" t="e">
        <f>B12</f>
        <v>#REF!</v>
      </c>
      <c r="C29" s="40" t="e">
        <f>C12</f>
        <v>#REF!</v>
      </c>
      <c r="D29" s="40" t="e">
        <f>D12</f>
        <v>#REF!</v>
      </c>
      <c r="E29" s="186"/>
      <c r="F29" s="40" t="e">
        <f>F12</f>
        <v>#REF!</v>
      </c>
      <c r="G29" s="40" t="e">
        <f>G12</f>
        <v>#REF!</v>
      </c>
      <c r="H29" s="40" t="e">
        <f>H12</f>
        <v>#REF!</v>
      </c>
      <c r="I29" s="186"/>
      <c r="J29" s="40">
        <f>J12</f>
        <v>0</v>
      </c>
      <c r="K29" s="40" t="e">
        <f>K12</f>
        <v>#REF!</v>
      </c>
      <c r="L29" s="40" t="e">
        <f>L12</f>
        <v>#REF!</v>
      </c>
      <c r="M29" s="186"/>
      <c r="N29" s="40" t="e">
        <f>N12</f>
        <v>#REF!</v>
      </c>
      <c r="O29" s="40" t="e">
        <f>O12</f>
        <v>#REF!</v>
      </c>
      <c r="P29" s="40" t="e">
        <f>P12</f>
        <v>#REF!</v>
      </c>
      <c r="Q29" s="186"/>
      <c r="R29" s="119"/>
    </row>
    <row r="30" spans="1:18">
      <c r="A30" s="38" t="s">
        <v>55</v>
      </c>
      <c r="B30" s="39">
        <f>B14</f>
        <v>0</v>
      </c>
      <c r="C30" s="39">
        <f>C14</f>
        <v>0</v>
      </c>
      <c r="D30" s="39">
        <f>D14</f>
        <v>0</v>
      </c>
      <c r="E30" s="187"/>
      <c r="F30" s="39">
        <f>F14</f>
        <v>0</v>
      </c>
      <c r="G30" s="39">
        <f>G14</f>
        <v>0</v>
      </c>
      <c r="H30" s="39">
        <f>H14</f>
        <v>0</v>
      </c>
      <c r="I30" s="187"/>
      <c r="J30" s="39">
        <f>J14</f>
        <v>0</v>
      </c>
      <c r="K30" s="39">
        <f>K14</f>
        <v>0</v>
      </c>
      <c r="L30" s="39">
        <f>L14</f>
        <v>0</v>
      </c>
      <c r="M30" s="187"/>
      <c r="N30" s="39">
        <f>N14</f>
        <v>0</v>
      </c>
      <c r="O30" s="39">
        <f>O14</f>
        <v>0</v>
      </c>
      <c r="P30" s="39">
        <f>P14</f>
        <v>0</v>
      </c>
      <c r="Q30" s="187"/>
      <c r="R30" s="119"/>
    </row>
    <row r="31" spans="1:18">
      <c r="A31" s="38" t="s">
        <v>56</v>
      </c>
      <c r="B31" s="87" t="e">
        <f>B30/B29</f>
        <v>#REF!</v>
      </c>
      <c r="C31" s="87" t="e">
        <f>C30/C29</f>
        <v>#REF!</v>
      </c>
      <c r="D31" s="87" t="e">
        <f>D30/D29</f>
        <v>#REF!</v>
      </c>
      <c r="E31" s="188"/>
      <c r="F31" s="87" t="e">
        <f>F30/F29</f>
        <v>#REF!</v>
      </c>
      <c r="G31" s="87" t="e">
        <f>G30/G29</f>
        <v>#REF!</v>
      </c>
      <c r="H31" s="87" t="e">
        <f>H30/H29</f>
        <v>#REF!</v>
      </c>
      <c r="I31" s="188"/>
      <c r="J31" s="87" t="e">
        <f>J30/J29</f>
        <v>#DIV/0!</v>
      </c>
      <c r="K31" s="87" t="e">
        <f>K30/K29</f>
        <v>#REF!</v>
      </c>
      <c r="L31" s="87" t="e">
        <f>L30/L29</f>
        <v>#REF!</v>
      </c>
      <c r="M31" s="188"/>
      <c r="N31" s="87" t="e">
        <f>N30/N29</f>
        <v>#REF!</v>
      </c>
      <c r="O31" s="87" t="e">
        <f>O30/O29</f>
        <v>#REF!</v>
      </c>
      <c r="P31" s="87" t="e">
        <f>P30/P29</f>
        <v>#REF!</v>
      </c>
      <c r="Q31" s="188"/>
      <c r="R31" s="119"/>
    </row>
    <row r="32" spans="1:18">
      <c r="A32" s="82" t="s">
        <v>61</v>
      </c>
      <c r="B32" s="81">
        <f>B22*0.2</f>
        <v>0</v>
      </c>
      <c r="C32" s="81">
        <f>C22*0.2</f>
        <v>0</v>
      </c>
      <c r="D32" s="81">
        <f>D22*0.2</f>
        <v>0</v>
      </c>
      <c r="E32" s="187"/>
      <c r="F32" s="81">
        <f>F22*0.2</f>
        <v>0</v>
      </c>
      <c r="G32" s="81">
        <f>G22*0.2</f>
        <v>0</v>
      </c>
      <c r="H32" s="81">
        <f>H22*0.2</f>
        <v>0</v>
      </c>
      <c r="I32" s="187"/>
      <c r="J32" s="81">
        <f>J22*0.2</f>
        <v>0</v>
      </c>
      <c r="K32" s="81">
        <f>K22*0.2</f>
        <v>0</v>
      </c>
      <c r="L32" s="81">
        <f>L22*0.2</f>
        <v>0</v>
      </c>
      <c r="M32" s="187"/>
      <c r="N32" s="81">
        <f>N22*0.2</f>
        <v>0</v>
      </c>
      <c r="O32" s="81">
        <f>O22*0.2</f>
        <v>0</v>
      </c>
      <c r="P32" s="81">
        <f>P22*0.2</f>
        <v>0</v>
      </c>
      <c r="Q32" s="187"/>
      <c r="R32" s="119"/>
    </row>
    <row r="33" spans="1:18">
      <c r="A33" s="38" t="s">
        <v>57</v>
      </c>
      <c r="B33" s="53" t="e">
        <f>IF(B31&lt;80%,0,IF(B31&lt;90%,0.5,IF(B31&lt;95%,0.75,1)))</f>
        <v>#REF!</v>
      </c>
      <c r="C33" s="53" t="e">
        <f>IF(C31&lt;80%,0,IF(C31&lt;90%,0.5,IF(C31&lt;95%,0.75,1)))</f>
        <v>#REF!</v>
      </c>
      <c r="D33" s="53" t="e">
        <f>IF(D31&lt;80%,0,IF(D31&lt;90%,0.5,IF(D31&lt;95%,0.75,1)))</f>
        <v>#REF!</v>
      </c>
      <c r="E33" s="189"/>
      <c r="F33" s="53" t="e">
        <f>IF(F31&lt;80%,0,IF(F31&lt;90%,0.5,IF(F31&lt;95%,0.75,1)))</f>
        <v>#REF!</v>
      </c>
      <c r="G33" s="53" t="e">
        <f>IF(G31&lt;80%,0,IF(G31&lt;90%,0.5,IF(G31&lt;95%,0.75,1)))</f>
        <v>#REF!</v>
      </c>
      <c r="H33" s="53" t="e">
        <f>IF(H31&lt;80%,0,IF(H31&lt;90%,0.5,IF(H31&lt;95%,0.75,1)))</f>
        <v>#REF!</v>
      </c>
      <c r="I33" s="189"/>
      <c r="J33" s="53" t="e">
        <f>IF(J31&lt;80%,0,IF(J31&lt;90%,0.5,IF(J31&lt;95%,0.75,1)))</f>
        <v>#DIV/0!</v>
      </c>
      <c r="K33" s="53" t="e">
        <f>IF(K31&lt;80%,0,IF(K31&lt;90%,0.5,IF(K31&lt;95%,0.75,1)))</f>
        <v>#REF!</v>
      </c>
      <c r="L33" s="53" t="e">
        <f>IF(L31&lt;80%,0,IF(L31&lt;90%,0.5,IF(L31&lt;95%,0.75,1)))</f>
        <v>#REF!</v>
      </c>
      <c r="M33" s="189"/>
      <c r="N33" s="53" t="e">
        <f>IF(N31&lt;80%,0,IF(N31&lt;90%,0.5,IF(N31&lt;95%,0.75,1)))</f>
        <v>#REF!</v>
      </c>
      <c r="O33" s="53" t="e">
        <f>IF(O31&lt;80%,0,IF(O31&lt;90%,0.5,IF(O31&lt;95%,0.75,1)))</f>
        <v>#REF!</v>
      </c>
      <c r="P33" s="53" t="e">
        <f>IF(P31&lt;80%,0,IF(P31&lt;90%,0.5,IF(P31&lt;95%,0.75,1)))</f>
        <v>#REF!</v>
      </c>
      <c r="Q33" s="189"/>
      <c r="R33" s="119"/>
    </row>
    <row r="34" spans="1:18">
      <c r="A34" s="54" t="s">
        <v>58</v>
      </c>
      <c r="B34" s="71" t="e">
        <f>B33*B32</f>
        <v>#REF!</v>
      </c>
      <c r="C34" s="71" t="e">
        <f>C33*C32</f>
        <v>#REF!</v>
      </c>
      <c r="D34" s="71" t="e">
        <f>D33*D32</f>
        <v>#REF!</v>
      </c>
      <c r="E34" s="190"/>
      <c r="F34" s="71" t="e">
        <f>F33*F32</f>
        <v>#REF!</v>
      </c>
      <c r="G34" s="71" t="e">
        <f>G33*G32</f>
        <v>#REF!</v>
      </c>
      <c r="H34" s="71" t="e">
        <f>H33*H32</f>
        <v>#REF!</v>
      </c>
      <c r="I34" s="190"/>
      <c r="J34" s="71" t="e">
        <f>J33*J32</f>
        <v>#DIV/0!</v>
      </c>
      <c r="K34" s="71" t="e">
        <f>K33*K32</f>
        <v>#REF!</v>
      </c>
      <c r="L34" s="71" t="e">
        <f>L33*L32</f>
        <v>#REF!</v>
      </c>
      <c r="M34" s="190"/>
      <c r="N34" s="71" t="e">
        <f>N33*N32</f>
        <v>#REF!</v>
      </c>
      <c r="O34" s="71" t="e">
        <f>O33*O32</f>
        <v>#REF!</v>
      </c>
      <c r="P34" s="71" t="e">
        <f>P33*P32</f>
        <v>#REF!</v>
      </c>
      <c r="Q34" s="190"/>
      <c r="R34" s="123"/>
    </row>
    <row r="35" spans="1:18">
      <c r="A35" s="18" t="s">
        <v>34</v>
      </c>
      <c r="B35" s="88">
        <v>1</v>
      </c>
      <c r="C35" s="88">
        <v>1</v>
      </c>
      <c r="D35" s="88">
        <v>1</v>
      </c>
      <c r="E35" s="186"/>
      <c r="F35" s="88">
        <v>1</v>
      </c>
      <c r="G35" s="88">
        <v>1</v>
      </c>
      <c r="H35" s="88">
        <v>1</v>
      </c>
      <c r="I35" s="186"/>
      <c r="J35" s="88">
        <v>1</v>
      </c>
      <c r="K35" s="88">
        <v>1</v>
      </c>
      <c r="L35" s="88">
        <v>1</v>
      </c>
      <c r="M35" s="186"/>
      <c r="N35" s="88">
        <v>1</v>
      </c>
      <c r="O35" s="88">
        <v>1</v>
      </c>
      <c r="P35" s="88">
        <v>1</v>
      </c>
      <c r="Q35" s="186"/>
      <c r="R35" s="124"/>
    </row>
    <row r="36" spans="1:18">
      <c r="A36" s="48" t="s">
        <v>59</v>
      </c>
      <c r="B36" s="77">
        <f>B22*0.1</f>
        <v>0</v>
      </c>
      <c r="C36" s="77">
        <f>C22*0.1</f>
        <v>0</v>
      </c>
      <c r="D36" s="77">
        <f>D22*0.1</f>
        <v>0</v>
      </c>
      <c r="E36" s="191"/>
      <c r="F36" s="77">
        <f>F22*0.1</f>
        <v>0</v>
      </c>
      <c r="G36" s="77">
        <f>G22*0.1</f>
        <v>0</v>
      </c>
      <c r="H36" s="77">
        <f>H22*0.1</f>
        <v>0</v>
      </c>
      <c r="I36" s="191"/>
      <c r="J36" s="77">
        <f>J22*0.1</f>
        <v>0</v>
      </c>
      <c r="K36" s="77">
        <f>K22*0.1</f>
        <v>0</v>
      </c>
      <c r="L36" s="77">
        <f>L22*0.1</f>
        <v>0</v>
      </c>
      <c r="M36" s="191"/>
      <c r="N36" s="77">
        <f>N22*0.1</f>
        <v>0</v>
      </c>
      <c r="O36" s="77">
        <f>O22*0.1</f>
        <v>0</v>
      </c>
      <c r="P36" s="77">
        <f>P22*0.1</f>
        <v>0</v>
      </c>
      <c r="Q36" s="191"/>
      <c r="R36" s="122"/>
    </row>
    <row r="37" spans="1:18">
      <c r="A37" s="38" t="s">
        <v>62</v>
      </c>
      <c r="B37" s="95"/>
      <c r="C37" s="95"/>
      <c r="D37" s="95"/>
      <c r="E37" s="187"/>
      <c r="F37" s="95"/>
      <c r="G37" s="95"/>
      <c r="H37" s="95"/>
      <c r="I37" s="187"/>
      <c r="J37" s="95"/>
      <c r="K37" s="95"/>
      <c r="L37" s="95"/>
      <c r="M37" s="187"/>
      <c r="N37" s="96"/>
      <c r="O37" s="95"/>
      <c r="P37" s="95"/>
      <c r="Q37" s="187"/>
      <c r="R37" s="119"/>
    </row>
    <row r="38" spans="1:18">
      <c r="A38" s="61" t="s">
        <v>63</v>
      </c>
      <c r="B38" s="75">
        <f>B37*B36</f>
        <v>0</v>
      </c>
      <c r="C38" s="75">
        <f>C37*C36</f>
        <v>0</v>
      </c>
      <c r="D38" s="75">
        <f>D37*D36</f>
        <v>0</v>
      </c>
      <c r="E38" s="190"/>
      <c r="F38" s="75">
        <f>F37*F36</f>
        <v>0</v>
      </c>
      <c r="G38" s="75">
        <f>G37*G36</f>
        <v>0</v>
      </c>
      <c r="H38" s="75">
        <f>H37*H36</f>
        <v>0</v>
      </c>
      <c r="I38" s="190"/>
      <c r="J38" s="75">
        <f>J37*J36</f>
        <v>0</v>
      </c>
      <c r="K38" s="75">
        <f>K37*K36</f>
        <v>0</v>
      </c>
      <c r="L38" s="75">
        <f>L37*L36</f>
        <v>0</v>
      </c>
      <c r="M38" s="190"/>
      <c r="N38" s="75">
        <f>N37*N36</f>
        <v>0</v>
      </c>
      <c r="O38" s="75">
        <f>O37*O36</f>
        <v>0</v>
      </c>
      <c r="P38" s="75">
        <f>P37*P36</f>
        <v>0</v>
      </c>
      <c r="Q38" s="190"/>
      <c r="R38" s="126"/>
    </row>
    <row r="39" spans="1:18">
      <c r="A39" s="51" t="s">
        <v>67</v>
      </c>
      <c r="B39" s="78" t="e">
        <f>B34+B28+B38</f>
        <v>#REF!</v>
      </c>
      <c r="C39" s="78" t="e">
        <f>C34+C28+C38</f>
        <v>#REF!</v>
      </c>
      <c r="D39" s="78" t="e">
        <f>D34+D28+D38</f>
        <v>#REF!</v>
      </c>
      <c r="E39" s="192"/>
      <c r="F39" s="78" t="e">
        <f>F34+F28+F38</f>
        <v>#REF!</v>
      </c>
      <c r="G39" s="78" t="e">
        <f>G34+G28+G38</f>
        <v>#REF!</v>
      </c>
      <c r="H39" s="78" t="e">
        <f>H34+H28+H38</f>
        <v>#REF!</v>
      </c>
      <c r="I39" s="192"/>
      <c r="J39" s="78" t="e">
        <f>J34+J28+J38</f>
        <v>#DIV/0!</v>
      </c>
      <c r="K39" s="78" t="e">
        <f>K34+K28+K38</f>
        <v>#REF!</v>
      </c>
      <c r="L39" s="78" t="e">
        <f>L34+L28+L38</f>
        <v>#REF!</v>
      </c>
      <c r="M39" s="192"/>
      <c r="N39" s="78" t="e">
        <f>N34+N28+N38</f>
        <v>#REF!</v>
      </c>
      <c r="O39" s="78" t="e">
        <f>O34+O28+O38</f>
        <v>#REF!</v>
      </c>
      <c r="P39" s="78" t="e">
        <f>P34+P28+P38</f>
        <v>#REF!</v>
      </c>
      <c r="Q39" s="192"/>
      <c r="R39" s="127"/>
    </row>
    <row r="40" spans="1:18">
      <c r="A40" s="118" t="s">
        <v>123</v>
      </c>
      <c r="B40" s="720" t="e">
        <f>D5</f>
        <v>#REF!</v>
      </c>
      <c r="C40" s="721"/>
      <c r="D40" s="721"/>
      <c r="E40" s="731"/>
      <c r="F40" s="720" t="e">
        <f>H5</f>
        <v>#REF!</v>
      </c>
      <c r="G40" s="721"/>
      <c r="H40" s="721"/>
      <c r="I40" s="731"/>
      <c r="J40" s="720" t="e">
        <f>L5</f>
        <v>#REF!</v>
      </c>
      <c r="K40" s="721"/>
      <c r="L40" s="721"/>
      <c r="M40" s="731"/>
      <c r="N40" s="720" t="e">
        <f>P5</f>
        <v>#REF!</v>
      </c>
      <c r="O40" s="721"/>
      <c r="P40" s="721"/>
      <c r="Q40" s="731"/>
      <c r="R40" s="122"/>
    </row>
    <row r="41" spans="1:18">
      <c r="A41" s="120" t="s">
        <v>69</v>
      </c>
      <c r="B41" s="732">
        <f>D7</f>
        <v>0</v>
      </c>
      <c r="C41" s="733"/>
      <c r="D41" s="733"/>
      <c r="E41" s="731"/>
      <c r="F41" s="732">
        <f>H7</f>
        <v>0</v>
      </c>
      <c r="G41" s="733"/>
      <c r="H41" s="733"/>
      <c r="I41" s="731"/>
      <c r="J41" s="732">
        <f>L7</f>
        <v>0</v>
      </c>
      <c r="K41" s="733"/>
      <c r="L41" s="733"/>
      <c r="M41" s="731"/>
      <c r="N41" s="732">
        <f>P7</f>
        <v>0</v>
      </c>
      <c r="O41" s="733"/>
      <c r="P41" s="733"/>
      <c r="Q41" s="731"/>
      <c r="R41" s="122"/>
    </row>
    <row r="42" spans="1:18">
      <c r="A42" s="120" t="s">
        <v>68</v>
      </c>
      <c r="B42" s="734" t="e">
        <f>B41/B40</f>
        <v>#REF!</v>
      </c>
      <c r="C42" s="735"/>
      <c r="D42" s="735"/>
      <c r="E42" s="731"/>
      <c r="F42" s="734" t="e">
        <f>F41/F40</f>
        <v>#REF!</v>
      </c>
      <c r="G42" s="735"/>
      <c r="H42" s="735"/>
      <c r="I42" s="731"/>
      <c r="J42" s="734" t="e">
        <f>J41/J40</f>
        <v>#REF!</v>
      </c>
      <c r="K42" s="735"/>
      <c r="L42" s="735"/>
      <c r="M42" s="731"/>
      <c r="N42" s="734" t="e">
        <f>N41/N40</f>
        <v>#REF!</v>
      </c>
      <c r="O42" s="735"/>
      <c r="P42" s="735"/>
      <c r="Q42" s="731"/>
      <c r="R42" s="128"/>
    </row>
    <row r="43" spans="1:18">
      <c r="A43" s="120" t="s">
        <v>65</v>
      </c>
      <c r="B43" s="729">
        <f>D22</f>
        <v>0</v>
      </c>
      <c r="C43" s="730"/>
      <c r="D43" s="730"/>
      <c r="E43" s="731"/>
      <c r="F43" s="729">
        <f>H22</f>
        <v>0</v>
      </c>
      <c r="G43" s="730"/>
      <c r="H43" s="730"/>
      <c r="I43" s="731"/>
      <c r="J43" s="729">
        <f>L22</f>
        <v>0</v>
      </c>
      <c r="K43" s="730"/>
      <c r="L43" s="730"/>
      <c r="M43" s="731"/>
      <c r="N43" s="729">
        <f>P22</f>
        <v>0</v>
      </c>
      <c r="O43" s="730"/>
      <c r="P43" s="730"/>
      <c r="Q43" s="731"/>
      <c r="R43" s="122"/>
    </row>
    <row r="44" spans="1:18">
      <c r="A44" s="82" t="s">
        <v>66</v>
      </c>
      <c r="B44" s="724" t="e">
        <f>IF(B42&lt;100%,0,IF(B42&lt;110%,0.5,1))</f>
        <v>#REF!</v>
      </c>
      <c r="C44" s="725"/>
      <c r="D44" s="725"/>
      <c r="E44" s="719"/>
      <c r="F44" s="724" t="e">
        <f>IF(F42&lt;100%,0,IF(F42&lt;110%,0.5,1))</f>
        <v>#REF!</v>
      </c>
      <c r="G44" s="725"/>
      <c r="H44" s="725"/>
      <c r="I44" s="719"/>
      <c r="J44" s="724" t="e">
        <f>IF(J42&lt;100%,0,IF(J42&lt;110%,0.5,1))</f>
        <v>#REF!</v>
      </c>
      <c r="K44" s="725"/>
      <c r="L44" s="725"/>
      <c r="M44" s="719"/>
      <c r="N44" s="724" t="e">
        <f>IF(N42&lt;100%,0,IF(N42&lt;110%,0.5,1))</f>
        <v>#REF!</v>
      </c>
      <c r="O44" s="725"/>
      <c r="P44" s="725"/>
      <c r="Q44" s="719"/>
      <c r="R44" s="129"/>
    </row>
    <row r="45" spans="1:18">
      <c r="A45" s="51" t="s">
        <v>64</v>
      </c>
      <c r="B45" s="726" t="e">
        <f>B44*B43</f>
        <v>#REF!</v>
      </c>
      <c r="C45" s="727"/>
      <c r="D45" s="727"/>
      <c r="E45" s="719"/>
      <c r="F45" s="726" t="e">
        <f>F44*F43</f>
        <v>#REF!</v>
      </c>
      <c r="G45" s="727"/>
      <c r="H45" s="727"/>
      <c r="I45" s="719"/>
      <c r="J45" s="726" t="e">
        <f>J44*J43</f>
        <v>#REF!</v>
      </c>
      <c r="K45" s="727"/>
      <c r="L45" s="727"/>
      <c r="M45" s="719"/>
      <c r="N45" s="726" t="e">
        <f>N44*N43</f>
        <v>#REF!</v>
      </c>
      <c r="O45" s="727"/>
      <c r="P45" s="727"/>
      <c r="Q45" s="719"/>
      <c r="R45" s="130"/>
    </row>
    <row r="46" spans="1:18" ht="13.8" thickBot="1">
      <c r="A46" s="58"/>
      <c r="B46" s="59"/>
      <c r="C46" s="59"/>
      <c r="D46" s="59"/>
      <c r="E46" s="132"/>
      <c r="F46" s="59"/>
      <c r="G46" s="59"/>
      <c r="H46" s="59"/>
      <c r="I46" s="132"/>
      <c r="J46" s="59"/>
      <c r="K46" s="59"/>
      <c r="L46" s="59"/>
      <c r="M46" s="132"/>
      <c r="N46" s="59"/>
      <c r="O46" s="59"/>
      <c r="P46" s="59"/>
      <c r="Q46" s="132"/>
      <c r="R46" s="133"/>
    </row>
    <row r="47" spans="1:18" ht="13.8" thickBot="1">
      <c r="A47" s="385" t="s">
        <v>94</v>
      </c>
      <c r="B47" s="441" t="s">
        <v>95</v>
      </c>
      <c r="C47" s="441" t="s">
        <v>11</v>
      </c>
      <c r="D47" s="386" t="s">
        <v>12</v>
      </c>
      <c r="E47" s="334" t="s">
        <v>96</v>
      </c>
      <c r="F47" s="386" t="s">
        <v>7</v>
      </c>
      <c r="G47" s="386" t="s">
        <v>8</v>
      </c>
      <c r="H47" s="386" t="s">
        <v>9</v>
      </c>
      <c r="I47" s="334" t="s">
        <v>96</v>
      </c>
      <c r="J47" s="407" t="s">
        <v>4</v>
      </c>
      <c r="K47" s="363" t="s">
        <v>5</v>
      </c>
      <c r="L47" s="363" t="s">
        <v>6</v>
      </c>
      <c r="M47" s="334" t="s">
        <v>96</v>
      </c>
      <c r="N47" s="386" t="s">
        <v>1</v>
      </c>
      <c r="O47" s="386" t="s">
        <v>2</v>
      </c>
      <c r="P47" s="386" t="s">
        <v>3</v>
      </c>
      <c r="Q47" s="334" t="s">
        <v>96</v>
      </c>
      <c r="R47" s="334" t="s">
        <v>96</v>
      </c>
    </row>
    <row r="48" spans="1:18" ht="13.8" thickTop="1">
      <c r="A48" s="387" t="s">
        <v>97</v>
      </c>
      <c r="B48" s="434"/>
      <c r="C48" s="434"/>
      <c r="D48" s="151"/>
      <c r="E48" s="335">
        <f>SUM(B48:D48)</f>
        <v>0</v>
      </c>
      <c r="F48" s="151"/>
      <c r="G48" s="151"/>
      <c r="H48" s="151"/>
      <c r="I48" s="335">
        <f>SUM(F48:H48)</f>
        <v>0</v>
      </c>
      <c r="J48" s="400"/>
      <c r="K48" s="151"/>
      <c r="L48" s="151"/>
      <c r="M48" s="335">
        <f>SUM(J48:L48)</f>
        <v>0</v>
      </c>
      <c r="N48" s="151"/>
      <c r="O48" s="151"/>
      <c r="P48" s="151"/>
      <c r="Q48" s="335">
        <f>SUM(N48:P48)</f>
        <v>0</v>
      </c>
      <c r="R48" s="335">
        <f>M48+I48+E48+Q48</f>
        <v>0</v>
      </c>
    </row>
    <row r="49" spans="1:18">
      <c r="A49" s="388" t="s">
        <v>98</v>
      </c>
      <c r="B49" s="431"/>
      <c r="C49" s="431"/>
      <c r="D49" s="152"/>
      <c r="E49" s="196"/>
      <c r="F49" s="152"/>
      <c r="G49" s="152"/>
      <c r="H49" s="152"/>
      <c r="I49" s="196"/>
      <c r="J49" s="399"/>
      <c r="K49" s="152"/>
      <c r="L49" s="152"/>
      <c r="M49" s="196"/>
      <c r="N49" s="152"/>
      <c r="O49" s="152"/>
      <c r="P49" s="152"/>
      <c r="Q49" s="196"/>
      <c r="R49" s="196"/>
    </row>
    <row r="50" spans="1:18">
      <c r="A50" s="388" t="s">
        <v>99</v>
      </c>
      <c r="B50" s="431"/>
      <c r="C50" s="431"/>
      <c r="D50" s="152"/>
      <c r="E50" s="196"/>
      <c r="F50" s="152"/>
      <c r="G50" s="152"/>
      <c r="H50" s="152"/>
      <c r="I50" s="196"/>
      <c r="J50" s="399"/>
      <c r="K50" s="152"/>
      <c r="L50" s="152"/>
      <c r="M50" s="196"/>
      <c r="N50" s="152"/>
      <c r="O50" s="152"/>
      <c r="P50" s="152"/>
      <c r="Q50" s="196"/>
      <c r="R50" s="196"/>
    </row>
    <row r="51" spans="1:18">
      <c r="A51" s="388" t="s">
        <v>133</v>
      </c>
      <c r="B51" s="431"/>
      <c r="C51" s="431"/>
      <c r="D51" s="152"/>
      <c r="E51" s="196"/>
      <c r="F51" s="152"/>
      <c r="G51" s="152"/>
      <c r="H51" s="152"/>
      <c r="I51" s="196"/>
      <c r="J51" s="399"/>
      <c r="K51" s="152"/>
      <c r="L51" s="152"/>
      <c r="M51" s="196"/>
      <c r="N51" s="152"/>
      <c r="O51" s="152"/>
      <c r="P51" s="152"/>
      <c r="Q51" s="196"/>
      <c r="R51" s="196"/>
    </row>
    <row r="52" spans="1:18">
      <c r="A52" s="388" t="s">
        <v>100</v>
      </c>
      <c r="B52" s="442"/>
      <c r="C52" s="442"/>
      <c r="D52" s="389"/>
      <c r="E52" s="197"/>
      <c r="F52" s="389"/>
      <c r="G52" s="389"/>
      <c r="H52" s="389"/>
      <c r="I52" s="197"/>
      <c r="J52" s="408"/>
      <c r="K52" s="364"/>
      <c r="L52" s="364"/>
      <c r="M52" s="197"/>
      <c r="N52" s="389"/>
      <c r="O52" s="389"/>
      <c r="P52" s="389"/>
      <c r="Q52" s="197"/>
      <c r="R52" s="197"/>
    </row>
    <row r="53" spans="1:18" ht="13.8" thickBot="1">
      <c r="A53" s="390" t="s">
        <v>101</v>
      </c>
      <c r="B53" s="435"/>
      <c r="C53" s="435"/>
      <c r="D53" s="153"/>
      <c r="E53" s="335">
        <f t="shared" ref="E53:E54" si="12">SUM(B53:D53)</f>
        <v>0</v>
      </c>
      <c r="F53" s="153"/>
      <c r="G53" s="153"/>
      <c r="H53" s="153"/>
      <c r="I53" s="335">
        <f t="shared" ref="I53:I54" si="13">SUM(F53:H53)</f>
        <v>0</v>
      </c>
      <c r="J53" s="401"/>
      <c r="K53" s="153"/>
      <c r="L53" s="153"/>
      <c r="M53" s="335">
        <f t="shared" ref="M53:M54" si="14">SUM(J53:L53)</f>
        <v>0</v>
      </c>
      <c r="N53" s="153"/>
      <c r="O53" s="153"/>
      <c r="P53" s="153"/>
      <c r="Q53" s="335">
        <f t="shared" ref="Q53:Q54" si="15">SUM(N53:P53)</f>
        <v>0</v>
      </c>
      <c r="R53" s="335">
        <f>M53+I53+E53+Q53</f>
        <v>0</v>
      </c>
    </row>
    <row r="54" spans="1:18" ht="13.8" thickTop="1">
      <c r="A54" s="391" t="s">
        <v>134</v>
      </c>
      <c r="B54" s="436"/>
      <c r="C54" s="436"/>
      <c r="D54" s="154"/>
      <c r="E54" s="335">
        <f t="shared" si="12"/>
        <v>0</v>
      </c>
      <c r="F54" s="154"/>
      <c r="G54" s="154"/>
      <c r="H54" s="154"/>
      <c r="I54" s="335">
        <f t="shared" si="13"/>
        <v>0</v>
      </c>
      <c r="J54" s="402"/>
      <c r="K54" s="154"/>
      <c r="L54" s="154"/>
      <c r="M54" s="335">
        <f t="shared" si="14"/>
        <v>0</v>
      </c>
      <c r="N54" s="154"/>
      <c r="O54" s="154"/>
      <c r="P54" s="154"/>
      <c r="Q54" s="335">
        <f t="shared" si="15"/>
        <v>0</v>
      </c>
      <c r="R54" s="335">
        <f>M54+I54+E54+Q54</f>
        <v>0</v>
      </c>
    </row>
    <row r="55" spans="1:18">
      <c r="A55" s="388" t="s">
        <v>102</v>
      </c>
      <c r="B55" s="431"/>
      <c r="C55" s="431"/>
      <c r="D55" s="152"/>
      <c r="E55" s="198"/>
      <c r="F55" s="152"/>
      <c r="G55" s="152"/>
      <c r="H55" s="152"/>
      <c r="I55" s="198"/>
      <c r="J55" s="399"/>
      <c r="K55" s="152"/>
      <c r="L55" s="152"/>
      <c r="M55" s="198"/>
      <c r="N55" s="152"/>
      <c r="O55" s="152"/>
      <c r="P55" s="152"/>
      <c r="Q55" s="198"/>
      <c r="R55" s="198"/>
    </row>
    <row r="56" spans="1:18">
      <c r="A56" s="388" t="s">
        <v>103</v>
      </c>
      <c r="B56" s="431"/>
      <c r="C56" s="431"/>
      <c r="D56" s="152"/>
      <c r="E56" s="335">
        <f t="shared" ref="E56:E60" si="16">SUM(B56:D56)</f>
        <v>0</v>
      </c>
      <c r="F56" s="152"/>
      <c r="G56" s="152"/>
      <c r="H56" s="152"/>
      <c r="I56" s="335">
        <f t="shared" ref="I56:I60" si="17">SUM(F56:H56)</f>
        <v>0</v>
      </c>
      <c r="J56" s="399"/>
      <c r="K56" s="152"/>
      <c r="L56" s="152"/>
      <c r="M56" s="335">
        <f t="shared" ref="M56:M60" si="18">SUM(J56:L56)</f>
        <v>0</v>
      </c>
      <c r="N56" s="152"/>
      <c r="O56" s="152"/>
      <c r="P56" s="152"/>
      <c r="Q56" s="335">
        <f t="shared" ref="Q56:Q60" si="19">SUM(N56:P56)</f>
        <v>0</v>
      </c>
      <c r="R56" s="335">
        <f>M56+I56+E56+Q56</f>
        <v>0</v>
      </c>
    </row>
    <row r="57" spans="1:18" ht="13.8" thickBot="1">
      <c r="A57" s="392" t="s">
        <v>104</v>
      </c>
      <c r="B57" s="437"/>
      <c r="C57" s="437"/>
      <c r="D57" s="155"/>
      <c r="E57" s="335">
        <f t="shared" si="16"/>
        <v>0</v>
      </c>
      <c r="F57" s="155"/>
      <c r="G57" s="155"/>
      <c r="H57" s="155"/>
      <c r="I57" s="335">
        <f t="shared" si="17"/>
        <v>0</v>
      </c>
      <c r="J57" s="403"/>
      <c r="K57" s="155"/>
      <c r="L57" s="155"/>
      <c r="M57" s="335">
        <f t="shared" si="18"/>
        <v>0</v>
      </c>
      <c r="N57" s="155"/>
      <c r="O57" s="155"/>
      <c r="P57" s="155"/>
      <c r="Q57" s="335">
        <f t="shared" si="19"/>
        <v>0</v>
      </c>
      <c r="R57" s="335">
        <f>M57+I57+E57+Q57</f>
        <v>0</v>
      </c>
    </row>
    <row r="58" spans="1:18" ht="13.8" thickTop="1">
      <c r="A58" s="387" t="s">
        <v>184</v>
      </c>
      <c r="B58" s="434"/>
      <c r="C58" s="434"/>
      <c r="D58" s="151"/>
      <c r="E58" s="335">
        <f t="shared" si="16"/>
        <v>0</v>
      </c>
      <c r="F58" s="151"/>
      <c r="G58" s="151"/>
      <c r="H58" s="151"/>
      <c r="I58" s="335">
        <f t="shared" si="17"/>
        <v>0</v>
      </c>
      <c r="J58" s="400"/>
      <c r="K58" s="151"/>
      <c r="L58" s="151"/>
      <c r="M58" s="335">
        <f t="shared" si="18"/>
        <v>0</v>
      </c>
      <c r="N58" s="151"/>
      <c r="O58" s="151"/>
      <c r="P58" s="151"/>
      <c r="Q58" s="335">
        <f t="shared" si="19"/>
        <v>0</v>
      </c>
      <c r="R58" s="335">
        <f>M58+I58+E58+Q58</f>
        <v>0</v>
      </c>
    </row>
    <row r="59" spans="1:18" ht="13.8" thickBot="1">
      <c r="A59" s="390" t="s">
        <v>105</v>
      </c>
      <c r="B59" s="435"/>
      <c r="C59" s="435"/>
      <c r="D59" s="153"/>
      <c r="E59" s="335">
        <f t="shared" si="16"/>
        <v>0</v>
      </c>
      <c r="F59" s="153"/>
      <c r="G59" s="153"/>
      <c r="H59" s="153"/>
      <c r="I59" s="335">
        <f t="shared" si="17"/>
        <v>0</v>
      </c>
      <c r="J59" s="401"/>
      <c r="K59" s="153"/>
      <c r="L59" s="153"/>
      <c r="M59" s="335">
        <f t="shared" si="18"/>
        <v>0</v>
      </c>
      <c r="N59" s="153"/>
      <c r="O59" s="153"/>
      <c r="P59" s="153"/>
      <c r="Q59" s="335">
        <f t="shared" si="19"/>
        <v>0</v>
      </c>
      <c r="R59" s="335">
        <f>M59+I59+E59+Q59</f>
        <v>0</v>
      </c>
    </row>
    <row r="60" spans="1:18" ht="14.4" thickTop="1" thickBot="1">
      <c r="A60" s="390" t="s">
        <v>106</v>
      </c>
      <c r="B60" s="435"/>
      <c r="C60" s="435"/>
      <c r="D60" s="153"/>
      <c r="E60" s="335">
        <f t="shared" si="16"/>
        <v>0</v>
      </c>
      <c r="F60" s="153"/>
      <c r="G60" s="153"/>
      <c r="H60" s="153"/>
      <c r="I60" s="335">
        <f t="shared" si="17"/>
        <v>0</v>
      </c>
      <c r="J60" s="401"/>
      <c r="K60" s="153"/>
      <c r="L60" s="153"/>
      <c r="M60" s="335">
        <f t="shared" si="18"/>
        <v>0</v>
      </c>
      <c r="N60" s="153"/>
      <c r="O60" s="153"/>
      <c r="P60" s="153"/>
      <c r="Q60" s="335">
        <f t="shared" si="19"/>
        <v>0</v>
      </c>
      <c r="R60" s="335">
        <f>M60+I60+E60+Q60</f>
        <v>0</v>
      </c>
    </row>
    <row r="61" spans="1:18" ht="13.8" thickTop="1">
      <c r="A61" s="393" t="s">
        <v>107</v>
      </c>
      <c r="B61" s="438"/>
      <c r="C61" s="438"/>
      <c r="D61" s="158"/>
      <c r="E61" s="150"/>
      <c r="F61" s="158"/>
      <c r="G61" s="158"/>
      <c r="H61" s="194"/>
      <c r="I61" s="150"/>
      <c r="J61" s="404"/>
      <c r="K61" s="158"/>
      <c r="L61" s="158"/>
      <c r="M61" s="150"/>
      <c r="N61" s="158"/>
      <c r="O61" s="158"/>
      <c r="P61" s="158"/>
      <c r="Q61" s="150"/>
      <c r="R61" s="150"/>
    </row>
    <row r="62" spans="1:18">
      <c r="A62" s="394" t="s">
        <v>108</v>
      </c>
      <c r="B62" s="439"/>
      <c r="C62" s="439"/>
      <c r="D62" s="159"/>
      <c r="E62" s="335">
        <f t="shared" ref="E62:E64" si="20">SUM(B62:D62)</f>
        <v>0</v>
      </c>
      <c r="F62" s="159"/>
      <c r="G62" s="159"/>
      <c r="H62" s="195"/>
      <c r="I62" s="335">
        <f t="shared" ref="I62:I64" si="21">SUM(F62:H62)</f>
        <v>0</v>
      </c>
      <c r="J62" s="405"/>
      <c r="K62" s="159"/>
      <c r="L62" s="159"/>
      <c r="M62" s="335">
        <f t="shared" ref="M62:M64" si="22">SUM(J62:L62)</f>
        <v>0</v>
      </c>
      <c r="N62" s="159"/>
      <c r="O62" s="159"/>
      <c r="P62" s="159"/>
      <c r="Q62" s="335">
        <f t="shared" ref="Q62:Q64" si="23">SUM(N62:P62)</f>
        <v>0</v>
      </c>
      <c r="R62" s="335">
        <f>M62+I62+E62+Q62</f>
        <v>0</v>
      </c>
    </row>
    <row r="63" spans="1:18">
      <c r="A63" s="394" t="s">
        <v>109</v>
      </c>
      <c r="B63" s="439"/>
      <c r="C63" s="433"/>
      <c r="D63" s="381"/>
      <c r="E63" s="335">
        <f t="shared" si="20"/>
        <v>0</v>
      </c>
      <c r="F63" s="159"/>
      <c r="G63" s="159"/>
      <c r="H63" s="195"/>
      <c r="I63" s="335">
        <f t="shared" si="21"/>
        <v>0</v>
      </c>
      <c r="J63" s="405"/>
      <c r="K63" s="159"/>
      <c r="L63" s="159"/>
      <c r="M63" s="335">
        <f t="shared" si="22"/>
        <v>0</v>
      </c>
      <c r="N63" s="159"/>
      <c r="O63" s="159"/>
      <c r="P63" s="159"/>
      <c r="Q63" s="335">
        <f t="shared" si="23"/>
        <v>0</v>
      </c>
      <c r="R63" s="335">
        <f>M63+I63+E63+Q63</f>
        <v>0</v>
      </c>
    </row>
    <row r="64" spans="1:18">
      <c r="A64" s="394" t="s">
        <v>110</v>
      </c>
      <c r="B64" s="439"/>
      <c r="C64" s="433"/>
      <c r="D64" s="381"/>
      <c r="E64" s="335">
        <f t="shared" si="20"/>
        <v>0</v>
      </c>
      <c r="F64" s="159"/>
      <c r="G64" s="159"/>
      <c r="H64" s="195"/>
      <c r="I64" s="335">
        <f t="shared" si="21"/>
        <v>0</v>
      </c>
      <c r="J64" s="405"/>
      <c r="K64" s="159"/>
      <c r="L64" s="159"/>
      <c r="M64" s="335">
        <f t="shared" si="22"/>
        <v>0</v>
      </c>
      <c r="N64" s="159"/>
      <c r="O64" s="159"/>
      <c r="P64" s="159"/>
      <c r="Q64" s="335">
        <f t="shared" si="23"/>
        <v>0</v>
      </c>
      <c r="R64" s="335">
        <f>M64+I64+E64+Q64</f>
        <v>0</v>
      </c>
    </row>
    <row r="65" spans="1:18" ht="13.8" thickBot="1">
      <c r="A65" s="395" t="s">
        <v>111</v>
      </c>
      <c r="B65" s="440"/>
      <c r="C65" s="432"/>
      <c r="D65" s="382"/>
      <c r="E65" s="199"/>
      <c r="F65" s="345"/>
      <c r="G65" s="345"/>
      <c r="H65" s="347"/>
      <c r="I65" s="199"/>
      <c r="J65" s="406"/>
      <c r="K65" s="345"/>
      <c r="L65" s="345"/>
      <c r="M65" s="199"/>
      <c r="N65" s="345"/>
      <c r="O65" s="345"/>
      <c r="P65" s="345"/>
      <c r="Q65" s="199"/>
      <c r="R65" s="199"/>
    </row>
    <row r="66" spans="1:18" ht="13.8" thickTop="1">
      <c r="A66"/>
      <c r="B66" s="64"/>
      <c r="C66" s="64"/>
      <c r="D66" s="156" t="e">
        <f>SUM(#REF!)</f>
        <v>#REF!</v>
      </c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</row>
  </sheetData>
  <mergeCells count="28">
    <mergeCell ref="J1:M1"/>
    <mergeCell ref="N1:Q1"/>
    <mergeCell ref="B1:E1"/>
    <mergeCell ref="F1:I1"/>
    <mergeCell ref="J40:M40"/>
    <mergeCell ref="N40:Q40"/>
    <mergeCell ref="B40:E40"/>
    <mergeCell ref="F40:I40"/>
    <mergeCell ref="J41:M41"/>
    <mergeCell ref="N41:Q41"/>
    <mergeCell ref="B41:E41"/>
    <mergeCell ref="F41:I41"/>
    <mergeCell ref="J42:M42"/>
    <mergeCell ref="N42:Q42"/>
    <mergeCell ref="B42:E42"/>
    <mergeCell ref="F42:I42"/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:A29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446"/>
    </row>
    <row r="2" spans="1:6" ht="14.4">
      <c r="A2" s="658"/>
      <c r="B2" s="164"/>
      <c r="C2" s="164"/>
      <c r="D2" s="264"/>
      <c r="E2" s="147"/>
    </row>
    <row r="3" spans="1:6" ht="14.4">
      <c r="A3" s="658"/>
      <c r="B3" s="164"/>
      <c r="C3" s="164"/>
      <c r="D3" s="264"/>
      <c r="E3" s="147"/>
    </row>
    <row r="4" spans="1:6" ht="14.4">
      <c r="A4" s="658"/>
      <c r="B4" s="164"/>
      <c r="C4" s="164"/>
      <c r="D4" s="264"/>
      <c r="E4" s="147"/>
      <c r="F4" s="164"/>
    </row>
    <row r="5" spans="1:6" ht="14.4">
      <c r="A5" s="658"/>
      <c r="B5" s="164"/>
      <c r="C5" s="164"/>
      <c r="D5" s="264"/>
      <c r="E5" s="147"/>
    </row>
    <row r="6" spans="1:6" ht="14.4">
      <c r="A6" s="658"/>
      <c r="B6" s="164"/>
      <c r="C6" s="164"/>
      <c r="D6" s="264"/>
      <c r="E6" s="147"/>
    </row>
    <row r="7" spans="1:6" ht="14.4">
      <c r="A7" s="658"/>
    </row>
    <row r="8" spans="1:6" ht="14.4">
      <c r="A8" s="658"/>
    </row>
    <row r="9" spans="1:6" ht="14.4">
      <c r="A9" s="658"/>
    </row>
    <row r="10" spans="1:6" ht="14.4">
      <c r="A10" s="658"/>
    </row>
    <row r="11" spans="1:6" ht="14.4">
      <c r="A11" s="658"/>
    </row>
    <row r="12" spans="1:6" ht="14.4">
      <c r="A12" s="658"/>
    </row>
    <row r="13" spans="1:6" ht="14.4">
      <c r="A13" s="658"/>
    </row>
    <row r="14" spans="1:6" ht="13.8" customHeight="1">
      <c r="A14" s="658"/>
    </row>
    <row r="15" spans="1:6" ht="14.4">
      <c r="A15" s="658"/>
    </row>
    <row r="16" spans="1:6" ht="14.4">
      <c r="A16" s="658"/>
    </row>
    <row r="17" spans="1:1" ht="14.4">
      <c r="A17" s="658"/>
    </row>
    <row r="18" spans="1:1" ht="14.4">
      <c r="A18" s="658"/>
    </row>
    <row r="19" spans="1:1" ht="14.4">
      <c r="A19" s="658"/>
    </row>
    <row r="20" spans="1:1" ht="14.4">
      <c r="A20" s="658"/>
    </row>
    <row r="21" spans="1:1" ht="14.4">
      <c r="A21" s="658"/>
    </row>
    <row r="22" spans="1:1" ht="14.4">
      <c r="A22" s="659"/>
    </row>
    <row r="23" spans="1:1" ht="14.4">
      <c r="A23" s="659"/>
    </row>
    <row r="24" spans="1:1" ht="14.4">
      <c r="A24" s="659"/>
    </row>
    <row r="25" spans="1:1" ht="14.4">
      <c r="A25" s="659"/>
    </row>
    <row r="26" spans="1:1" ht="14.4">
      <c r="A26" s="659"/>
    </row>
    <row r="27" spans="1:1" ht="14.4">
      <c r="A27" s="659"/>
    </row>
    <row r="28" spans="1:1" ht="14.4">
      <c r="A28" s="659"/>
    </row>
    <row r="29" spans="1:1" ht="14.4">
      <c r="A29" s="659"/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6" sqref="C26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78</v>
      </c>
      <c r="C1" t="s">
        <v>79</v>
      </c>
      <c r="D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  <c r="K1" t="s">
        <v>86</v>
      </c>
      <c r="L1" t="s">
        <v>87</v>
      </c>
      <c r="M1" t="s">
        <v>88</v>
      </c>
      <c r="N1" t="s">
        <v>89</v>
      </c>
    </row>
    <row r="2" spans="1:14">
      <c r="A2" t="s">
        <v>187</v>
      </c>
      <c r="B2" s="193">
        <v>283301.84000000003</v>
      </c>
      <c r="C2">
        <v>263419.34379999997</v>
      </c>
      <c r="D2">
        <v>273088.125</v>
      </c>
      <c r="E2" s="164">
        <f>SUM(B2:D2)</f>
        <v>819809.3088</v>
      </c>
    </row>
    <row r="3" spans="1:14">
      <c r="A3" t="s">
        <v>188</v>
      </c>
      <c r="B3">
        <v>908036.3125</v>
      </c>
      <c r="C3">
        <v>809745.8125</v>
      </c>
      <c r="D3">
        <v>770639.125</v>
      </c>
      <c r="E3" s="164">
        <f>SUM(B3:D3)</f>
        <v>2488421.25</v>
      </c>
    </row>
    <row r="4" spans="1:14">
      <c r="E4" s="164">
        <f>E5-E2</f>
        <v>500.001200000057</v>
      </c>
    </row>
    <row r="5" spans="1:14">
      <c r="A5" t="s">
        <v>187</v>
      </c>
      <c r="E5" s="193">
        <v>820309.31</v>
      </c>
    </row>
    <row r="6" spans="1:14">
      <c r="A6" t="s">
        <v>188</v>
      </c>
      <c r="E6" s="193">
        <v>2488421.25</v>
      </c>
    </row>
    <row r="12" spans="1:14">
      <c r="A12" t="s">
        <v>204</v>
      </c>
      <c r="B12" t="s">
        <v>205</v>
      </c>
      <c r="C12" t="s">
        <v>193</v>
      </c>
      <c r="D12" t="s">
        <v>196</v>
      </c>
      <c r="E12" t="s">
        <v>197</v>
      </c>
      <c r="F12" t="s">
        <v>198</v>
      </c>
      <c r="G12" t="s">
        <v>112</v>
      </c>
      <c r="H12" t="s">
        <v>196</v>
      </c>
      <c r="I12" t="s">
        <v>197</v>
      </c>
      <c r="J12" t="s">
        <v>198</v>
      </c>
      <c r="K12" t="s">
        <v>112</v>
      </c>
    </row>
    <row r="13" spans="1:14">
      <c r="A13" t="s">
        <v>203</v>
      </c>
      <c r="B13" t="s">
        <v>206</v>
      </c>
      <c r="C13">
        <v>10</v>
      </c>
      <c r="D13">
        <v>906.02</v>
      </c>
      <c r="E13">
        <v>958.6</v>
      </c>
      <c r="F13">
        <v>-52.58</v>
      </c>
      <c r="G13">
        <v>-5.8033999999999999</v>
      </c>
      <c r="H13">
        <v>59481.74</v>
      </c>
      <c r="I13">
        <v>47830.68</v>
      </c>
      <c r="J13">
        <v>11651.06</v>
      </c>
      <c r="K13">
        <v>19.587599999999998</v>
      </c>
      <c r="L13">
        <f>D13*0.25</f>
        <v>226.505</v>
      </c>
    </row>
    <row r="14" spans="1:14">
      <c r="A14" t="s">
        <v>203</v>
      </c>
      <c r="B14" t="s">
        <v>207</v>
      </c>
      <c r="C14">
        <v>6</v>
      </c>
      <c r="D14">
        <v>543.78</v>
      </c>
      <c r="E14">
        <v>572.22</v>
      </c>
      <c r="F14">
        <v>-28.44</v>
      </c>
      <c r="G14">
        <v>-5.23</v>
      </c>
      <c r="H14">
        <v>365.76</v>
      </c>
      <c r="I14">
        <v>386.32</v>
      </c>
      <c r="J14">
        <v>-20.56</v>
      </c>
      <c r="K14">
        <v>-5.6211000000000002</v>
      </c>
      <c r="L14">
        <f>D14*0.25</f>
        <v>135.94499999999999</v>
      </c>
    </row>
    <row r="15" spans="1:14">
      <c r="A15" t="s">
        <v>203</v>
      </c>
      <c r="B15" t="s">
        <v>208</v>
      </c>
      <c r="C15">
        <v>7</v>
      </c>
      <c r="D15">
        <v>634.27</v>
      </c>
      <c r="E15">
        <v>670.04</v>
      </c>
      <c r="F15">
        <v>-35.770000000000003</v>
      </c>
      <c r="G15">
        <v>-5.6395</v>
      </c>
      <c r="H15">
        <v>91.44</v>
      </c>
      <c r="I15">
        <v>96.58</v>
      </c>
      <c r="J15">
        <v>-5.14</v>
      </c>
      <c r="K15">
        <v>-5.6211000000000002</v>
      </c>
      <c r="L15">
        <f>D15*0.25</f>
        <v>158.5675</v>
      </c>
    </row>
    <row r="16" spans="1:14">
      <c r="A16" t="s">
        <v>203</v>
      </c>
      <c r="B16" t="s">
        <v>209</v>
      </c>
      <c r="C16">
        <v>7</v>
      </c>
      <c r="D16">
        <v>635.51</v>
      </c>
      <c r="E16">
        <v>670.6</v>
      </c>
      <c r="F16">
        <v>-35.090000000000003</v>
      </c>
      <c r="G16">
        <v>-5.5214999999999996</v>
      </c>
      <c r="H16">
        <v>91.44</v>
      </c>
      <c r="I16">
        <v>96.58</v>
      </c>
      <c r="J16">
        <v>-5.14</v>
      </c>
      <c r="K16">
        <v>-5.6211000000000002</v>
      </c>
      <c r="L16">
        <f>D16*0.25</f>
        <v>158.8775</v>
      </c>
    </row>
    <row r="17" spans="12:12">
      <c r="L17">
        <f>SUM(L13:L16)</f>
        <v>679.89499999999998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 2022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2023-01-05T10:17:29Z</cp:lastPrinted>
  <dcterms:created xsi:type="dcterms:W3CDTF">2009-01-30T23:10:02Z</dcterms:created>
  <dcterms:modified xsi:type="dcterms:W3CDTF">2023-09-01T08:31:07Z</dcterms:modified>
</cp:coreProperties>
</file>