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activeTab="6"/>
  </bookViews>
  <sheets>
    <sheet name="TOMEK" sheetId="6" r:id="rId1"/>
    <sheet name="RCKIK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" sheetId="88" r:id="rId9"/>
    <sheet name="I" sheetId="89" r:id="rId10"/>
    <sheet name="II" sheetId="90" r:id="rId11"/>
    <sheet name="III" sheetId="91" r:id="rId12"/>
    <sheet name="IV" sheetId="92" r:id="rId13"/>
    <sheet name="V" sheetId="93" r:id="rId14"/>
    <sheet name="VI" sheetId="94" r:id="rId15"/>
    <sheet name="VII" sheetId="95" r:id="rId16"/>
    <sheet name="VIII" sheetId="96" r:id="rId17"/>
    <sheet name="IX" sheetId="97" r:id="rId18"/>
    <sheet name="X" sheetId="98" r:id="rId19"/>
    <sheet name="XI" sheetId="99" r:id="rId20"/>
    <sheet name="XII" sheetId="100" r:id="rId21"/>
    <sheet name="1" sheetId="3" r:id="rId22"/>
    <sheet name="0" sheetId="103" r:id="rId23"/>
    <sheet name="regulamin" sheetId="101" r:id="rId24"/>
  </sheets>
  <definedNames>
    <definedName name="_xlnm.Database">#REF!</definedName>
    <definedName name="OLE_LINK3" localSheetId="23">regulamin!$A$16</definedName>
  </definedNames>
  <calcPr calcId="145621"/>
</workbook>
</file>

<file path=xl/calcChain.xml><?xml version="1.0" encoding="utf-8"?>
<calcChain xmlns="http://schemas.openxmlformats.org/spreadsheetml/2006/main">
  <c r="I11" i="102" l="1"/>
  <c r="I4" i="2"/>
  <c r="I61" i="88" l="1"/>
  <c r="I60" i="88"/>
  <c r="H6" i="4"/>
  <c r="X18" i="88" l="1"/>
  <c r="X17" i="88"/>
  <c r="X16" i="88"/>
  <c r="X15" i="88"/>
  <c r="X14" i="88"/>
  <c r="Y18" i="88"/>
  <c r="Y17" i="88"/>
  <c r="Y14" i="88"/>
  <c r="V18" i="88"/>
  <c r="V17" i="88"/>
  <c r="V16" i="88"/>
  <c r="V15" i="88"/>
  <c r="V14" i="88"/>
  <c r="W18" i="88"/>
  <c r="W17" i="88"/>
  <c r="W14" i="88"/>
  <c r="T18" i="88"/>
  <c r="T17" i="88"/>
  <c r="T16" i="88"/>
  <c r="T15" i="88"/>
  <c r="T14" i="88"/>
  <c r="U18" i="88"/>
  <c r="U17" i="88"/>
  <c r="U14" i="88"/>
  <c r="J23" i="88"/>
  <c r="I23" i="88"/>
  <c r="H23" i="88"/>
  <c r="H4" i="6" l="1"/>
  <c r="H5" i="6"/>
  <c r="G4" i="6"/>
  <c r="F10" i="8" l="1"/>
  <c r="D10" i="8"/>
  <c r="C10" i="8"/>
  <c r="B10" i="8"/>
  <c r="F4" i="6" l="1"/>
  <c r="T4" i="8"/>
  <c r="T5" i="8"/>
  <c r="T6" i="8"/>
  <c r="T7" i="8"/>
  <c r="S7" i="8"/>
  <c r="S6" i="8"/>
  <c r="S5" i="8"/>
  <c r="S4" i="8"/>
  <c r="D4" i="4" l="1"/>
  <c r="G23" i="88" l="1"/>
  <c r="F23" i="88"/>
  <c r="E23" i="88"/>
  <c r="Q34" i="88"/>
  <c r="I52" i="88" l="1"/>
  <c r="D6" i="4"/>
  <c r="I53" i="88"/>
  <c r="I51" i="88"/>
  <c r="J35" i="5" l="1"/>
  <c r="F35" i="5"/>
  <c r="N35" i="4"/>
  <c r="J35" i="4"/>
  <c r="F35" i="4"/>
  <c r="N35" i="2"/>
  <c r="J35" i="2"/>
  <c r="F35" i="2"/>
  <c r="N35" i="6"/>
  <c r="J35" i="6"/>
  <c r="F35" i="6"/>
  <c r="H20" i="5" l="1"/>
  <c r="G20" i="5"/>
  <c r="F20" i="5"/>
  <c r="H20" i="4"/>
  <c r="G20" i="4"/>
  <c r="F20" i="4"/>
  <c r="H20" i="2"/>
  <c r="G20" i="2"/>
  <c r="F20" i="2"/>
  <c r="P17" i="5" l="1"/>
  <c r="O17" i="5"/>
  <c r="N17" i="5"/>
  <c r="L17" i="5"/>
  <c r="K17" i="5"/>
  <c r="J17" i="5"/>
  <c r="H19" i="5"/>
  <c r="G19" i="5"/>
  <c r="F19" i="5"/>
  <c r="P17" i="4"/>
  <c r="O17" i="4"/>
  <c r="N17" i="4"/>
  <c r="L17" i="4"/>
  <c r="K17" i="4"/>
  <c r="J17" i="4"/>
  <c r="P17" i="2"/>
  <c r="O17" i="2"/>
  <c r="N17" i="2"/>
  <c r="L17" i="2"/>
  <c r="K17" i="2"/>
  <c r="J17" i="2"/>
  <c r="H19" i="4"/>
  <c r="G19" i="4"/>
  <c r="F19" i="4"/>
  <c r="H19" i="2"/>
  <c r="G19" i="2"/>
  <c r="F19" i="2"/>
  <c r="B35" i="5"/>
  <c r="N33" i="5"/>
  <c r="N34" i="5" s="1"/>
  <c r="N36" i="5" s="1"/>
  <c r="J33" i="5"/>
  <c r="J34" i="5" s="1"/>
  <c r="J36" i="5" s="1"/>
  <c r="N32" i="5"/>
  <c r="J32" i="5"/>
  <c r="F32" i="5"/>
  <c r="B32" i="5"/>
  <c r="B30" i="5"/>
  <c r="P28" i="5"/>
  <c r="P30" i="5" s="1"/>
  <c r="O28" i="5"/>
  <c r="O30" i="5" s="1"/>
  <c r="N28" i="5"/>
  <c r="N30" i="5" s="1"/>
  <c r="G28" i="5"/>
  <c r="G30" i="5" s="1"/>
  <c r="F28" i="5"/>
  <c r="F30" i="5" s="1"/>
  <c r="D28" i="5"/>
  <c r="D30" i="5" s="1"/>
  <c r="C28" i="5"/>
  <c r="C30" i="5" s="1"/>
  <c r="B28" i="5"/>
  <c r="D24" i="5"/>
  <c r="C24" i="5"/>
  <c r="B24" i="5"/>
  <c r="P22" i="5"/>
  <c r="O22" i="5"/>
  <c r="N22" i="5"/>
  <c r="L22" i="5"/>
  <c r="L23" i="5" s="1"/>
  <c r="L25" i="5" s="1"/>
  <c r="K22" i="5"/>
  <c r="K23" i="5" s="1"/>
  <c r="K25" i="5" s="1"/>
  <c r="J22" i="5"/>
  <c r="J23" i="5" s="1"/>
  <c r="J25" i="5" s="1"/>
  <c r="C22" i="5"/>
  <c r="B22" i="5"/>
  <c r="B23" i="5" s="1"/>
  <c r="B25" i="5" s="1"/>
  <c r="B26" i="5" s="1"/>
  <c r="B31" i="5" s="1"/>
  <c r="P21" i="5"/>
  <c r="P23" i="5" s="1"/>
  <c r="P25" i="5" s="1"/>
  <c r="O21" i="5"/>
  <c r="O23" i="5" s="1"/>
  <c r="O25" i="5" s="1"/>
  <c r="N21" i="5"/>
  <c r="N23" i="5" s="1"/>
  <c r="N25" i="5" s="1"/>
  <c r="L21" i="5"/>
  <c r="K21" i="5"/>
  <c r="J21" i="5"/>
  <c r="H21" i="5"/>
  <c r="G21" i="5"/>
  <c r="F21" i="5"/>
  <c r="D21" i="5"/>
  <c r="C21" i="5"/>
  <c r="C23" i="5" s="1"/>
  <c r="C25" i="5" s="1"/>
  <c r="C26" i="5" s="1"/>
  <c r="C31" i="5" s="1"/>
  <c r="B21" i="5"/>
  <c r="H24" i="5"/>
  <c r="G24" i="5"/>
  <c r="F24" i="5"/>
  <c r="P18" i="5"/>
  <c r="O18" i="5"/>
  <c r="N18" i="5"/>
  <c r="L18" i="5"/>
  <c r="L28" i="5" s="1"/>
  <c r="L30" i="5" s="1"/>
  <c r="K18" i="5"/>
  <c r="K28" i="5" s="1"/>
  <c r="K30" i="5" s="1"/>
  <c r="J18" i="5"/>
  <c r="J28" i="5" s="1"/>
  <c r="J30" i="5" s="1"/>
  <c r="H18" i="5"/>
  <c r="H28" i="5" s="1"/>
  <c r="H30" i="5" s="1"/>
  <c r="G18" i="5"/>
  <c r="F18" i="5"/>
  <c r="B35" i="4"/>
  <c r="N33" i="4"/>
  <c r="N34" i="4" s="1"/>
  <c r="N36" i="4" s="1"/>
  <c r="J33" i="4"/>
  <c r="N32" i="4"/>
  <c r="F32" i="4"/>
  <c r="H30" i="4"/>
  <c r="O28" i="4"/>
  <c r="O30" i="4" s="1"/>
  <c r="N28" i="4"/>
  <c r="N30" i="4" s="1"/>
  <c r="L28" i="4"/>
  <c r="L30" i="4" s="1"/>
  <c r="H28" i="4"/>
  <c r="D28" i="4"/>
  <c r="D30" i="4" s="1"/>
  <c r="C28" i="4"/>
  <c r="C30" i="4" s="1"/>
  <c r="B28" i="4"/>
  <c r="B30" i="4" s="1"/>
  <c r="D24" i="4"/>
  <c r="C24" i="4"/>
  <c r="B24" i="4"/>
  <c r="P22" i="4"/>
  <c r="O22" i="4"/>
  <c r="N22" i="4"/>
  <c r="L22" i="4"/>
  <c r="K22" i="4"/>
  <c r="J22" i="4"/>
  <c r="C22" i="4"/>
  <c r="B22" i="4"/>
  <c r="P21" i="4"/>
  <c r="P23" i="4" s="1"/>
  <c r="P25" i="4" s="1"/>
  <c r="O21" i="4"/>
  <c r="O23" i="4" s="1"/>
  <c r="O25" i="4" s="1"/>
  <c r="N21" i="4"/>
  <c r="N23" i="4" s="1"/>
  <c r="N25" i="4" s="1"/>
  <c r="H21" i="4"/>
  <c r="G21" i="4"/>
  <c r="F21" i="4"/>
  <c r="C21" i="4"/>
  <c r="C23" i="4" s="1"/>
  <c r="C25" i="4" s="1"/>
  <c r="C26" i="4" s="1"/>
  <c r="B21" i="4"/>
  <c r="B23" i="4" s="1"/>
  <c r="B25" i="4" s="1"/>
  <c r="B26" i="4" s="1"/>
  <c r="B31" i="4" s="1"/>
  <c r="G24" i="4"/>
  <c r="F24" i="4"/>
  <c r="P18" i="4"/>
  <c r="P28" i="4" s="1"/>
  <c r="P30" i="4" s="1"/>
  <c r="O18" i="4"/>
  <c r="N18" i="4"/>
  <c r="L18" i="4"/>
  <c r="K18" i="4"/>
  <c r="K28" i="4" s="1"/>
  <c r="K30" i="4" s="1"/>
  <c r="J18" i="4"/>
  <c r="J28" i="4" s="1"/>
  <c r="J30" i="4" s="1"/>
  <c r="H18" i="4"/>
  <c r="G18" i="4"/>
  <c r="G28" i="4" s="1"/>
  <c r="G30" i="4" s="1"/>
  <c r="F18" i="4"/>
  <c r="F28" i="4" s="1"/>
  <c r="F30" i="4" s="1"/>
  <c r="B35" i="2"/>
  <c r="N33" i="2"/>
  <c r="J33" i="2"/>
  <c r="F32" i="2"/>
  <c r="B32" i="2"/>
  <c r="J30" i="2"/>
  <c r="H30" i="2"/>
  <c r="O28" i="2"/>
  <c r="O30" i="2" s="1"/>
  <c r="N28" i="2"/>
  <c r="N30" i="2" s="1"/>
  <c r="J28" i="2"/>
  <c r="H28" i="2"/>
  <c r="D28" i="2"/>
  <c r="D30" i="2" s="1"/>
  <c r="C28" i="2"/>
  <c r="C30" i="2" s="1"/>
  <c r="B28" i="2"/>
  <c r="B30" i="2" s="1"/>
  <c r="D24" i="2"/>
  <c r="C24" i="2"/>
  <c r="B24" i="2"/>
  <c r="P22" i="2"/>
  <c r="O22" i="2"/>
  <c r="N22" i="2"/>
  <c r="L22" i="2"/>
  <c r="K22" i="2"/>
  <c r="J22" i="2"/>
  <c r="C22" i="2"/>
  <c r="B22" i="2"/>
  <c r="B23" i="2" s="1"/>
  <c r="B25" i="2" s="1"/>
  <c r="B26" i="2" s="1"/>
  <c r="H21" i="2"/>
  <c r="G21" i="2"/>
  <c r="F21" i="2"/>
  <c r="D21" i="2"/>
  <c r="C21" i="2"/>
  <c r="C23" i="2" s="1"/>
  <c r="C25" i="2" s="1"/>
  <c r="C26" i="2" s="1"/>
  <c r="C31" i="2" s="1"/>
  <c r="B21" i="2"/>
  <c r="G24" i="2"/>
  <c r="F24" i="2"/>
  <c r="P18" i="2"/>
  <c r="P28" i="2" s="1"/>
  <c r="P30" i="2" s="1"/>
  <c r="O18" i="2"/>
  <c r="N18" i="2"/>
  <c r="L18" i="2"/>
  <c r="L28" i="2" s="1"/>
  <c r="L30" i="2" s="1"/>
  <c r="K18" i="2"/>
  <c r="K28" i="2" s="1"/>
  <c r="K30" i="2" s="1"/>
  <c r="J18" i="2"/>
  <c r="H18" i="2"/>
  <c r="G18" i="2"/>
  <c r="G28" i="2" s="1"/>
  <c r="G30" i="2" s="1"/>
  <c r="F18" i="2"/>
  <c r="F28" i="2" s="1"/>
  <c r="F30" i="2" s="1"/>
  <c r="H19" i="6"/>
  <c r="G19" i="6"/>
  <c r="F19" i="6"/>
  <c r="B17" i="2"/>
  <c r="C17" i="2"/>
  <c r="D17" i="2"/>
  <c r="J37" i="5" l="1"/>
  <c r="N37" i="4"/>
  <c r="C31" i="4"/>
  <c r="H24" i="4"/>
  <c r="B31" i="2"/>
  <c r="H24" i="2"/>
  <c r="P18" i="6"/>
  <c r="P28" i="6" s="1"/>
  <c r="P30" i="6" s="1"/>
  <c r="O18" i="6"/>
  <c r="O28" i="6" s="1"/>
  <c r="O30" i="6" s="1"/>
  <c r="N18" i="6"/>
  <c r="N28" i="6" s="1"/>
  <c r="N30" i="6" s="1"/>
  <c r="L18" i="6"/>
  <c r="L28" i="6" s="1"/>
  <c r="L30" i="6" s="1"/>
  <c r="K18" i="6"/>
  <c r="K28" i="6" s="1"/>
  <c r="K30" i="6" s="1"/>
  <c r="J18" i="6"/>
  <c r="J28" i="6" s="1"/>
  <c r="J30" i="6" s="1"/>
  <c r="P17" i="6"/>
  <c r="O17" i="6"/>
  <c r="N17" i="6"/>
  <c r="L17" i="6"/>
  <c r="K17" i="6"/>
  <c r="J17" i="6"/>
  <c r="O64" i="88"/>
  <c r="N63" i="88"/>
  <c r="N62" i="88"/>
  <c r="N61" i="88"/>
  <c r="N59" i="88"/>
  <c r="O55" i="88"/>
  <c r="N54" i="88"/>
  <c r="N53" i="88"/>
  <c r="N52" i="88"/>
  <c r="N50" i="88"/>
  <c r="H17" i="5" l="1"/>
  <c r="G17" i="5"/>
  <c r="F17" i="5"/>
  <c r="H17" i="4" l="1"/>
  <c r="G17" i="4"/>
  <c r="F17" i="4"/>
  <c r="H17" i="2"/>
  <c r="G17" i="2"/>
  <c r="F17" i="2"/>
  <c r="H24" i="6"/>
  <c r="H20" i="6"/>
  <c r="G20" i="6"/>
  <c r="G24" i="6" s="1"/>
  <c r="F20" i="6"/>
  <c r="F24" i="6" s="1"/>
  <c r="G18" i="6"/>
  <c r="G28" i="6" s="1"/>
  <c r="G30" i="6" s="1"/>
  <c r="H17" i="6"/>
  <c r="G17" i="6"/>
  <c r="F17" i="6"/>
  <c r="D17" i="5"/>
  <c r="C17" i="5"/>
  <c r="B17" i="5"/>
  <c r="D17" i="4"/>
  <c r="C17" i="4"/>
  <c r="B17" i="4"/>
  <c r="D17" i="6"/>
  <c r="C17" i="6"/>
  <c r="B17" i="6"/>
  <c r="N44" i="88"/>
  <c r="M44" i="88"/>
  <c r="N43" i="88"/>
  <c r="M43" i="88"/>
  <c r="N42" i="88"/>
  <c r="M42" i="88"/>
  <c r="M41" i="88"/>
  <c r="N40" i="88"/>
  <c r="F18" i="6" s="1"/>
  <c r="F28" i="6" s="1"/>
  <c r="F30" i="6" s="1"/>
  <c r="M40" i="88"/>
  <c r="N35" i="88"/>
  <c r="N34" i="88"/>
  <c r="N33" i="88"/>
  <c r="N31" i="88"/>
  <c r="Q31" i="88"/>
  <c r="B28" i="6" l="1"/>
  <c r="B24" i="6"/>
  <c r="C28" i="6"/>
  <c r="C24" i="6"/>
  <c r="B35" i="6"/>
  <c r="D28" i="6"/>
  <c r="D30" i="6" s="1"/>
  <c r="D24" i="6"/>
  <c r="H18" i="6"/>
  <c r="H28" i="6" s="1"/>
  <c r="H30" i="6" s="1"/>
  <c r="O45" i="88"/>
  <c r="D4" i="2"/>
  <c r="B4" i="2"/>
  <c r="I63" i="88" l="1"/>
  <c r="I54" i="88"/>
  <c r="I44" i="88"/>
  <c r="I62" i="88"/>
  <c r="I43" i="88"/>
  <c r="I42" i="88"/>
  <c r="I41" i="88"/>
  <c r="I59" i="88" l="1"/>
  <c r="I50" i="88"/>
  <c r="I40" i="88"/>
  <c r="D23" i="88" l="1"/>
  <c r="C23" i="88"/>
  <c r="B23" i="88"/>
  <c r="P19" i="102" l="1"/>
  <c r="O19" i="102"/>
  <c r="N19" i="102"/>
  <c r="L19" i="102"/>
  <c r="K19" i="102"/>
  <c r="J19" i="102"/>
  <c r="H19" i="102"/>
  <c r="G19" i="102"/>
  <c r="F19" i="102"/>
  <c r="Q16" i="70"/>
  <c r="Q19" i="102" s="1"/>
  <c r="M16" i="70"/>
  <c r="M19" i="102" s="1"/>
  <c r="I16" i="70"/>
  <c r="I19" i="102" s="1"/>
  <c r="Q3" i="70"/>
  <c r="R3" i="70" s="1"/>
  <c r="R3" i="102" s="1"/>
  <c r="M3" i="70"/>
  <c r="I3" i="70"/>
  <c r="E19" i="102"/>
  <c r="E3" i="70"/>
  <c r="E16" i="70"/>
  <c r="D19" i="102"/>
  <c r="C19" i="102"/>
  <c r="B19" i="102"/>
  <c r="B20" i="102" s="1"/>
  <c r="D4" i="5"/>
  <c r="B4" i="5"/>
  <c r="C20" i="102" l="1"/>
  <c r="D20" i="102" s="1"/>
  <c r="F20" i="102"/>
  <c r="G20" i="102" s="1"/>
  <c r="H20" i="102" s="1"/>
  <c r="J20" i="102" s="1"/>
  <c r="K20" i="102" s="1"/>
  <c r="L20" i="102" s="1"/>
  <c r="N20" i="102" s="1"/>
  <c r="O20" i="102" s="1"/>
  <c r="P20" i="102" s="1"/>
  <c r="I20" i="102"/>
  <c r="L6" i="4" l="1"/>
  <c r="L6" i="5" l="1"/>
  <c r="K6" i="5" l="1"/>
  <c r="F6" i="5" l="1"/>
  <c r="C6" i="5" l="1"/>
  <c r="C6" i="2" l="1"/>
  <c r="C6" i="4" l="1"/>
  <c r="B6" i="5" l="1"/>
  <c r="B6" i="6"/>
  <c r="R16" i="70" l="1"/>
  <c r="O6" i="5" l="1"/>
  <c r="M56" i="2" l="1"/>
  <c r="M55" i="2"/>
  <c r="M54" i="2"/>
  <c r="M52" i="2"/>
  <c r="M51" i="2"/>
  <c r="M50" i="2"/>
  <c r="M49" i="2"/>
  <c r="M48" i="2"/>
  <c r="M46" i="2"/>
  <c r="M45" i="2"/>
  <c r="M40" i="2"/>
  <c r="M56" i="6" l="1"/>
  <c r="M55" i="6"/>
  <c r="M54" i="6"/>
  <c r="M52" i="6"/>
  <c r="M51" i="6"/>
  <c r="M50" i="6"/>
  <c r="M49" i="6"/>
  <c r="M48" i="6"/>
  <c r="M46" i="6"/>
  <c r="M45" i="6"/>
  <c r="M40" i="6"/>
  <c r="M56" i="4"/>
  <c r="M55" i="4"/>
  <c r="M54" i="4"/>
  <c r="M52" i="4"/>
  <c r="M51" i="4"/>
  <c r="M50" i="4"/>
  <c r="M49" i="4"/>
  <c r="M48" i="4"/>
  <c r="M46" i="4"/>
  <c r="M45" i="4"/>
  <c r="M40" i="4"/>
  <c r="M56" i="5"/>
  <c r="M55" i="5"/>
  <c r="M54" i="5"/>
  <c r="M52" i="5"/>
  <c r="M51" i="5"/>
  <c r="M50" i="5"/>
  <c r="M49" i="5"/>
  <c r="M48" i="5"/>
  <c r="M46" i="5"/>
  <c r="M45" i="5"/>
  <c r="M40" i="5"/>
  <c r="I56" i="4" l="1"/>
  <c r="I55" i="4"/>
  <c r="I54" i="4"/>
  <c r="I52" i="4"/>
  <c r="I51" i="4"/>
  <c r="I50" i="4"/>
  <c r="I49" i="4"/>
  <c r="I48" i="4"/>
  <c r="I46" i="4"/>
  <c r="I45" i="4"/>
  <c r="I40" i="4"/>
  <c r="I56" i="5" l="1"/>
  <c r="I55" i="5"/>
  <c r="I54" i="5"/>
  <c r="I52" i="5"/>
  <c r="I51" i="5"/>
  <c r="I50" i="5"/>
  <c r="I49" i="5"/>
  <c r="I48" i="5"/>
  <c r="I46" i="5"/>
  <c r="I45" i="5"/>
  <c r="I40" i="5"/>
  <c r="I56" i="2"/>
  <c r="I55" i="2"/>
  <c r="I54" i="2"/>
  <c r="I52" i="2"/>
  <c r="I51" i="2"/>
  <c r="I50" i="2"/>
  <c r="I49" i="2"/>
  <c r="I48" i="2"/>
  <c r="I46" i="2"/>
  <c r="I45" i="2"/>
  <c r="I40" i="2"/>
  <c r="I56" i="6"/>
  <c r="I55" i="6"/>
  <c r="I54" i="6"/>
  <c r="I52" i="6"/>
  <c r="I51" i="6"/>
  <c r="I50" i="6"/>
  <c r="I49" i="6"/>
  <c r="I48" i="6"/>
  <c r="I46" i="6"/>
  <c r="I45" i="6"/>
  <c r="I40" i="6"/>
  <c r="G6" i="5" l="1"/>
  <c r="B3" i="102" l="1"/>
  <c r="F6" i="4" l="1"/>
  <c r="E56" i="5" l="1"/>
  <c r="E55" i="5"/>
  <c r="E54" i="5"/>
  <c r="E52" i="5"/>
  <c r="E51" i="5"/>
  <c r="E50" i="5"/>
  <c r="E49" i="5"/>
  <c r="E48" i="5"/>
  <c r="E46" i="5"/>
  <c r="E45" i="5"/>
  <c r="E40" i="5"/>
  <c r="E56" i="4"/>
  <c r="E55" i="4"/>
  <c r="E54" i="4"/>
  <c r="E52" i="4"/>
  <c r="E51" i="4"/>
  <c r="E50" i="4"/>
  <c r="E49" i="4"/>
  <c r="E48" i="4"/>
  <c r="E46" i="4"/>
  <c r="E45" i="4"/>
  <c r="E40" i="4"/>
  <c r="E56" i="2"/>
  <c r="E55" i="2"/>
  <c r="E54" i="2"/>
  <c r="E52" i="2"/>
  <c r="E51" i="2"/>
  <c r="E50" i="2"/>
  <c r="E49" i="2"/>
  <c r="E48" i="2"/>
  <c r="E46" i="2"/>
  <c r="E45" i="2"/>
  <c r="E40" i="2"/>
  <c r="E56" i="6"/>
  <c r="E55" i="6"/>
  <c r="E54" i="6"/>
  <c r="E52" i="6"/>
  <c r="E51" i="6"/>
  <c r="E50" i="6"/>
  <c r="E49" i="6"/>
  <c r="E48" i="6"/>
  <c r="E46" i="6"/>
  <c r="E45" i="6"/>
  <c r="E40" i="6"/>
  <c r="D6" i="1" l="1"/>
  <c r="N32" i="1" l="1"/>
  <c r="J32" i="1"/>
  <c r="F32" i="1"/>
  <c r="B32" i="1"/>
  <c r="D6" i="2" l="1"/>
  <c r="P58" i="70" l="1"/>
  <c r="O58" i="70"/>
  <c r="N58" i="70"/>
  <c r="P57" i="70"/>
  <c r="O57" i="70"/>
  <c r="N57" i="70"/>
  <c r="P56" i="70"/>
  <c r="O56" i="70"/>
  <c r="N56" i="70"/>
  <c r="P55" i="70"/>
  <c r="O55" i="70"/>
  <c r="N55" i="70"/>
  <c r="P54" i="70"/>
  <c r="O54" i="70"/>
  <c r="N54" i="70"/>
  <c r="P53" i="70"/>
  <c r="O53" i="70"/>
  <c r="N53" i="70"/>
  <c r="P52" i="70"/>
  <c r="O52" i="70"/>
  <c r="N52" i="70"/>
  <c r="P51" i="70"/>
  <c r="O51" i="70"/>
  <c r="N51" i="70"/>
  <c r="P50" i="70"/>
  <c r="O50" i="70"/>
  <c r="N50" i="70"/>
  <c r="P49" i="70"/>
  <c r="O49" i="70"/>
  <c r="N49" i="70"/>
  <c r="P48" i="70"/>
  <c r="O48" i="70"/>
  <c r="N48" i="70"/>
  <c r="P47" i="70"/>
  <c r="O47" i="70"/>
  <c r="N47" i="70"/>
  <c r="P46" i="70"/>
  <c r="O46" i="70"/>
  <c r="N46" i="70"/>
  <c r="P45" i="70"/>
  <c r="O45" i="70"/>
  <c r="N45" i="70"/>
  <c r="P44" i="70"/>
  <c r="O44" i="70"/>
  <c r="N44" i="70"/>
  <c r="P43" i="70"/>
  <c r="O43" i="70"/>
  <c r="N43" i="70"/>
  <c r="P42" i="70"/>
  <c r="O42" i="70"/>
  <c r="N42" i="70"/>
  <c r="P41" i="70"/>
  <c r="O41" i="70"/>
  <c r="N41" i="70"/>
  <c r="L58" i="70"/>
  <c r="K58" i="70"/>
  <c r="J58" i="70"/>
  <c r="L57" i="70"/>
  <c r="K57" i="70"/>
  <c r="J57" i="70"/>
  <c r="L56" i="70"/>
  <c r="K56" i="70"/>
  <c r="J56" i="70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L42" i="70"/>
  <c r="K42" i="70"/>
  <c r="J42" i="70"/>
  <c r="L41" i="70"/>
  <c r="K41" i="70"/>
  <c r="J41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C58" i="70"/>
  <c r="C57" i="70"/>
  <c r="C56" i="70"/>
  <c r="C55" i="70"/>
  <c r="C54" i="70"/>
  <c r="C53" i="70"/>
  <c r="C52" i="70"/>
  <c r="C51" i="70"/>
  <c r="C50" i="70"/>
  <c r="C49" i="70"/>
  <c r="C48" i="70"/>
  <c r="C47" i="70"/>
  <c r="C46" i="70"/>
  <c r="C45" i="70"/>
  <c r="C44" i="70"/>
  <c r="C43" i="70"/>
  <c r="C42" i="70"/>
  <c r="C41" i="70"/>
  <c r="B58" i="70"/>
  <c r="B57" i="70"/>
  <c r="B56" i="70"/>
  <c r="B55" i="70"/>
  <c r="B54" i="70"/>
  <c r="B53" i="70"/>
  <c r="B52" i="70"/>
  <c r="B51" i="70"/>
  <c r="B50" i="70"/>
  <c r="B49" i="70"/>
  <c r="B48" i="70"/>
  <c r="B47" i="70"/>
  <c r="B46" i="70"/>
  <c r="B45" i="70"/>
  <c r="B44" i="70"/>
  <c r="B43" i="70"/>
  <c r="B42" i="70"/>
  <c r="B41" i="70"/>
  <c r="E55" i="70" l="1"/>
  <c r="E47" i="70"/>
  <c r="Q46" i="70"/>
  <c r="Q41" i="70"/>
  <c r="Q47" i="70"/>
  <c r="Q56" i="70"/>
  <c r="Q57" i="70"/>
  <c r="Q55" i="70"/>
  <c r="M56" i="70"/>
  <c r="M57" i="70"/>
  <c r="M55" i="70"/>
  <c r="M47" i="70"/>
  <c r="M46" i="70"/>
  <c r="M41" i="70"/>
  <c r="I57" i="70"/>
  <c r="I41" i="70"/>
  <c r="I47" i="70"/>
  <c r="I56" i="70"/>
  <c r="I46" i="70"/>
  <c r="I55" i="70"/>
  <c r="E46" i="70"/>
  <c r="E49" i="70" s="1"/>
  <c r="E50" i="70" s="1"/>
  <c r="E41" i="70"/>
  <c r="E56" i="70"/>
  <c r="E57" i="70"/>
  <c r="M49" i="70" l="1"/>
  <c r="M50" i="70" s="1"/>
  <c r="Q49" i="70"/>
  <c r="R55" i="70"/>
  <c r="R47" i="70"/>
  <c r="R41" i="70"/>
  <c r="I49" i="70"/>
  <c r="I50" i="70" s="1"/>
  <c r="R57" i="70"/>
  <c r="R46" i="70"/>
  <c r="R56" i="70"/>
  <c r="E51" i="70"/>
  <c r="E52" i="70" s="1"/>
  <c r="Q50" i="70"/>
  <c r="B6" i="2"/>
  <c r="M51" i="70" l="1"/>
  <c r="M52" i="70" s="1"/>
  <c r="M53" i="70" s="1"/>
  <c r="I51" i="70"/>
  <c r="I52" i="70" s="1"/>
  <c r="R50" i="70"/>
  <c r="R49" i="70"/>
  <c r="S56" i="70"/>
  <c r="S57" i="70"/>
  <c r="Q51" i="70"/>
  <c r="Q52" i="70" s="1"/>
  <c r="E53" i="70"/>
  <c r="I53" i="70" l="1"/>
  <c r="R51" i="70"/>
  <c r="Q53" i="70"/>
  <c r="R52" i="70"/>
  <c r="T19" i="102"/>
  <c r="R53" i="70" l="1"/>
  <c r="I64" i="88"/>
  <c r="G63" i="88"/>
  <c r="E63" i="88"/>
  <c r="C63" i="88"/>
  <c r="G62" i="88"/>
  <c r="E62" i="88"/>
  <c r="C62" i="88"/>
  <c r="G61" i="88"/>
  <c r="Y16" i="88" s="1"/>
  <c r="E61" i="88"/>
  <c r="W16" i="88" s="1"/>
  <c r="C61" i="88"/>
  <c r="U16" i="88" s="1"/>
  <c r="G60" i="88"/>
  <c r="Y15" i="88" s="1"/>
  <c r="E60" i="88"/>
  <c r="W15" i="88" s="1"/>
  <c r="C60" i="88"/>
  <c r="U15" i="88" s="1"/>
  <c r="G59" i="88"/>
  <c r="E59" i="88"/>
  <c r="C59" i="88"/>
  <c r="I55" i="88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O36" i="88" l="1"/>
  <c r="P35" i="88" s="1"/>
  <c r="J44" i="88"/>
  <c r="J43" i="88"/>
  <c r="J42" i="88"/>
  <c r="J41" i="88"/>
  <c r="J40" i="88"/>
  <c r="I36" i="88"/>
  <c r="J34" i="88" s="1"/>
  <c r="J33" i="88" l="1"/>
  <c r="J32" i="88"/>
  <c r="J31" i="88"/>
  <c r="J35" i="88"/>
  <c r="P34" i="88"/>
  <c r="P32" i="88"/>
  <c r="P33" i="88"/>
  <c r="P31" i="88"/>
  <c r="N7" i="88" l="1"/>
  <c r="P4" i="5" s="1"/>
  <c r="N6" i="88"/>
  <c r="P4" i="4" s="1"/>
  <c r="N5" i="88"/>
  <c r="P4" i="2" s="1"/>
  <c r="N4" i="88"/>
  <c r="N3" i="88"/>
  <c r="P4" i="6" s="1"/>
  <c r="M4" i="88"/>
  <c r="M5" i="88"/>
  <c r="O4" i="2" s="1"/>
  <c r="M6" i="88"/>
  <c r="O4" i="4" s="1"/>
  <c r="M7" i="88"/>
  <c r="O4" i="5" s="1"/>
  <c r="M3" i="88"/>
  <c r="O4" i="6" s="1"/>
  <c r="L4" i="88"/>
  <c r="L5" i="88"/>
  <c r="N4" i="2" s="1"/>
  <c r="L6" i="88"/>
  <c r="L7" i="88"/>
  <c r="N4" i="5" s="1"/>
  <c r="L3" i="88"/>
  <c r="K4" i="88"/>
  <c r="K5" i="88"/>
  <c r="L4" i="2" s="1"/>
  <c r="K6" i="88"/>
  <c r="L4" i="4" s="1"/>
  <c r="K7" i="88"/>
  <c r="L4" i="5" s="1"/>
  <c r="K3" i="88"/>
  <c r="L4" i="6" s="1"/>
  <c r="J4" i="88"/>
  <c r="J5" i="88"/>
  <c r="K4" i="2" s="1"/>
  <c r="J6" i="88"/>
  <c r="K4" i="4" s="1"/>
  <c r="J7" i="88"/>
  <c r="K4" i="5" s="1"/>
  <c r="J3" i="88"/>
  <c r="K4" i="6" s="1"/>
  <c r="I4" i="88"/>
  <c r="I5" i="88"/>
  <c r="J4" i="2" s="1"/>
  <c r="I6" i="88"/>
  <c r="J4" i="4" s="1"/>
  <c r="I7" i="88"/>
  <c r="I3" i="88"/>
  <c r="F6" i="1"/>
  <c r="J54" i="88" l="1"/>
  <c r="L19" i="5" l="1"/>
  <c r="J19" i="5"/>
  <c r="K19" i="5"/>
  <c r="M54" i="88"/>
  <c r="J63" i="88"/>
  <c r="J61" i="88"/>
  <c r="J60" i="88"/>
  <c r="M60" i="88" s="1"/>
  <c r="J59" i="88"/>
  <c r="J62" i="88"/>
  <c r="J53" i="88"/>
  <c r="J50" i="88"/>
  <c r="J52" i="88"/>
  <c r="J51" i="88"/>
  <c r="M51" i="88" s="1"/>
  <c r="C3" i="102"/>
  <c r="D3" i="102"/>
  <c r="E3" i="102"/>
  <c r="F3" i="102"/>
  <c r="G3" i="102"/>
  <c r="B4" i="102"/>
  <c r="P19" i="2" l="1"/>
  <c r="N19" i="2"/>
  <c r="O19" i="2"/>
  <c r="M61" i="88"/>
  <c r="O19" i="6"/>
  <c r="N19" i="6"/>
  <c r="P19" i="6"/>
  <c r="M59" i="88"/>
  <c r="P19" i="5"/>
  <c r="O19" i="5"/>
  <c r="N19" i="5"/>
  <c r="M63" i="88"/>
  <c r="N19" i="4"/>
  <c r="P19" i="4"/>
  <c r="O19" i="4"/>
  <c r="M62" i="88"/>
  <c r="C4" i="102"/>
  <c r="L20" i="5"/>
  <c r="L24" i="5" s="1"/>
  <c r="L26" i="5" s="1"/>
  <c r="L31" i="5" s="1"/>
  <c r="J20" i="5"/>
  <c r="J24" i="5" s="1"/>
  <c r="J26" i="5" s="1"/>
  <c r="J31" i="5" s="1"/>
  <c r="K20" i="5"/>
  <c r="K24" i="5" s="1"/>
  <c r="K26" i="5" s="1"/>
  <c r="K31" i="5" s="1"/>
  <c r="K19" i="2"/>
  <c r="J19" i="2"/>
  <c r="L19" i="2"/>
  <c r="M52" i="88"/>
  <c r="J19" i="6"/>
  <c r="L19" i="6"/>
  <c r="K19" i="6"/>
  <c r="M50" i="88"/>
  <c r="J19" i="4"/>
  <c r="L19" i="4"/>
  <c r="K19" i="4"/>
  <c r="M53" i="88"/>
  <c r="D4" i="102"/>
  <c r="F4" i="102" s="1"/>
  <c r="G4" i="102" s="1"/>
  <c r="N20" i="4" l="1"/>
  <c r="N24" i="4" s="1"/>
  <c r="N26" i="4" s="1"/>
  <c r="N31" i="4" s="1"/>
  <c r="P20" i="4"/>
  <c r="P24" i="4" s="1"/>
  <c r="P26" i="4" s="1"/>
  <c r="P31" i="4" s="1"/>
  <c r="O20" i="4"/>
  <c r="O24" i="4" s="1"/>
  <c r="O26" i="4" s="1"/>
  <c r="O31" i="4" s="1"/>
  <c r="O20" i="6"/>
  <c r="O24" i="6" s="1"/>
  <c r="P20" i="6"/>
  <c r="P24" i="6" s="1"/>
  <c r="N20" i="6"/>
  <c r="N24" i="6" s="1"/>
  <c r="P20" i="5"/>
  <c r="O20" i="5"/>
  <c r="O24" i="5" s="1"/>
  <c r="O26" i="5" s="1"/>
  <c r="O31" i="5" s="1"/>
  <c r="N20" i="5"/>
  <c r="N24" i="5" s="1"/>
  <c r="N26" i="5" s="1"/>
  <c r="N31" i="5" s="1"/>
  <c r="O20" i="2"/>
  <c r="O24" i="2" s="1"/>
  <c r="P20" i="2"/>
  <c r="P24" i="2" s="1"/>
  <c r="N20" i="2"/>
  <c r="N24" i="2" s="1"/>
  <c r="L20" i="4"/>
  <c r="L24" i="4" s="1"/>
  <c r="K20" i="4"/>
  <c r="K24" i="4" s="1"/>
  <c r="J20" i="4"/>
  <c r="J24" i="4" s="1"/>
  <c r="K20" i="2"/>
  <c r="K24" i="2" s="1"/>
  <c r="L20" i="2"/>
  <c r="L24" i="2" s="1"/>
  <c r="J20" i="2"/>
  <c r="J24" i="2" s="1"/>
  <c r="K20" i="6"/>
  <c r="K24" i="6" s="1"/>
  <c r="J20" i="6"/>
  <c r="J24" i="6" s="1"/>
  <c r="L20" i="6"/>
  <c r="L24" i="6" s="1"/>
  <c r="C14" i="88"/>
  <c r="N4" i="4"/>
  <c r="N35" i="5" l="1"/>
  <c r="N37" i="5" s="1"/>
  <c r="P24" i="5"/>
  <c r="P26" i="5" s="1"/>
  <c r="P31" i="5" s="1"/>
  <c r="P6" i="2"/>
  <c r="Y10" i="70" l="1"/>
  <c r="O6" i="4" l="1"/>
  <c r="K6" i="2" l="1"/>
  <c r="H6" i="2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C30" i="6" l="1"/>
  <c r="B30" i="6"/>
  <c r="L16" i="88" l="1"/>
  <c r="G11" i="5" l="1"/>
  <c r="Q3" i="102" l="1"/>
  <c r="P3" i="102"/>
  <c r="O3" i="102"/>
  <c r="N3" i="102"/>
  <c r="M3" i="102"/>
  <c r="L3" i="102"/>
  <c r="K3" i="102"/>
  <c r="J3" i="102"/>
  <c r="I3" i="102"/>
  <c r="H3" i="102"/>
  <c r="T3" i="102" l="1"/>
  <c r="I4" i="102"/>
  <c r="Q4" i="102"/>
  <c r="G13" i="103" l="1"/>
  <c r="L6" i="103"/>
  <c r="G6" i="103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56" i="5"/>
  <c r="Q55" i="5"/>
  <c r="Q54" i="5"/>
  <c r="Q52" i="5"/>
  <c r="Q51" i="5"/>
  <c r="Q50" i="5"/>
  <c r="Q49" i="5"/>
  <c r="Q48" i="5"/>
  <c r="Q46" i="5"/>
  <c r="Q45" i="5"/>
  <c r="Q40" i="5"/>
  <c r="Q56" i="4"/>
  <c r="Q55" i="4"/>
  <c r="Q54" i="4"/>
  <c r="Q52" i="4"/>
  <c r="Q51" i="4"/>
  <c r="Q50" i="4"/>
  <c r="Q49" i="4"/>
  <c r="Q48" i="4"/>
  <c r="Q46" i="4"/>
  <c r="Q45" i="4"/>
  <c r="Q40" i="4"/>
  <c r="Q56" i="2"/>
  <c r="Q55" i="2"/>
  <c r="Q54" i="2"/>
  <c r="Q52" i="2"/>
  <c r="Q51" i="2"/>
  <c r="Q50" i="2"/>
  <c r="Q49" i="2"/>
  <c r="Q48" i="2"/>
  <c r="Q46" i="2"/>
  <c r="Q45" i="2"/>
  <c r="Q40" i="2"/>
  <c r="M64" i="3"/>
  <c r="M63" i="3"/>
  <c r="M62" i="3"/>
  <c r="M60" i="3"/>
  <c r="M59" i="3"/>
  <c r="M58" i="3"/>
  <c r="M57" i="3"/>
  <c r="M56" i="3"/>
  <c r="M54" i="3"/>
  <c r="M53" i="3"/>
  <c r="M48" i="3"/>
  <c r="Q56" i="6"/>
  <c r="Q55" i="6"/>
  <c r="Q54" i="6"/>
  <c r="Q52" i="6"/>
  <c r="Q51" i="6"/>
  <c r="Q50" i="6"/>
  <c r="Q49" i="6"/>
  <c r="Q48" i="6"/>
  <c r="Q46" i="6"/>
  <c r="Q45" i="6"/>
  <c r="Q40" i="6"/>
  <c r="R56" i="103" l="1"/>
  <c r="R60" i="103"/>
  <c r="R54" i="4"/>
  <c r="R56" i="4"/>
  <c r="R55" i="4"/>
  <c r="R60" i="3"/>
  <c r="R54" i="6"/>
  <c r="R40" i="6"/>
  <c r="R49" i="6"/>
  <c r="R56" i="6"/>
  <c r="R46" i="6"/>
  <c r="R51" i="6"/>
  <c r="R48" i="4"/>
  <c r="R52" i="4"/>
  <c r="R40" i="4"/>
  <c r="R45" i="4"/>
  <c r="R46" i="4"/>
  <c r="R49" i="4"/>
  <c r="R50" i="4"/>
  <c r="R51" i="4"/>
  <c r="R48" i="5"/>
  <c r="R52" i="5"/>
  <c r="R40" i="5"/>
  <c r="R45" i="5"/>
  <c r="R46" i="5"/>
  <c r="R49" i="5"/>
  <c r="R50" i="5"/>
  <c r="R51" i="5"/>
  <c r="R54" i="5"/>
  <c r="R55" i="5"/>
  <c r="R56" i="5"/>
  <c r="R62" i="103"/>
  <c r="R63" i="103"/>
  <c r="R64" i="103"/>
  <c r="R54" i="103"/>
  <c r="R59" i="103"/>
  <c r="R48" i="103"/>
  <c r="R53" i="103"/>
  <c r="R57" i="103"/>
  <c r="R58" i="103"/>
  <c r="R48" i="2"/>
  <c r="R52" i="2"/>
  <c r="R40" i="2"/>
  <c r="R45" i="2"/>
  <c r="R46" i="2"/>
  <c r="R49" i="2"/>
  <c r="R50" i="2"/>
  <c r="R51" i="2"/>
  <c r="R54" i="2"/>
  <c r="R55" i="2"/>
  <c r="R56" i="2"/>
  <c r="R48" i="3"/>
  <c r="R53" i="3"/>
  <c r="R54" i="3"/>
  <c r="R57" i="3"/>
  <c r="R58" i="3"/>
  <c r="R59" i="3"/>
  <c r="R56" i="3"/>
  <c r="R62" i="3"/>
  <c r="R63" i="3"/>
  <c r="R64" i="3"/>
  <c r="R45" i="6"/>
  <c r="R50" i="6"/>
  <c r="R55" i="6"/>
  <c r="R48" i="6"/>
  <c r="R52" i="6"/>
  <c r="D11" i="3" l="1"/>
  <c r="C11" i="3"/>
  <c r="B11" i="3"/>
  <c r="H17" i="88" l="1"/>
  <c r="I17" i="88"/>
  <c r="F6" i="88" s="1"/>
  <c r="F4" i="4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L14" i="88"/>
  <c r="K14" i="88"/>
  <c r="G3" i="88" s="1"/>
  <c r="J14" i="88"/>
  <c r="I14" i="88"/>
  <c r="F3" i="88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J4" i="3" l="1"/>
  <c r="K4" i="3"/>
  <c r="L4" i="3"/>
  <c r="F5" i="88"/>
  <c r="F4" i="2" s="1"/>
  <c r="G5" i="88"/>
  <c r="G4" i="2" s="1"/>
  <c r="H5" i="88"/>
  <c r="H4" i="2" s="1"/>
  <c r="G6" i="88"/>
  <c r="G4" i="4" s="1"/>
  <c r="H6" i="88"/>
  <c r="H4" i="4" s="1"/>
  <c r="F7" i="88"/>
  <c r="F4" i="5" s="1"/>
  <c r="G7" i="88"/>
  <c r="G4" i="5" s="1"/>
  <c r="H7" i="88"/>
  <c r="H4" i="5" s="1"/>
  <c r="H4" i="102" l="1"/>
  <c r="J4" i="102" l="1"/>
  <c r="K4" i="102" s="1"/>
  <c r="L4" i="102" s="1"/>
  <c r="N4" i="102" s="1"/>
  <c r="O4" i="102" s="1"/>
  <c r="P4" i="102" s="1"/>
  <c r="O6" i="2" l="1"/>
  <c r="N11" i="1"/>
  <c r="L11" i="103"/>
  <c r="J6" i="6"/>
  <c r="J6" i="1"/>
  <c r="F6" i="3"/>
  <c r="J6" i="2"/>
  <c r="J7" i="2" s="1"/>
  <c r="J6" i="4"/>
  <c r="J6" i="5"/>
  <c r="J11" i="5"/>
  <c r="J11" i="4"/>
  <c r="J11" i="2"/>
  <c r="J12" i="2" s="1"/>
  <c r="J11" i="6"/>
  <c r="J11" i="1"/>
  <c r="F13" i="3"/>
  <c r="F7" i="1"/>
  <c r="C6" i="1"/>
  <c r="B6" i="1"/>
  <c r="K11" i="103"/>
  <c r="K4" i="1"/>
  <c r="L4" i="1"/>
  <c r="J4" i="5"/>
  <c r="J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O11" i="3"/>
  <c r="P11" i="3"/>
  <c r="C4" i="88"/>
  <c r="B4" i="1" s="1"/>
  <c r="D4" i="88"/>
  <c r="C4" i="1" s="1"/>
  <c r="E4" i="88"/>
  <c r="D4" i="1" s="1"/>
  <c r="N4" i="3"/>
  <c r="O4" i="3"/>
  <c r="C5" i="88"/>
  <c r="B5" i="2" s="1"/>
  <c r="D5" i="88"/>
  <c r="C4" i="2" s="1"/>
  <c r="E5" i="88"/>
  <c r="C6" i="88"/>
  <c r="B4" i="4" s="1"/>
  <c r="D6" i="88"/>
  <c r="C4" i="4" s="1"/>
  <c r="E6" i="88"/>
  <c r="C7" i="88"/>
  <c r="D7" i="88"/>
  <c r="C4" i="5" s="1"/>
  <c r="E7" i="88"/>
  <c r="D3" i="88"/>
  <c r="C4" i="6" s="1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H6" i="5"/>
  <c r="B7" i="5"/>
  <c r="P6" i="4"/>
  <c r="K6" i="4"/>
  <c r="G6" i="4"/>
  <c r="F7" i="4"/>
  <c r="F22" i="4" s="1"/>
  <c r="F23" i="4" s="1"/>
  <c r="F25" i="4" s="1"/>
  <c r="F26" i="4" s="1"/>
  <c r="F31" i="4" s="1"/>
  <c r="B6" i="4"/>
  <c r="D6" i="3"/>
  <c r="C6" i="3"/>
  <c r="H6" i="3"/>
  <c r="G6" i="3"/>
  <c r="L6" i="3"/>
  <c r="K6" i="3"/>
  <c r="J6" i="3"/>
  <c r="P6" i="3"/>
  <c r="O6" i="3"/>
  <c r="N6" i="3"/>
  <c r="P6" i="1"/>
  <c r="O6" i="1"/>
  <c r="N6" i="1"/>
  <c r="L6" i="1"/>
  <c r="K6" i="1"/>
  <c r="P6" i="6"/>
  <c r="O6" i="6"/>
  <c r="L6" i="6"/>
  <c r="K6" i="6"/>
  <c r="H6" i="6"/>
  <c r="G6" i="6"/>
  <c r="F7" i="6"/>
  <c r="F22" i="6" s="1"/>
  <c r="C6" i="6"/>
  <c r="L6" i="2"/>
  <c r="G6" i="2"/>
  <c r="F6" i="2"/>
  <c r="F7" i="2" s="1"/>
  <c r="F22" i="2" s="1"/>
  <c r="F23" i="2" s="1"/>
  <c r="F25" i="2" s="1"/>
  <c r="F26" i="2" s="1"/>
  <c r="F31" i="2" s="1"/>
  <c r="D13" i="2"/>
  <c r="N6" i="4"/>
  <c r="N7" i="4" s="1"/>
  <c r="N11" i="5"/>
  <c r="N6" i="5"/>
  <c r="N7" i="5" s="1"/>
  <c r="B6" i="3"/>
  <c r="N6" i="2"/>
  <c r="N13" i="2" s="1"/>
  <c r="N11" i="6"/>
  <c r="N6" i="6"/>
  <c r="B13" i="3"/>
  <c r="C5" i="2" l="1"/>
  <c r="N12" i="1"/>
  <c r="O12" i="1" s="1"/>
  <c r="P12" i="1" s="1"/>
  <c r="Q11" i="1"/>
  <c r="M6" i="4"/>
  <c r="K53" i="88" s="1"/>
  <c r="I11" i="1"/>
  <c r="E6" i="4"/>
  <c r="K34" i="88" s="1"/>
  <c r="Q6" i="1"/>
  <c r="K60" i="88" s="1"/>
  <c r="I6" i="1"/>
  <c r="J12" i="1"/>
  <c r="K12" i="1" s="1"/>
  <c r="L12" i="1" s="1"/>
  <c r="M11" i="1"/>
  <c r="J7" i="1"/>
  <c r="K7" i="1" s="1"/>
  <c r="M6" i="1"/>
  <c r="K51" i="88" s="1"/>
  <c r="P8" i="70"/>
  <c r="P8" i="102" s="1"/>
  <c r="P21" i="70"/>
  <c r="J12" i="6"/>
  <c r="K12" i="6" s="1"/>
  <c r="J21" i="70"/>
  <c r="J24" i="102" s="1"/>
  <c r="J8" i="70"/>
  <c r="J8" i="102" s="1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K21" i="70"/>
  <c r="K24" i="102" s="1"/>
  <c r="K8" i="70"/>
  <c r="K8" i="102" s="1"/>
  <c r="G21" i="70"/>
  <c r="G24" i="102" s="1"/>
  <c r="B7" i="4"/>
  <c r="B12" i="2"/>
  <c r="E11" i="2"/>
  <c r="B7" i="1"/>
  <c r="C7" i="1" s="1"/>
  <c r="D7" i="1" s="1"/>
  <c r="B30" i="1" s="1"/>
  <c r="R6" i="1"/>
  <c r="P4" i="88" s="1"/>
  <c r="M11" i="3"/>
  <c r="K8" i="5"/>
  <c r="J7" i="5"/>
  <c r="E6" i="6"/>
  <c r="H13" i="4"/>
  <c r="B8" i="70"/>
  <c r="B8" i="102" s="1"/>
  <c r="K13" i="1"/>
  <c r="K13" i="2"/>
  <c r="N13" i="1"/>
  <c r="H13" i="5"/>
  <c r="J8" i="3"/>
  <c r="G13" i="2"/>
  <c r="H13" i="2"/>
  <c r="O8" i="70"/>
  <c r="O8" i="102" s="1"/>
  <c r="N21" i="70"/>
  <c r="N24" i="102" s="1"/>
  <c r="L21" i="70"/>
  <c r="L24" i="102" s="1"/>
  <c r="D21" i="70"/>
  <c r="D24" i="102" s="1"/>
  <c r="C8" i="70"/>
  <c r="C8" i="102" s="1"/>
  <c r="H8" i="70"/>
  <c r="H8" i="102" s="1"/>
  <c r="D8" i="70"/>
  <c r="D8" i="102" s="1"/>
  <c r="C21" i="70"/>
  <c r="C24" i="102" s="1"/>
  <c r="H21" i="70"/>
  <c r="H24" i="102" s="1"/>
  <c r="F8" i="70"/>
  <c r="F8" i="102" s="1"/>
  <c r="L8" i="70"/>
  <c r="L8" i="102" s="1"/>
  <c r="O21" i="70"/>
  <c r="F14" i="3"/>
  <c r="F30" i="3" s="1"/>
  <c r="F7" i="3"/>
  <c r="F24" i="3" s="1"/>
  <c r="B7" i="3"/>
  <c r="B24" i="3" s="1"/>
  <c r="N8" i="70"/>
  <c r="N8" i="102" s="1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21" i="2" s="1"/>
  <c r="J23" i="2" s="1"/>
  <c r="J25" i="2" s="1"/>
  <c r="J26" i="2" s="1"/>
  <c r="J31" i="2" s="1"/>
  <c r="J5" i="4"/>
  <c r="J21" i="4" s="1"/>
  <c r="J23" i="4" s="1"/>
  <c r="J25" i="4" s="1"/>
  <c r="J26" i="4" s="1"/>
  <c r="J31" i="4" s="1"/>
  <c r="J5" i="6"/>
  <c r="J21" i="6" s="1"/>
  <c r="J5" i="5"/>
  <c r="J4" i="1"/>
  <c r="I4" i="1"/>
  <c r="M11" i="103"/>
  <c r="L15" i="103"/>
  <c r="G18" i="3"/>
  <c r="N7" i="6"/>
  <c r="N22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Q6" i="5"/>
  <c r="K63" i="88" s="1"/>
  <c r="M11" i="5"/>
  <c r="O13" i="2"/>
  <c r="H18" i="3"/>
  <c r="J7" i="3"/>
  <c r="J24" i="3" s="1"/>
  <c r="Q6" i="6"/>
  <c r="K59" i="88" s="1"/>
  <c r="M11" i="6"/>
  <c r="I6" i="4"/>
  <c r="O13" i="4"/>
  <c r="D8" i="88"/>
  <c r="N5" i="3"/>
  <c r="O5" i="3" s="1"/>
  <c r="B5" i="5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E6" i="5"/>
  <c r="G13" i="5"/>
  <c r="P13" i="5"/>
  <c r="F7" i="5"/>
  <c r="F22" i="5" s="1"/>
  <c r="F23" i="5" s="1"/>
  <c r="F25" i="5" s="1"/>
  <c r="F26" i="5" s="1"/>
  <c r="F31" i="5" s="1"/>
  <c r="F13" i="5"/>
  <c r="K13" i="5"/>
  <c r="H8" i="5"/>
  <c r="D13" i="5"/>
  <c r="C13" i="5"/>
  <c r="G7" i="4"/>
  <c r="G22" i="4" s="1"/>
  <c r="G23" i="4" s="1"/>
  <c r="G25" i="4" s="1"/>
  <c r="G26" i="4" s="1"/>
  <c r="G31" i="4" s="1"/>
  <c r="D13" i="4"/>
  <c r="K13" i="4"/>
  <c r="L8" i="4"/>
  <c r="H8" i="4"/>
  <c r="F13" i="2"/>
  <c r="B7" i="2"/>
  <c r="G7" i="2"/>
  <c r="G22" i="2" s="1"/>
  <c r="G23" i="2" s="1"/>
  <c r="G25" i="2" s="1"/>
  <c r="G26" i="2" s="1"/>
  <c r="G31" i="2" s="1"/>
  <c r="M11" i="2"/>
  <c r="J14" i="2"/>
  <c r="I6" i="2"/>
  <c r="M6" i="2"/>
  <c r="K52" i="88" s="1"/>
  <c r="D8" i="2"/>
  <c r="J13" i="2"/>
  <c r="E11" i="4"/>
  <c r="Q13" i="3"/>
  <c r="E13" i="3"/>
  <c r="F13" i="4"/>
  <c r="N7" i="3"/>
  <c r="N24" i="3" s="1"/>
  <c r="E6" i="1"/>
  <c r="O13" i="1"/>
  <c r="O7" i="5"/>
  <c r="N13" i="4"/>
  <c r="D8" i="4"/>
  <c r="C8" i="2"/>
  <c r="J7" i="4"/>
  <c r="H8" i="88"/>
  <c r="L8" i="6"/>
  <c r="K8" i="88"/>
  <c r="O12" i="2"/>
  <c r="Q11" i="2"/>
  <c r="N7" i="2"/>
  <c r="N12" i="5"/>
  <c r="Q11" i="5"/>
  <c r="Q6" i="3"/>
  <c r="H13" i="1"/>
  <c r="K18" i="3"/>
  <c r="E4" i="6"/>
  <c r="C8" i="88"/>
  <c r="O7" i="4"/>
  <c r="Q6" i="4"/>
  <c r="K62" i="88" s="1"/>
  <c r="E6" i="3"/>
  <c r="D13" i="6"/>
  <c r="Q6" i="2"/>
  <c r="K61" i="88" s="1"/>
  <c r="C12" i="6"/>
  <c r="L13" i="2"/>
  <c r="M6" i="5"/>
  <c r="K54" i="88" s="1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J13" i="1"/>
  <c r="K8" i="1"/>
  <c r="N12" i="6"/>
  <c r="B7" i="6"/>
  <c r="B13" i="6"/>
  <c r="G7" i="6"/>
  <c r="I6" i="6"/>
  <c r="F12" i="6"/>
  <c r="O13" i="6"/>
  <c r="I11" i="6"/>
  <c r="H13" i="6"/>
  <c r="N13" i="6"/>
  <c r="Q11" i="6"/>
  <c r="L13" i="6"/>
  <c r="J7" i="6"/>
  <c r="J22" i="6" s="1"/>
  <c r="J23" i="6" s="1"/>
  <c r="J25" i="6" s="1"/>
  <c r="J26" i="6" s="1"/>
  <c r="J31" i="6" s="1"/>
  <c r="M6" i="6"/>
  <c r="K50" i="88" s="1"/>
  <c r="C8" i="6"/>
  <c r="G8" i="6"/>
  <c r="J23" i="3"/>
  <c r="F5" i="5"/>
  <c r="F8" i="5"/>
  <c r="I4" i="6"/>
  <c r="B5" i="1"/>
  <c r="C5" i="1" s="1"/>
  <c r="B8" i="1"/>
  <c r="K5" i="3"/>
  <c r="L5" i="3" s="1"/>
  <c r="M4" i="3"/>
  <c r="F8" i="6"/>
  <c r="I4" i="5"/>
  <c r="F5" i="6"/>
  <c r="F21" i="6" s="1"/>
  <c r="F23" i="6" s="1"/>
  <c r="F25" i="6" s="1"/>
  <c r="F26" i="6" s="1"/>
  <c r="F31" i="6" s="1"/>
  <c r="F5" i="4"/>
  <c r="I4" i="4"/>
  <c r="B12" i="3"/>
  <c r="B29" i="3" s="1"/>
  <c r="B15" i="3"/>
  <c r="D8" i="6"/>
  <c r="E4" i="4"/>
  <c r="B8" i="4"/>
  <c r="B5" i="4"/>
  <c r="L8" i="5"/>
  <c r="D8" i="1"/>
  <c r="K8" i="2"/>
  <c r="K8" i="6"/>
  <c r="F5" i="1"/>
  <c r="G5" i="1" s="1"/>
  <c r="H5" i="1" s="1"/>
  <c r="F29" i="1" s="1"/>
  <c r="F8" i="1"/>
  <c r="E4" i="1"/>
  <c r="G8" i="2"/>
  <c r="J12" i="3"/>
  <c r="J29" i="3" s="1"/>
  <c r="K8" i="4"/>
  <c r="F8" i="2"/>
  <c r="F5" i="2"/>
  <c r="K41" i="88" l="1"/>
  <c r="I7" i="1"/>
  <c r="K42" i="88"/>
  <c r="I7" i="2"/>
  <c r="K40" i="88"/>
  <c r="I7" i="6"/>
  <c r="K43" i="88"/>
  <c r="K45" i="88" s="1"/>
  <c r="L41" i="88" s="1"/>
  <c r="I7" i="4"/>
  <c r="K44" i="88"/>
  <c r="I7" i="5"/>
  <c r="H7" i="6"/>
  <c r="H22" i="6" s="1"/>
  <c r="G22" i="6"/>
  <c r="I8" i="102"/>
  <c r="I5" i="102" s="1"/>
  <c r="Q8" i="102"/>
  <c r="R8" i="102"/>
  <c r="M8" i="102"/>
  <c r="C13" i="102"/>
  <c r="C13" i="70"/>
  <c r="C22" i="88"/>
  <c r="B13" i="102"/>
  <c r="B13" i="70"/>
  <c r="B14" i="70" s="1"/>
  <c r="B22" i="88"/>
  <c r="D13" i="102"/>
  <c r="D13" i="70"/>
  <c r="D22" i="88"/>
  <c r="M7" i="4"/>
  <c r="N14" i="1"/>
  <c r="K13" i="102"/>
  <c r="K13" i="70"/>
  <c r="I22" i="88"/>
  <c r="J13" i="102"/>
  <c r="J13" i="70"/>
  <c r="H22" i="88"/>
  <c r="L13" i="102"/>
  <c r="L13" i="70"/>
  <c r="J22" i="88"/>
  <c r="F13" i="102"/>
  <c r="F14" i="102" s="1"/>
  <c r="F13" i="70"/>
  <c r="F14" i="70" s="1"/>
  <c r="E22" i="88"/>
  <c r="G13" i="102"/>
  <c r="G13" i="70"/>
  <c r="F22" i="88"/>
  <c r="H13" i="102"/>
  <c r="H13" i="70"/>
  <c r="G22" i="88"/>
  <c r="B25" i="102"/>
  <c r="B33" i="102"/>
  <c r="M7" i="6"/>
  <c r="K31" i="88"/>
  <c r="M7" i="5"/>
  <c r="K35" i="88"/>
  <c r="K32" i="88"/>
  <c r="M7" i="1"/>
  <c r="M7" i="2"/>
  <c r="K33" i="88"/>
  <c r="K64" i="88"/>
  <c r="L59" i="88" s="1"/>
  <c r="K55" i="88"/>
  <c r="L53" i="88" s="1"/>
  <c r="J14" i="1"/>
  <c r="J8" i="1"/>
  <c r="M4" i="1"/>
  <c r="E24" i="102"/>
  <c r="E25" i="102" s="1"/>
  <c r="D33" i="102"/>
  <c r="B9" i="102"/>
  <c r="G33" i="102"/>
  <c r="F33" i="102"/>
  <c r="Y12" i="70"/>
  <c r="Z13" i="70" s="1"/>
  <c r="E8" i="70"/>
  <c r="C12" i="5"/>
  <c r="D12" i="5" s="1"/>
  <c r="F14" i="4"/>
  <c r="R6" i="6"/>
  <c r="P3" i="88" s="1"/>
  <c r="N15" i="3"/>
  <c r="P27" i="70"/>
  <c r="Q8" i="70"/>
  <c r="Q5" i="70" s="1"/>
  <c r="I8" i="70"/>
  <c r="R8" i="70"/>
  <c r="G5" i="2"/>
  <c r="G5" i="4"/>
  <c r="K5" i="5"/>
  <c r="H12" i="4"/>
  <c r="K12" i="4"/>
  <c r="O12" i="4"/>
  <c r="M8" i="70"/>
  <c r="I21" i="70"/>
  <c r="C7" i="4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J14" i="5"/>
  <c r="K7" i="5"/>
  <c r="H7" i="2"/>
  <c r="F14" i="5"/>
  <c r="H12" i="5"/>
  <c r="G12" i="2"/>
  <c r="R6" i="2"/>
  <c r="P5" i="88" s="1"/>
  <c r="E4" i="2"/>
  <c r="B8" i="2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27" i="70"/>
  <c r="J8" i="4"/>
  <c r="K16" i="103"/>
  <c r="K17" i="103"/>
  <c r="K29" i="103"/>
  <c r="K31" i="103" s="1"/>
  <c r="K33" i="103" s="1"/>
  <c r="K34" i="103" s="1"/>
  <c r="K39" i="103" s="1"/>
  <c r="K5" i="6"/>
  <c r="J9" i="6"/>
  <c r="J8" i="6"/>
  <c r="M4" i="4"/>
  <c r="N12" i="3"/>
  <c r="O7" i="6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21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F14" i="2"/>
  <c r="C7" i="2"/>
  <c r="J19" i="3"/>
  <c r="K7" i="3"/>
  <c r="K24" i="3" s="1"/>
  <c r="J9" i="3"/>
  <c r="J10" i="3"/>
  <c r="P24" i="102"/>
  <c r="O24" i="102"/>
  <c r="K27" i="70"/>
  <c r="N23" i="3"/>
  <c r="N25" i="3" s="1"/>
  <c r="N27" i="3" s="1"/>
  <c r="N28" i="3" s="1"/>
  <c r="O23" i="3"/>
  <c r="N8" i="3"/>
  <c r="B9" i="5"/>
  <c r="B10" i="5"/>
  <c r="C5" i="5"/>
  <c r="B8" i="5"/>
  <c r="B8" i="6"/>
  <c r="N10" i="3"/>
  <c r="N9" i="3"/>
  <c r="N19" i="3"/>
  <c r="B9" i="2"/>
  <c r="B22" i="70"/>
  <c r="B14" i="1"/>
  <c r="B9" i="70"/>
  <c r="R11" i="4"/>
  <c r="R11" i="2"/>
  <c r="K14" i="2"/>
  <c r="D14" i="1"/>
  <c r="R11" i="5"/>
  <c r="C14" i="1"/>
  <c r="R6" i="3"/>
  <c r="G7" i="5"/>
  <c r="G22" i="5" s="1"/>
  <c r="G23" i="5" s="1"/>
  <c r="G25" i="5" s="1"/>
  <c r="G26" i="5" s="1"/>
  <c r="G31" i="5" s="1"/>
  <c r="O12" i="5"/>
  <c r="D7" i="5"/>
  <c r="H7" i="4"/>
  <c r="M21" i="70"/>
  <c r="G14" i="4"/>
  <c r="B10" i="2"/>
  <c r="B14" i="2"/>
  <c r="N27" i="70"/>
  <c r="R13" i="3"/>
  <c r="M4" i="6"/>
  <c r="F27" i="70"/>
  <c r="O27" i="70"/>
  <c r="R6" i="5"/>
  <c r="P7" i="88" s="1"/>
  <c r="D12" i="6"/>
  <c r="P7" i="4"/>
  <c r="O7" i="2"/>
  <c r="J14" i="4"/>
  <c r="N14" i="4"/>
  <c r="P7" i="5"/>
  <c r="R6" i="4"/>
  <c r="P6" i="88" s="1"/>
  <c r="P12" i="2"/>
  <c r="R11" i="6"/>
  <c r="D27" i="70"/>
  <c r="O7" i="1"/>
  <c r="B19" i="3"/>
  <c r="N14" i="5"/>
  <c r="B27" i="70"/>
  <c r="C14" i="3"/>
  <c r="C30" i="3" s="1"/>
  <c r="L7" i="1"/>
  <c r="K14" i="1"/>
  <c r="G14" i="1"/>
  <c r="H7" i="1"/>
  <c r="K7" i="6"/>
  <c r="K22" i="6" s="1"/>
  <c r="J14" i="6"/>
  <c r="C27" i="70"/>
  <c r="F14" i="6"/>
  <c r="G12" i="6"/>
  <c r="G14" i="6" s="1"/>
  <c r="B22" i="6"/>
  <c r="B14" i="6"/>
  <c r="L27" i="70"/>
  <c r="G27" i="70"/>
  <c r="C7" i="6"/>
  <c r="R21" i="70"/>
  <c r="O12" i="6"/>
  <c r="N14" i="6"/>
  <c r="F10" i="5"/>
  <c r="G5" i="5"/>
  <c r="J40" i="3"/>
  <c r="B9" i="1"/>
  <c r="K23" i="3"/>
  <c r="J10" i="4"/>
  <c r="K5" i="4"/>
  <c r="K21" i="4" s="1"/>
  <c r="K23" i="4" s="1"/>
  <c r="K25" i="4" s="1"/>
  <c r="K26" i="4" s="1"/>
  <c r="K31" i="4" s="1"/>
  <c r="J9" i="4"/>
  <c r="H14" i="70"/>
  <c r="J10" i="5"/>
  <c r="J9" i="5"/>
  <c r="B10" i="1"/>
  <c r="F10" i="4"/>
  <c r="F9" i="4"/>
  <c r="F9" i="6"/>
  <c r="F10" i="6"/>
  <c r="G5" i="6"/>
  <c r="G21" i="6" s="1"/>
  <c r="J17" i="3"/>
  <c r="K12" i="3"/>
  <c r="K29" i="3" s="1"/>
  <c r="J16" i="3"/>
  <c r="B10" i="4"/>
  <c r="B9" i="4"/>
  <c r="C5" i="4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21" i="2" s="1"/>
  <c r="K23" i="2" s="1"/>
  <c r="K25" i="2" s="1"/>
  <c r="K26" i="2" s="1"/>
  <c r="K31" i="2" s="1"/>
  <c r="D5" i="1"/>
  <c r="B29" i="1" s="1"/>
  <c r="B31" i="1" s="1"/>
  <c r="B33" i="1" s="1"/>
  <c r="B34" i="1" s="1"/>
  <c r="D26" i="8" s="1"/>
  <c r="C9" i="1"/>
  <c r="C10" i="1"/>
  <c r="I8" i="4" l="1"/>
  <c r="I9" i="4"/>
  <c r="I9" i="6"/>
  <c r="I8" i="6"/>
  <c r="I8" i="2"/>
  <c r="I9" i="2"/>
  <c r="I8" i="5"/>
  <c r="I9" i="5"/>
  <c r="I8" i="1"/>
  <c r="I9" i="1"/>
  <c r="F33" i="4"/>
  <c r="F34" i="4" s="1"/>
  <c r="F36" i="4" s="1"/>
  <c r="F37" i="4" s="1"/>
  <c r="H22" i="4"/>
  <c r="H23" i="4" s="1"/>
  <c r="H25" i="4" s="1"/>
  <c r="H26" i="4" s="1"/>
  <c r="H31" i="4" s="1"/>
  <c r="H22" i="2"/>
  <c r="H23" i="2" s="1"/>
  <c r="H25" i="2" s="1"/>
  <c r="H26" i="2" s="1"/>
  <c r="H31" i="2" s="1"/>
  <c r="F33" i="2"/>
  <c r="F34" i="2" s="1"/>
  <c r="F36" i="2" s="1"/>
  <c r="F37" i="2" s="1"/>
  <c r="D22" i="5"/>
  <c r="D23" i="5" s="1"/>
  <c r="D25" i="5" s="1"/>
  <c r="D26" i="5" s="1"/>
  <c r="D31" i="5" s="1"/>
  <c r="B33" i="5"/>
  <c r="B34" i="5" s="1"/>
  <c r="B36" i="5" s="1"/>
  <c r="B37" i="5" s="1"/>
  <c r="G9" i="2"/>
  <c r="L5" i="6"/>
  <c r="L21" i="6" s="1"/>
  <c r="K21" i="6"/>
  <c r="K23" i="6" s="1"/>
  <c r="K25" i="6" s="1"/>
  <c r="K26" i="6" s="1"/>
  <c r="K31" i="6" s="1"/>
  <c r="F33" i="6"/>
  <c r="P7" i="6"/>
  <c r="O22" i="6"/>
  <c r="G23" i="6"/>
  <c r="G25" i="6" s="1"/>
  <c r="G26" i="6" s="1"/>
  <c r="G31" i="6" s="1"/>
  <c r="Q5" i="102"/>
  <c r="M5" i="102"/>
  <c r="G14" i="102"/>
  <c r="I13" i="102"/>
  <c r="E13" i="102"/>
  <c r="B14" i="102"/>
  <c r="B19" i="70"/>
  <c r="B6" i="70"/>
  <c r="E13" i="70"/>
  <c r="C19" i="70"/>
  <c r="C6" i="70"/>
  <c r="D19" i="70"/>
  <c r="D6" i="70"/>
  <c r="C14" i="5"/>
  <c r="L14" i="1"/>
  <c r="J30" i="1"/>
  <c r="M13" i="102"/>
  <c r="H14" i="1"/>
  <c r="F30" i="1"/>
  <c r="F31" i="1" s="1"/>
  <c r="F33" i="1" s="1"/>
  <c r="F34" i="1" s="1"/>
  <c r="H26" i="8" s="1"/>
  <c r="E21" i="102"/>
  <c r="M13" i="70"/>
  <c r="K19" i="70"/>
  <c r="K6" i="70"/>
  <c r="K6" i="102" s="1"/>
  <c r="K10" i="102" s="1"/>
  <c r="L19" i="70"/>
  <c r="L6" i="70"/>
  <c r="L6" i="102" s="1"/>
  <c r="J19" i="70"/>
  <c r="J6" i="70"/>
  <c r="J6" i="102" s="1"/>
  <c r="G19" i="70"/>
  <c r="G6" i="70"/>
  <c r="F6" i="70"/>
  <c r="I13" i="70"/>
  <c r="H19" i="70"/>
  <c r="H6" i="70"/>
  <c r="B34" i="102"/>
  <c r="B21" i="102"/>
  <c r="C25" i="102"/>
  <c r="D25" i="102" s="1"/>
  <c r="D14" i="102"/>
  <c r="C33" i="102"/>
  <c r="K36" i="88"/>
  <c r="L34" i="88" s="1"/>
  <c r="K9" i="6"/>
  <c r="L61" i="88"/>
  <c r="L62" i="88"/>
  <c r="L63" i="88"/>
  <c r="L60" i="88"/>
  <c r="L52" i="88"/>
  <c r="L50" i="88"/>
  <c r="L51" i="88"/>
  <c r="L54" i="88"/>
  <c r="P8" i="88"/>
  <c r="L44" i="88"/>
  <c r="L43" i="88"/>
  <c r="G10" i="2"/>
  <c r="L40" i="88"/>
  <c r="L42" i="88"/>
  <c r="E8" i="102"/>
  <c r="T8" i="102" s="1"/>
  <c r="B5" i="102"/>
  <c r="C9" i="102"/>
  <c r="C14" i="102"/>
  <c r="R5" i="70"/>
  <c r="T3" i="70"/>
  <c r="L5" i="5"/>
  <c r="D7" i="4"/>
  <c r="G9" i="4"/>
  <c r="G10" i="4"/>
  <c r="H5" i="4"/>
  <c r="C10" i="5"/>
  <c r="H5" i="2"/>
  <c r="L12" i="4"/>
  <c r="P12" i="4"/>
  <c r="I5" i="70"/>
  <c r="C14" i="4"/>
  <c r="F6" i="8"/>
  <c r="U6" i="8" s="1"/>
  <c r="V6" i="8" s="1"/>
  <c r="E5" i="70"/>
  <c r="M5" i="70"/>
  <c r="B18" i="70"/>
  <c r="G24" i="3"/>
  <c r="G19" i="3"/>
  <c r="K9" i="5"/>
  <c r="J7" i="8"/>
  <c r="F39" i="3"/>
  <c r="J8" i="8" s="1"/>
  <c r="H12" i="2"/>
  <c r="D12" i="2"/>
  <c r="C9" i="2"/>
  <c r="C10" i="2"/>
  <c r="C14" i="2"/>
  <c r="J5" i="8"/>
  <c r="G31" i="3"/>
  <c r="G33" i="3" s="1"/>
  <c r="G34" i="3" s="1"/>
  <c r="G6" i="8"/>
  <c r="F5" i="8"/>
  <c r="U5" i="8" s="1"/>
  <c r="V5" i="8" s="1"/>
  <c r="J39" i="3"/>
  <c r="F8" i="8" s="1"/>
  <c r="G14" i="2"/>
  <c r="B5" i="70"/>
  <c r="C9" i="70"/>
  <c r="B10" i="6"/>
  <c r="N16" i="3"/>
  <c r="N29" i="3"/>
  <c r="N31" i="3" s="1"/>
  <c r="N33" i="3" s="1"/>
  <c r="N34" i="3" s="1"/>
  <c r="N39" i="3" s="1"/>
  <c r="B8" i="8" s="1"/>
  <c r="J6" i="8"/>
  <c r="K14" i="4"/>
  <c r="F7" i="8"/>
  <c r="U7" i="8" s="1"/>
  <c r="V7" i="8" s="1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24" i="102"/>
  <c r="Q21" i="102" s="1"/>
  <c r="D5" i="2"/>
  <c r="K16" i="3"/>
  <c r="P14" i="3"/>
  <c r="P30" i="3" s="1"/>
  <c r="J10" i="1"/>
  <c r="M24" i="102"/>
  <c r="M21" i="102" s="1"/>
  <c r="G17" i="3"/>
  <c r="H14" i="3"/>
  <c r="H30" i="3" s="1"/>
  <c r="C19" i="3"/>
  <c r="H7" i="3"/>
  <c r="K5" i="1"/>
  <c r="K10" i="1" s="1"/>
  <c r="O19" i="3"/>
  <c r="H23" i="3"/>
  <c r="F40" i="3"/>
  <c r="J14" i="102"/>
  <c r="K14" i="102"/>
  <c r="H12" i="3"/>
  <c r="H29" i="3" s="1"/>
  <c r="G10" i="3"/>
  <c r="K10" i="6"/>
  <c r="N17" i="3"/>
  <c r="O12" i="3"/>
  <c r="O29" i="3" s="1"/>
  <c r="O31" i="3" s="1"/>
  <c r="O33" i="3" s="1"/>
  <c r="O34" i="3" s="1"/>
  <c r="D7" i="2"/>
  <c r="B9" i="6"/>
  <c r="R11" i="3"/>
  <c r="R12" i="3" s="1"/>
  <c r="G23" i="3"/>
  <c r="G16" i="3"/>
  <c r="C5" i="6"/>
  <c r="C21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L14" i="102"/>
  <c r="J33" i="102"/>
  <c r="O33" i="102"/>
  <c r="K33" i="102"/>
  <c r="I24" i="102"/>
  <c r="N33" i="102"/>
  <c r="H33" i="102"/>
  <c r="H14" i="102"/>
  <c r="L33" i="102"/>
  <c r="C14" i="70"/>
  <c r="C9" i="5"/>
  <c r="D5" i="5"/>
  <c r="B23" i="6"/>
  <c r="C22" i="70"/>
  <c r="R24" i="102"/>
  <c r="B28" i="70"/>
  <c r="H9" i="1"/>
  <c r="H14" i="4"/>
  <c r="H5" i="5"/>
  <c r="O10" i="3"/>
  <c r="D14" i="5"/>
  <c r="H7" i="5"/>
  <c r="G14" i="5"/>
  <c r="F4" i="8"/>
  <c r="U4" i="8" s="1"/>
  <c r="V4" i="8" s="1"/>
  <c r="O14" i="1"/>
  <c r="P7" i="1"/>
  <c r="P7" i="2"/>
  <c r="O14" i="2"/>
  <c r="D14" i="3"/>
  <c r="D30" i="3" s="1"/>
  <c r="H10" i="1"/>
  <c r="P12" i="6"/>
  <c r="O14" i="6"/>
  <c r="D7" i="6"/>
  <c r="C14" i="6"/>
  <c r="C22" i="6"/>
  <c r="K14" i="6"/>
  <c r="L7" i="6"/>
  <c r="H12" i="6"/>
  <c r="G10" i="5"/>
  <c r="G9" i="5"/>
  <c r="L23" i="3"/>
  <c r="G14" i="70"/>
  <c r="L5" i="4"/>
  <c r="K9" i="4"/>
  <c r="K10" i="4"/>
  <c r="G10" i="6"/>
  <c r="H21" i="6"/>
  <c r="H23" i="6" s="1"/>
  <c r="H25" i="6" s="1"/>
  <c r="H26" i="6" s="1"/>
  <c r="H31" i="6" s="1"/>
  <c r="G9" i="6"/>
  <c r="D12" i="3"/>
  <c r="D29" i="3" s="1"/>
  <c r="C17" i="3"/>
  <c r="C16" i="3"/>
  <c r="C9" i="4"/>
  <c r="C10" i="4"/>
  <c r="D5" i="4"/>
  <c r="K17" i="3"/>
  <c r="L12" i="3"/>
  <c r="L29" i="3" s="1"/>
  <c r="L5" i="2"/>
  <c r="K10" i="2"/>
  <c r="K9" i="2"/>
  <c r="D10" i="1"/>
  <c r="D9" i="1"/>
  <c r="I21" i="102" l="1"/>
  <c r="I25" i="102"/>
  <c r="R25" i="102"/>
  <c r="F33" i="5"/>
  <c r="F34" i="5" s="1"/>
  <c r="F36" i="5" s="1"/>
  <c r="F37" i="5" s="1"/>
  <c r="H22" i="5"/>
  <c r="H23" i="5" s="1"/>
  <c r="H25" i="5" s="1"/>
  <c r="H26" i="5" s="1"/>
  <c r="H31" i="5" s="1"/>
  <c r="L21" i="2"/>
  <c r="L23" i="2" s="1"/>
  <c r="L25" i="2" s="1"/>
  <c r="L26" i="2" s="1"/>
  <c r="L31" i="2" s="1"/>
  <c r="J32" i="2"/>
  <c r="J34" i="2" s="1"/>
  <c r="J36" i="2" s="1"/>
  <c r="J37" i="2" s="1"/>
  <c r="J32" i="4"/>
  <c r="J34" i="4" s="1"/>
  <c r="J36" i="4" s="1"/>
  <c r="J37" i="4" s="1"/>
  <c r="L21" i="4"/>
  <c r="L23" i="4" s="1"/>
  <c r="L25" i="4" s="1"/>
  <c r="L26" i="4" s="1"/>
  <c r="L31" i="4" s="1"/>
  <c r="B32" i="4"/>
  <c r="D21" i="4"/>
  <c r="D22" i="4"/>
  <c r="B33" i="4"/>
  <c r="D22" i="2"/>
  <c r="D23" i="2" s="1"/>
  <c r="D25" i="2" s="1"/>
  <c r="D26" i="2" s="1"/>
  <c r="D31" i="2" s="1"/>
  <c r="B33" i="2"/>
  <c r="B34" i="2" s="1"/>
  <c r="B36" i="2" s="1"/>
  <c r="B37" i="2" s="1"/>
  <c r="D14" i="4"/>
  <c r="H9" i="2"/>
  <c r="L9" i="6"/>
  <c r="L22" i="6"/>
  <c r="L23" i="6" s="1"/>
  <c r="L25" i="6" s="1"/>
  <c r="L26" i="6" s="1"/>
  <c r="L31" i="6" s="1"/>
  <c r="J32" i="6"/>
  <c r="N33" i="6"/>
  <c r="P22" i="6"/>
  <c r="M9" i="102"/>
  <c r="J10" i="102"/>
  <c r="M6" i="102"/>
  <c r="M7" i="102" s="1"/>
  <c r="L10" i="102"/>
  <c r="E9" i="102"/>
  <c r="I9" i="102"/>
  <c r="M11" i="102"/>
  <c r="D6" i="102"/>
  <c r="D10" i="102" s="1"/>
  <c r="D10" i="70"/>
  <c r="D22" i="102"/>
  <c r="D23" i="70"/>
  <c r="C6" i="102"/>
  <c r="C10" i="102" s="1"/>
  <c r="C10" i="70"/>
  <c r="C22" i="102"/>
  <c r="C23" i="70"/>
  <c r="B6" i="102"/>
  <c r="B7" i="70"/>
  <c r="E6" i="70"/>
  <c r="B10" i="70"/>
  <c r="B20" i="70"/>
  <c r="C20" i="70" s="1"/>
  <c r="C24" i="70" s="1"/>
  <c r="B22" i="102"/>
  <c r="B23" i="70"/>
  <c r="I14" i="102"/>
  <c r="P14" i="1"/>
  <c r="N30" i="1"/>
  <c r="L32" i="88"/>
  <c r="L31" i="88"/>
  <c r="M6" i="70"/>
  <c r="J10" i="70"/>
  <c r="J22" i="102"/>
  <c r="J23" i="70"/>
  <c r="L10" i="70"/>
  <c r="L22" i="102"/>
  <c r="L26" i="102" s="1"/>
  <c r="L23" i="70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L35" i="88"/>
  <c r="L33" i="88"/>
  <c r="C21" i="102"/>
  <c r="F15" i="8"/>
  <c r="E5" i="102"/>
  <c r="E14" i="102"/>
  <c r="M14" i="102"/>
  <c r="S4" i="88"/>
  <c r="S3" i="88"/>
  <c r="S6" i="88"/>
  <c r="S5" i="88"/>
  <c r="S7" i="88"/>
  <c r="C5" i="102"/>
  <c r="D9" i="102"/>
  <c r="D21" i="102"/>
  <c r="F25" i="102"/>
  <c r="D9" i="70"/>
  <c r="Y11" i="70" s="1"/>
  <c r="H9" i="4"/>
  <c r="H10" i="4"/>
  <c r="H10" i="2"/>
  <c r="K39" i="3"/>
  <c r="G8" i="8" s="1"/>
  <c r="J16" i="8"/>
  <c r="B25" i="6"/>
  <c r="F14" i="8"/>
  <c r="H5" i="8"/>
  <c r="C6" i="8"/>
  <c r="C5" i="8"/>
  <c r="D22" i="70"/>
  <c r="C18" i="70"/>
  <c r="G25" i="3"/>
  <c r="G27" i="3" s="1"/>
  <c r="G28" i="3" s="1"/>
  <c r="G39" i="3" s="1"/>
  <c r="K8" i="8" s="1"/>
  <c r="L9" i="5"/>
  <c r="K7" i="8"/>
  <c r="H14" i="2"/>
  <c r="G5" i="8"/>
  <c r="D9" i="2"/>
  <c r="D10" i="2"/>
  <c r="D14" i="2"/>
  <c r="G7" i="8"/>
  <c r="F44" i="103"/>
  <c r="F45" i="103" s="1"/>
  <c r="C5" i="70"/>
  <c r="O39" i="3"/>
  <c r="C8" i="8" s="1"/>
  <c r="H31" i="3"/>
  <c r="H33" i="3" s="1"/>
  <c r="H34" i="3" s="1"/>
  <c r="K5" i="8"/>
  <c r="L14" i="5"/>
  <c r="L10" i="5"/>
  <c r="C7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P14" i="4"/>
  <c r="B41" i="3"/>
  <c r="D24" i="3"/>
  <c r="F41" i="3"/>
  <c r="F42" i="3" s="1"/>
  <c r="H24" i="3"/>
  <c r="H25" i="3" s="1"/>
  <c r="H27" i="3" s="1"/>
  <c r="H28" i="3" s="1"/>
  <c r="L14" i="4"/>
  <c r="L5" i="1"/>
  <c r="K9" i="1"/>
  <c r="P12" i="3"/>
  <c r="P16" i="3" s="1"/>
  <c r="J4" i="8"/>
  <c r="H16" i="3"/>
  <c r="H10" i="3"/>
  <c r="H19" i="3"/>
  <c r="H9" i="3"/>
  <c r="N40" i="3"/>
  <c r="P10" i="3"/>
  <c r="D9" i="5"/>
  <c r="H17" i="3"/>
  <c r="N41" i="3"/>
  <c r="J41" i="3"/>
  <c r="J42" i="3" s="1"/>
  <c r="L19" i="3"/>
  <c r="P14" i="5"/>
  <c r="C10" i="6"/>
  <c r="O17" i="3"/>
  <c r="C9" i="6"/>
  <c r="D5" i="6"/>
  <c r="B32" i="6" s="1"/>
  <c r="O16" i="3"/>
  <c r="K6" i="8"/>
  <c r="P23" i="3"/>
  <c r="P25" i="3" s="1"/>
  <c r="P27" i="3" s="1"/>
  <c r="P28" i="3" s="1"/>
  <c r="G39" i="103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3" i="6"/>
  <c r="C28" i="70"/>
  <c r="P9" i="3"/>
  <c r="P19" i="3"/>
  <c r="H14" i="5"/>
  <c r="H10" i="5"/>
  <c r="P14" i="2"/>
  <c r="L10" i="6"/>
  <c r="G4" i="8"/>
  <c r="D19" i="3"/>
  <c r="H14" i="6"/>
  <c r="L14" i="6"/>
  <c r="J33" i="6"/>
  <c r="J34" i="6" s="1"/>
  <c r="J36" i="6" s="1"/>
  <c r="P14" i="6"/>
  <c r="B33" i="6"/>
  <c r="D22" i="6"/>
  <c r="D14" i="6"/>
  <c r="L10" i="4"/>
  <c r="L9" i="4"/>
  <c r="H9" i="6"/>
  <c r="H10" i="6"/>
  <c r="F32" i="6"/>
  <c r="F34" i="6" s="1"/>
  <c r="F36" i="6" s="1"/>
  <c r="L10" i="2"/>
  <c r="L9" i="2"/>
  <c r="D9" i="4"/>
  <c r="D10" i="4"/>
  <c r="L17" i="3"/>
  <c r="L16" i="3"/>
  <c r="D16" i="3"/>
  <c r="D17" i="3"/>
  <c r="G10" i="8" l="1"/>
  <c r="B34" i="4"/>
  <c r="B36" i="4" s="1"/>
  <c r="B37" i="4" s="1"/>
  <c r="B15" i="8" s="1"/>
  <c r="D23" i="4"/>
  <c r="D25" i="4" s="1"/>
  <c r="D26" i="4" s="1"/>
  <c r="D31" i="4" s="1"/>
  <c r="I6" i="102"/>
  <c r="I7" i="102" s="1"/>
  <c r="L10" i="1"/>
  <c r="J29" i="1"/>
  <c r="J31" i="1" s="1"/>
  <c r="J33" i="1" s="1"/>
  <c r="J34" i="1" s="1"/>
  <c r="L26" i="8" s="1"/>
  <c r="C25" i="70"/>
  <c r="D20" i="70"/>
  <c r="D25" i="70" s="1"/>
  <c r="B11" i="70"/>
  <c r="B12" i="70"/>
  <c r="B7" i="102"/>
  <c r="E6" i="102"/>
  <c r="B10" i="102"/>
  <c r="D26" i="102"/>
  <c r="C26" i="102"/>
  <c r="B23" i="102"/>
  <c r="C23" i="102" s="1"/>
  <c r="E22" i="102"/>
  <c r="B26" i="102"/>
  <c r="B24" i="70"/>
  <c r="B25" i="70"/>
  <c r="C7" i="70"/>
  <c r="M22" i="102"/>
  <c r="M23" i="102" s="1"/>
  <c r="J26" i="102"/>
  <c r="F22" i="102"/>
  <c r="F23" i="70"/>
  <c r="H26" i="102"/>
  <c r="F10" i="102"/>
  <c r="L7" i="8"/>
  <c r="F21" i="102"/>
  <c r="G25" i="102"/>
  <c r="D5" i="102"/>
  <c r="D34" i="102"/>
  <c r="F9" i="102"/>
  <c r="H7" i="8"/>
  <c r="Z12" i="70"/>
  <c r="Z11" i="70"/>
  <c r="L6" i="8"/>
  <c r="J15" i="8"/>
  <c r="F16" i="8"/>
  <c r="C25" i="6"/>
  <c r="C26" i="6" s="1"/>
  <c r="C31" i="6" s="1"/>
  <c r="C4" i="8" s="1"/>
  <c r="K4" i="8"/>
  <c r="F22" i="70"/>
  <c r="D18" i="70"/>
  <c r="L5" i="8"/>
  <c r="L9" i="1"/>
  <c r="H39" i="3"/>
  <c r="L8" i="8" s="1"/>
  <c r="D5" i="70"/>
  <c r="B34" i="6"/>
  <c r="F44" i="3"/>
  <c r="F45" i="3" s="1"/>
  <c r="J17" i="8" s="1"/>
  <c r="P17" i="3"/>
  <c r="P29" i="3"/>
  <c r="P31" i="3" s="1"/>
  <c r="P33" i="3" s="1"/>
  <c r="P34" i="3" s="1"/>
  <c r="P39" i="3" s="1"/>
  <c r="L39" i="3"/>
  <c r="H8" i="8" s="1"/>
  <c r="J44" i="3"/>
  <c r="J45" i="3" s="1"/>
  <c r="F17" i="8" s="1"/>
  <c r="F37" i="6"/>
  <c r="F13" i="8" s="1"/>
  <c r="J37" i="6"/>
  <c r="J13" i="8" s="1"/>
  <c r="J14" i="8"/>
  <c r="B16" i="8"/>
  <c r="L4" i="8"/>
  <c r="N42" i="3"/>
  <c r="D9" i="6"/>
  <c r="D21" i="6"/>
  <c r="D23" i="6" s="1"/>
  <c r="D25" i="6" s="1"/>
  <c r="D26" i="6" s="1"/>
  <c r="D31" i="6" s="1"/>
  <c r="D10" i="6"/>
  <c r="H6" i="8"/>
  <c r="H39" i="103"/>
  <c r="P29" i="103"/>
  <c r="P31" i="103" s="1"/>
  <c r="P33" i="103" s="1"/>
  <c r="P34" i="103" s="1"/>
  <c r="P39" i="103" s="1"/>
  <c r="P17" i="103"/>
  <c r="P16" i="103"/>
  <c r="F9" i="70"/>
  <c r="D28" i="70"/>
  <c r="D7" i="8"/>
  <c r="H4" i="8"/>
  <c r="H10" i="8" l="1"/>
  <c r="D6" i="8"/>
  <c r="D5" i="8"/>
  <c r="F20" i="70"/>
  <c r="G20" i="70" s="1"/>
  <c r="H20" i="70" s="1"/>
  <c r="J20" i="70" s="1"/>
  <c r="K20" i="70" s="1"/>
  <c r="L20" i="70" s="1"/>
  <c r="D24" i="70"/>
  <c r="C7" i="102"/>
  <c r="B12" i="102"/>
  <c r="B11" i="102"/>
  <c r="C27" i="102"/>
  <c r="C28" i="102"/>
  <c r="E33" i="102"/>
  <c r="E7" i="102"/>
  <c r="E23" i="102"/>
  <c r="B28" i="102"/>
  <c r="B27" i="102"/>
  <c r="D7" i="70"/>
  <c r="C11" i="70"/>
  <c r="C12" i="70"/>
  <c r="D23" i="102"/>
  <c r="F23" i="102" s="1"/>
  <c r="M33" i="102"/>
  <c r="I22" i="102"/>
  <c r="I23" i="102" s="1"/>
  <c r="F26" i="102"/>
  <c r="F34" i="102"/>
  <c r="F5" i="102"/>
  <c r="G9" i="102"/>
  <c r="G21" i="102"/>
  <c r="B36" i="6"/>
  <c r="B37" i="6" s="1"/>
  <c r="B13" i="8" s="1"/>
  <c r="D4" i="8"/>
  <c r="F18" i="70"/>
  <c r="G22" i="70"/>
  <c r="I23" i="70" s="1"/>
  <c r="B14" i="8"/>
  <c r="F5" i="70"/>
  <c r="N44" i="3"/>
  <c r="N45" i="3" s="1"/>
  <c r="B17" i="8" s="1"/>
  <c r="D8" i="8"/>
  <c r="F28" i="70"/>
  <c r="G9" i="70"/>
  <c r="F24" i="70" l="1"/>
  <c r="F25" i="70"/>
  <c r="C11" i="102"/>
  <c r="C12" i="102"/>
  <c r="E10" i="70"/>
  <c r="E11" i="70" s="1"/>
  <c r="F7" i="70"/>
  <c r="D7" i="102"/>
  <c r="D12" i="70"/>
  <c r="D11" i="70"/>
  <c r="D27" i="102"/>
  <c r="D28" i="102"/>
  <c r="I33" i="102"/>
  <c r="G23" i="102"/>
  <c r="F27" i="102"/>
  <c r="F28" i="102"/>
  <c r="G5" i="102"/>
  <c r="G34" i="102"/>
  <c r="G24" i="70"/>
  <c r="G18" i="70"/>
  <c r="G5" i="70"/>
  <c r="H9" i="70"/>
  <c r="H22" i="70"/>
  <c r="G25" i="70"/>
  <c r="G28" i="70"/>
  <c r="D11" i="102" l="1"/>
  <c r="D12" i="102"/>
  <c r="F7" i="102"/>
  <c r="G7" i="70"/>
  <c r="F12" i="70"/>
  <c r="F11" i="70"/>
  <c r="H23" i="102"/>
  <c r="J23" i="102" s="1"/>
  <c r="K23" i="102" s="1"/>
  <c r="L23" i="102" s="1"/>
  <c r="G27" i="102"/>
  <c r="G28" i="102"/>
  <c r="J9" i="70"/>
  <c r="H5" i="70"/>
  <c r="H18" i="70"/>
  <c r="H28" i="70"/>
  <c r="H25" i="102"/>
  <c r="H21" i="102" s="1"/>
  <c r="H9" i="102"/>
  <c r="J9" i="102" s="1"/>
  <c r="J22" i="70"/>
  <c r="J18" i="70" s="1"/>
  <c r="H24" i="70"/>
  <c r="H25" i="70"/>
  <c r="K9" i="102" l="1"/>
  <c r="J5" i="102"/>
  <c r="H7" i="70"/>
  <c r="G11" i="70"/>
  <c r="G12" i="70"/>
  <c r="G7" i="102"/>
  <c r="F11" i="102"/>
  <c r="F12" i="102"/>
  <c r="K9" i="70"/>
  <c r="J5" i="70"/>
  <c r="H5" i="102"/>
  <c r="J28" i="70"/>
  <c r="K22" i="70"/>
  <c r="K18" i="70" s="1"/>
  <c r="J25" i="70"/>
  <c r="J24" i="70"/>
  <c r="H34" i="102"/>
  <c r="H27" i="102"/>
  <c r="J25" i="102"/>
  <c r="J21" i="102" s="1"/>
  <c r="H28" i="102"/>
  <c r="L9" i="102" l="1"/>
  <c r="K5" i="102"/>
  <c r="H7" i="102"/>
  <c r="G11" i="102"/>
  <c r="G12" i="102"/>
  <c r="J7" i="70"/>
  <c r="I11" i="70"/>
  <c r="H12" i="70"/>
  <c r="H11" i="70"/>
  <c r="L9" i="70"/>
  <c r="M10" i="70" s="1"/>
  <c r="K5" i="70"/>
  <c r="K28" i="70"/>
  <c r="J27" i="102"/>
  <c r="K25" i="102"/>
  <c r="K21" i="102" s="1"/>
  <c r="J28" i="102"/>
  <c r="J34" i="102"/>
  <c r="L22" i="70"/>
  <c r="L18" i="70" s="1"/>
  <c r="K25" i="70"/>
  <c r="K24" i="70"/>
  <c r="J7" i="102" l="1"/>
  <c r="J11" i="102" s="1"/>
  <c r="I10" i="102"/>
  <c r="K7" i="102"/>
  <c r="L5" i="102"/>
  <c r="N9" i="102"/>
  <c r="K7" i="70"/>
  <c r="M11" i="70"/>
  <c r="J11" i="70"/>
  <c r="J12" i="70"/>
  <c r="H11" i="102"/>
  <c r="H12" i="102"/>
  <c r="N9" i="70"/>
  <c r="L5" i="70"/>
  <c r="L28" i="70"/>
  <c r="K28" i="102"/>
  <c r="L25" i="102"/>
  <c r="L21" i="102" s="1"/>
  <c r="K27" i="102"/>
  <c r="N22" i="70"/>
  <c r="N18" i="70" s="1"/>
  <c r="L25" i="70"/>
  <c r="L24" i="70"/>
  <c r="K34" i="102"/>
  <c r="L7" i="102" l="1"/>
  <c r="K11" i="102"/>
  <c r="N5" i="102"/>
  <c r="O9" i="102"/>
  <c r="J12" i="102"/>
  <c r="L7" i="70"/>
  <c r="K12" i="70"/>
  <c r="K11" i="70"/>
  <c r="O9" i="70"/>
  <c r="N5" i="70"/>
  <c r="N28" i="70"/>
  <c r="L34" i="102"/>
  <c r="L27" i="102"/>
  <c r="N25" i="102"/>
  <c r="N21" i="102" s="1"/>
  <c r="L28" i="102"/>
  <c r="O22" i="70"/>
  <c r="O18" i="70" s="1"/>
  <c r="L11" i="102" l="1"/>
  <c r="O5" i="102"/>
  <c r="P9" i="102"/>
  <c r="L11" i="70"/>
  <c r="L12" i="70"/>
  <c r="K12" i="102"/>
  <c r="P9" i="70"/>
  <c r="O5" i="70"/>
  <c r="O28" i="70"/>
  <c r="P22" i="70"/>
  <c r="N34" i="102"/>
  <c r="O25" i="102"/>
  <c r="O21" i="102" s="1"/>
  <c r="P5" i="102" l="1"/>
  <c r="L12" i="102"/>
  <c r="Q10" i="70"/>
  <c r="P18" i="70"/>
  <c r="Q23" i="70"/>
  <c r="P5" i="70"/>
  <c r="P25" i="102"/>
  <c r="P21" i="102" s="1"/>
  <c r="O34" i="102"/>
  <c r="P34" i="102" l="1"/>
  <c r="O4" i="1"/>
  <c r="P4" i="1"/>
  <c r="B11" i="103"/>
  <c r="B12" i="103" s="1"/>
  <c r="B17" i="103" s="1"/>
  <c r="D11" i="103"/>
  <c r="C11" i="103"/>
  <c r="P8" i="6" l="1"/>
  <c r="P8" i="2"/>
  <c r="O6" i="88"/>
  <c r="O5" i="88"/>
  <c r="N4" i="6"/>
  <c r="O3" i="88"/>
  <c r="N8" i="5"/>
  <c r="O7" i="88"/>
  <c r="O4" i="88"/>
  <c r="Q32" i="88" s="1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B15" i="103"/>
  <c r="B8" i="3"/>
  <c r="B5" i="3"/>
  <c r="L8" i="88"/>
  <c r="B29" i="103"/>
  <c r="B31" i="103" s="1"/>
  <c r="B33" i="103" s="1"/>
  <c r="B34" i="103" s="1"/>
  <c r="D15" i="103"/>
  <c r="M8" i="88"/>
  <c r="P8" i="1"/>
  <c r="N8" i="88"/>
  <c r="O8" i="1"/>
  <c r="R3" i="5" l="1"/>
  <c r="Q35" i="88"/>
  <c r="R3" i="4"/>
  <c r="R3" i="2"/>
  <c r="Q33" i="88"/>
  <c r="R3" i="6"/>
  <c r="O13" i="102"/>
  <c r="O13" i="70"/>
  <c r="L22" i="88"/>
  <c r="L23" i="88" s="1"/>
  <c r="P13" i="102"/>
  <c r="P13" i="70"/>
  <c r="M22" i="88"/>
  <c r="M23" i="88" s="1"/>
  <c r="N13" i="102"/>
  <c r="N13" i="70"/>
  <c r="K22" i="88"/>
  <c r="K23" i="88" s="1"/>
  <c r="R4" i="1"/>
  <c r="R5" i="1" s="1"/>
  <c r="Q4" i="1"/>
  <c r="Q7" i="88"/>
  <c r="Q5" i="88"/>
  <c r="Q3" i="88"/>
  <c r="Q6" i="88"/>
  <c r="Q4" i="88"/>
  <c r="B8" i="103"/>
  <c r="N5" i="6"/>
  <c r="Q4" i="5"/>
  <c r="R4" i="5" s="1"/>
  <c r="N5" i="5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21" i="2" s="1"/>
  <c r="N23" i="2" s="1"/>
  <c r="N25" i="2" s="1"/>
  <c r="N26" i="2" s="1"/>
  <c r="N31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8" i="4"/>
  <c r="B23" i="3"/>
  <c r="B10" i="3"/>
  <c r="B9" i="3"/>
  <c r="N5" i="1"/>
  <c r="N8" i="1"/>
  <c r="Q4" i="6"/>
  <c r="R4" i="6" s="1"/>
  <c r="D8" i="3"/>
  <c r="N9" i="6" l="1"/>
  <c r="N21" i="6"/>
  <c r="N23" i="6" s="1"/>
  <c r="N25" i="6" s="1"/>
  <c r="N26" i="6" s="1"/>
  <c r="N31" i="6" s="1"/>
  <c r="R7" i="5"/>
  <c r="R8" i="5" s="1"/>
  <c r="R7" i="6"/>
  <c r="R8" i="6" s="1"/>
  <c r="Q13" i="70"/>
  <c r="Q13" i="102"/>
  <c r="Q14" i="102" s="1"/>
  <c r="R5" i="5"/>
  <c r="R5" i="6"/>
  <c r="O19" i="70"/>
  <c r="O6" i="70"/>
  <c r="O6" i="102" s="1"/>
  <c r="O10" i="102" s="1"/>
  <c r="P19" i="70"/>
  <c r="P6" i="70"/>
  <c r="P6" i="102" s="1"/>
  <c r="P10" i="102" s="1"/>
  <c r="N6" i="70"/>
  <c r="N6" i="102" s="1"/>
  <c r="N22" i="88"/>
  <c r="R6" i="88"/>
  <c r="R3" i="88"/>
  <c r="R5" i="88"/>
  <c r="R7" i="88"/>
  <c r="R4" i="88"/>
  <c r="J14" i="70"/>
  <c r="R4" i="2"/>
  <c r="R7" i="2" s="1"/>
  <c r="R8" i="2" s="1"/>
  <c r="Q8" i="2"/>
  <c r="Q9" i="2" s="1"/>
  <c r="R4" i="4"/>
  <c r="R7" i="4" s="1"/>
  <c r="R8" i="4" s="1"/>
  <c r="N10" i="6"/>
  <c r="O5" i="6"/>
  <c r="O21" i="6" s="1"/>
  <c r="O23" i="6" s="1"/>
  <c r="O25" i="6" s="1"/>
  <c r="O26" i="6" s="1"/>
  <c r="O31" i="6" s="1"/>
  <c r="N14" i="70"/>
  <c r="O5" i="5"/>
  <c r="N10" i="5"/>
  <c r="N9" i="5"/>
  <c r="N9" i="2"/>
  <c r="N10" i="2"/>
  <c r="B25" i="3"/>
  <c r="B27" i="3" s="1"/>
  <c r="B28" i="3" s="1"/>
  <c r="B39" i="3" s="1"/>
  <c r="N8" i="8" s="1"/>
  <c r="B42" i="3"/>
  <c r="B10" i="103"/>
  <c r="B23" i="103"/>
  <c r="B25" i="103" s="1"/>
  <c r="B27" i="103" s="1"/>
  <c r="B28" i="103" s="1"/>
  <c r="B39" i="103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C10" i="3"/>
  <c r="C9" i="3"/>
  <c r="C23" i="3"/>
  <c r="N14" i="102"/>
  <c r="P14" i="102"/>
  <c r="O14" i="102"/>
  <c r="O5" i="2"/>
  <c r="O21" i="2" s="1"/>
  <c r="O23" i="2" s="1"/>
  <c r="O25" i="2" s="1"/>
  <c r="O26" i="2" s="1"/>
  <c r="O31" i="2" s="1"/>
  <c r="Q6" i="102" l="1"/>
  <c r="Q7" i="102" s="1"/>
  <c r="N10" i="102"/>
  <c r="R6" i="102"/>
  <c r="N7" i="102"/>
  <c r="O9" i="6"/>
  <c r="R5" i="4"/>
  <c r="R5" i="2"/>
  <c r="P10" i="70"/>
  <c r="F26" i="88"/>
  <c r="O22" i="88"/>
  <c r="N19" i="70"/>
  <c r="N23" i="88"/>
  <c r="P22" i="102"/>
  <c r="P26" i="102" s="1"/>
  <c r="P23" i="70"/>
  <c r="Q6" i="70"/>
  <c r="N10" i="70"/>
  <c r="R6" i="70"/>
  <c r="N7" i="70"/>
  <c r="O10" i="70"/>
  <c r="O22" i="102"/>
  <c r="O26" i="102" s="1"/>
  <c r="O23" i="70"/>
  <c r="O10" i="5"/>
  <c r="O10" i="6"/>
  <c r="O9" i="5"/>
  <c r="P5" i="5"/>
  <c r="N16" i="8" s="1"/>
  <c r="Q16" i="8" s="1"/>
  <c r="L14" i="70"/>
  <c r="K14" i="70"/>
  <c r="P5" i="6"/>
  <c r="O14" i="70"/>
  <c r="P14" i="70"/>
  <c r="N7" i="8"/>
  <c r="D9" i="103"/>
  <c r="N4" i="8"/>
  <c r="B44" i="103"/>
  <c r="B45" i="103" s="1"/>
  <c r="O7" i="8"/>
  <c r="D25" i="3"/>
  <c r="D27" i="3" s="1"/>
  <c r="D28" i="3" s="1"/>
  <c r="D39" i="3" s="1"/>
  <c r="P8" i="8" s="1"/>
  <c r="B44" i="3"/>
  <c r="B45" i="3" s="1"/>
  <c r="N17" i="8" s="1"/>
  <c r="C25" i="3"/>
  <c r="C27" i="3" s="1"/>
  <c r="C28" i="3" s="1"/>
  <c r="C39" i="3" s="1"/>
  <c r="O8" i="8" s="1"/>
  <c r="C9" i="103"/>
  <c r="C10" i="103"/>
  <c r="D23" i="103"/>
  <c r="D25" i="103" s="1"/>
  <c r="D27" i="103" s="1"/>
  <c r="D28" i="103" s="1"/>
  <c r="D39" i="103" s="1"/>
  <c r="D10" i="103"/>
  <c r="C23" i="103"/>
  <c r="C25" i="103" s="1"/>
  <c r="C27" i="103" s="1"/>
  <c r="C28" i="103" s="1"/>
  <c r="C39" i="103" s="1"/>
  <c r="N6" i="8"/>
  <c r="N5" i="8"/>
  <c r="O9" i="4"/>
  <c r="O10" i="4"/>
  <c r="P5" i="4"/>
  <c r="P10" i="4" s="1"/>
  <c r="O10" i="1"/>
  <c r="O9" i="1"/>
  <c r="P5" i="1"/>
  <c r="N29" i="1" s="1"/>
  <c r="N31" i="1" s="1"/>
  <c r="N33" i="1" s="1"/>
  <c r="N34" i="1" s="1"/>
  <c r="P26" i="8" s="1"/>
  <c r="O10" i="2"/>
  <c r="O9" i="2"/>
  <c r="P5" i="2"/>
  <c r="P21" i="2" l="1"/>
  <c r="P23" i="2" s="1"/>
  <c r="P25" i="2" s="1"/>
  <c r="P26" i="2" s="1"/>
  <c r="P31" i="2" s="1"/>
  <c r="N32" i="2"/>
  <c r="N34" i="2" s="1"/>
  <c r="N36" i="2" s="1"/>
  <c r="N37" i="2" s="1"/>
  <c r="N32" i="6"/>
  <c r="N34" i="6" s="1"/>
  <c r="N36" i="6" s="1"/>
  <c r="N37" i="6" s="1"/>
  <c r="N13" i="8" s="1"/>
  <c r="Q13" i="8" s="1"/>
  <c r="P21" i="6"/>
  <c r="P23" i="6" s="1"/>
  <c r="P25" i="6" s="1"/>
  <c r="P26" i="6" s="1"/>
  <c r="P31" i="6" s="1"/>
  <c r="P4" i="8" s="1"/>
  <c r="O7" i="102"/>
  <c r="N11" i="102"/>
  <c r="R5" i="102"/>
  <c r="R7" i="102"/>
  <c r="N22" i="102"/>
  <c r="N23" i="70"/>
  <c r="R19" i="70"/>
  <c r="S19" i="70" s="1"/>
  <c r="N20" i="70"/>
  <c r="T6" i="70"/>
  <c r="T5" i="70" s="1"/>
  <c r="S6" i="70"/>
  <c r="S5" i="70" s="1"/>
  <c r="F27" i="88"/>
  <c r="O23" i="88"/>
  <c r="N12" i="70"/>
  <c r="N11" i="70"/>
  <c r="C16" i="102"/>
  <c r="G26" i="88"/>
  <c r="D16" i="102"/>
  <c r="D26" i="88"/>
  <c r="B16" i="102"/>
  <c r="J28" i="88"/>
  <c r="H26" i="88"/>
  <c r="F16" i="102"/>
  <c r="G16" i="102"/>
  <c r="H16" i="102"/>
  <c r="J16" i="102"/>
  <c r="K16" i="102"/>
  <c r="L16" i="102"/>
  <c r="N16" i="102"/>
  <c r="O16" i="102"/>
  <c r="P16" i="102"/>
  <c r="T6" i="102"/>
  <c r="O7" i="70"/>
  <c r="P9" i="5"/>
  <c r="P9" i="6"/>
  <c r="P10" i="6"/>
  <c r="P7" i="8"/>
  <c r="P10" i="5"/>
  <c r="N15" i="8"/>
  <c r="Q15" i="8" s="1"/>
  <c r="O4" i="8"/>
  <c r="O5" i="8"/>
  <c r="O6" i="8"/>
  <c r="P9" i="4"/>
  <c r="P10" i="2"/>
  <c r="P9" i="2"/>
  <c r="P10" i="1"/>
  <c r="P9" i="1"/>
  <c r="U6" i="102" l="1"/>
  <c r="U3" i="102"/>
  <c r="P7" i="102"/>
  <c r="O11" i="102"/>
  <c r="N12" i="102"/>
  <c r="O20" i="70"/>
  <c r="N24" i="70"/>
  <c r="N25" i="70"/>
  <c r="O12" i="70"/>
  <c r="O11" i="70"/>
  <c r="P7" i="70"/>
  <c r="C30" i="102"/>
  <c r="T19" i="70"/>
  <c r="V7" i="70" s="1"/>
  <c r="B30" i="102"/>
  <c r="D30" i="102"/>
  <c r="F30" i="102"/>
  <c r="H27" i="88"/>
  <c r="D27" i="88"/>
  <c r="G30" i="102"/>
  <c r="H30" i="102"/>
  <c r="J30" i="102"/>
  <c r="K30" i="102"/>
  <c r="L30" i="102"/>
  <c r="N30" i="102"/>
  <c r="O30" i="102"/>
  <c r="P30" i="102"/>
  <c r="D15" i="102"/>
  <c r="F15" i="102"/>
  <c r="C15" i="102"/>
  <c r="E26" i="88"/>
  <c r="B15" i="102"/>
  <c r="G15" i="102"/>
  <c r="H15" i="102"/>
  <c r="J15" i="102"/>
  <c r="K15" i="102"/>
  <c r="L15" i="102"/>
  <c r="N15" i="102"/>
  <c r="O15" i="102"/>
  <c r="P15" i="102"/>
  <c r="S8" i="102"/>
  <c r="S3" i="102"/>
  <c r="D17" i="102"/>
  <c r="B17" i="102"/>
  <c r="U6" i="70"/>
  <c r="U5" i="70" s="1"/>
  <c r="J26" i="88"/>
  <c r="C17" i="102"/>
  <c r="F17" i="102"/>
  <c r="I26" i="88"/>
  <c r="G17" i="102"/>
  <c r="H17" i="102"/>
  <c r="J17" i="102"/>
  <c r="K17" i="102"/>
  <c r="L17" i="102"/>
  <c r="N17" i="102"/>
  <c r="O17" i="102"/>
  <c r="P17" i="102"/>
  <c r="Q22" i="102"/>
  <c r="N26" i="102"/>
  <c r="R22" i="102"/>
  <c r="R23" i="102" s="1"/>
  <c r="N23" i="102"/>
  <c r="N14" i="8"/>
  <c r="Q14" i="8" s="1"/>
  <c r="P6" i="8"/>
  <c r="P5" i="8"/>
  <c r="Q18" i="70"/>
  <c r="Q9" i="102" l="1"/>
  <c r="P11" i="102"/>
  <c r="Q23" i="102"/>
  <c r="T22" i="102"/>
  <c r="Q33" i="102"/>
  <c r="B27" i="88"/>
  <c r="E27" i="88" s="1"/>
  <c r="R19" i="102"/>
  <c r="R21" i="102" s="1"/>
  <c r="S18" i="70"/>
  <c r="T18" i="70"/>
  <c r="R18" i="70"/>
  <c r="G31" i="102"/>
  <c r="U19" i="70"/>
  <c r="U18" i="70" s="1"/>
  <c r="C31" i="102"/>
  <c r="D31" i="102"/>
  <c r="F31" i="102"/>
  <c r="J27" i="88"/>
  <c r="B31" i="102"/>
  <c r="H31" i="102"/>
  <c r="J31" i="102"/>
  <c r="K31" i="102"/>
  <c r="L31" i="102"/>
  <c r="N31" i="102"/>
  <c r="O31" i="102"/>
  <c r="P31" i="102"/>
  <c r="O23" i="102"/>
  <c r="N27" i="102"/>
  <c r="N28" i="102"/>
  <c r="P20" i="70"/>
  <c r="O25" i="70"/>
  <c r="O24" i="70"/>
  <c r="S24" i="102"/>
  <c r="G29" i="102"/>
  <c r="B29" i="102"/>
  <c r="D29" i="102"/>
  <c r="C29" i="102"/>
  <c r="F29" i="102"/>
  <c r="H29" i="102"/>
  <c r="J29" i="102"/>
  <c r="K29" i="102"/>
  <c r="L29" i="102"/>
  <c r="N29" i="102"/>
  <c r="O29" i="102"/>
  <c r="P29" i="102"/>
  <c r="R34" i="102"/>
  <c r="P11" i="70"/>
  <c r="P12" i="70"/>
  <c r="O12" i="102"/>
  <c r="U19" i="102" l="1"/>
  <c r="U22" i="102"/>
  <c r="I27" i="88"/>
  <c r="G27" i="88"/>
  <c r="S19" i="102"/>
  <c r="P23" i="102"/>
  <c r="O28" i="102"/>
  <c r="O27" i="102"/>
  <c r="P12" i="102"/>
  <c r="P25" i="70"/>
  <c r="P24" i="70"/>
  <c r="P28" i="102" l="1"/>
  <c r="P27" i="102"/>
  <c r="M32" i="88"/>
  <c r="M33" i="88"/>
  <c r="M34" i="88"/>
  <c r="B6" i="8" s="1"/>
  <c r="Q6" i="8" s="1"/>
  <c r="M31" i="88"/>
  <c r="B26" i="6" s="1"/>
  <c r="B31" i="6" s="1"/>
  <c r="B4" i="8" s="1"/>
  <c r="Q4" i="8" s="1"/>
  <c r="M35" i="88"/>
  <c r="B7" i="8" s="1"/>
  <c r="Q7" i="8" s="1"/>
  <c r="B5" i="8" l="1"/>
  <c r="Q5" i="8" s="1"/>
</calcChain>
</file>

<file path=xl/comments1.xml><?xml version="1.0" encoding="utf-8"?>
<comments xmlns="http://schemas.openxmlformats.org/spreadsheetml/2006/main">
  <authors>
    <author>Katarzyna O.</author>
    <author>katarzynao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R3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Target roczny bez korekt IPS
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 - 6400,-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 +6400,-
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Suma korekt IPS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 O.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B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PS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PS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 O.</author>
    <author>katarzynao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 O.</author>
    <author>katarzynao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I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I9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  <author>Katarzyna O.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  <comment ref="I9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adekwatnego okresu roku roku poprzedniego</t>
        </r>
      </text>
    </comment>
    <comment ref="I10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zakładany wzrost % 
PS na pół roku
</t>
        </r>
      </text>
    </comment>
    <comment ref="I11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Zakładana kwota wzrostu w stosunku do adekwatnego okresu roku poprzedniego 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</commentList>
</comments>
</file>

<file path=xl/comments8.xml><?xml version="1.0" encoding="utf-8"?>
<comments xmlns="http://schemas.openxmlformats.org/spreadsheetml/2006/main">
  <authors>
    <author>Katarzyna O.</author>
  </authors>
  <commentList>
    <comment ref="S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Zastanowić się przy planowaniu IPS na IV kwartał nad wzięciem wskaźnika % z wyników 3 kwartałów br.</t>
        </r>
      </text>
    </comment>
  </commentList>
</comments>
</file>

<file path=xl/comments9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10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<sst xmlns="http://schemas.openxmlformats.org/spreadsheetml/2006/main" count="1074" uniqueCount="233">
  <si>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</si>
  <si>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</si>
  <si>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</si>
  <si>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</si>
  <si>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</si>
  <si>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</si>
  <si>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</si>
  <si>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</si>
  <si>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</si>
  <si>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</si>
  <si>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</si>
  <si>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</si>
  <si>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</si>
  <si>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</si>
  <si>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</si>
  <si>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</si>
  <si>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</si>
  <si>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</si>
  <si>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</si>
  <si>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</si>
  <si>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</si>
  <si>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</si>
  <si>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</si>
  <si>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</si>
  <si>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</si>
  <si>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</si>
  <si>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</si>
  <si>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</si>
  <si>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</si>
  <si>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</si>
  <si>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</si>
  <si>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</si>
  <si>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</si>
  <si>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</si>
  <si>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</si>
  <si>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</si>
  <si>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</si>
  <si>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</si>
  <si>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</si>
  <si>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</si>
  <si>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</si>
  <si>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</si>
  <si>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</si>
  <si>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</si>
  <si>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</si>
  <si>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</si>
  <si>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</si>
  <si>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</si>
  <si>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</si>
  <si>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</si>
  <si>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</si>
  <si>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</si>
  <si>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</si>
  <si>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</si>
  <si>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</si>
  <si>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</si>
  <si>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</si>
  <si>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</si>
  <si>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</si>
  <si>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</si>
  <si>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</si>
  <si>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</si>
  <si>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</si>
  <si>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</si>
  <si>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</si>
  <si>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</si>
  <si>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</si>
  <si>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</si>
  <si>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</si>
  <si>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</si>
  <si>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</si>
  <si>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</si>
  <si>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</si>
  <si>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</si>
  <si>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</si>
  <si>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</si>
  <si>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</si>
  <si>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</si>
  <si>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</si>
  <si>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</si>
  <si>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</si>
  <si>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</si>
  <si>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</si>
  <si>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</si>
  <si>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</si>
  <si>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</si>
  <si>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</si>
  <si>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</si>
  <si>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</si>
  <si>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</si>
  <si>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</si>
  <si>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</si>
  <si>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</si>
  <si>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</si>
  <si>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</si>
  <si>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</si>
  <si>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</si>
  <si>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</si>
  <si>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</si>
  <si>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</si>
  <si>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</si>
  <si>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</si>
  <si>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</si>
  <si>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</si>
  <si>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</si>
  <si>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</si>
  <si>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</si>
  <si>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</si>
  <si>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</si>
  <si>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</si>
  <si>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</si>
  <si>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</si>
  <si>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</si>
  <si>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</si>
  <si>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</si>
  <si>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</si>
  <si>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</si>
  <si>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</si>
  <si>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</si>
  <si>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</si>
  <si>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</si>
  <si>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</si>
  <si>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</si>
  <si>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</si>
  <si>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</si>
  <si>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</si>
  <si>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</si>
  <si>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</si>
  <si>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</si>
  <si>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</si>
  <si>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</si>
  <si>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</si>
  <si>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</si>
  <si>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</si>
  <si>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</si>
  <si>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</si>
  <si>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</si>
  <si>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</si>
  <si>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</si>
  <si>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</si>
  <si>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</si>
  <si>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</si>
  <si>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</si>
  <si>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</si>
  <si>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</si>
  <si>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</si>
  <si>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</si>
  <si>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</si>
  <si>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</si>
  <si>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</si>
  <si>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</si>
  <si>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</si>
  <si>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t>Q2</t>
  </si>
  <si>
    <t>Kwiecień</t>
  </si>
  <si>
    <t>Maj</t>
  </si>
  <si>
    <t>Czerwiec</t>
  </si>
  <si>
    <t xml:space="preserve"> 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</si>
  <si>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</si>
  <si>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</si>
  <si>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</si>
  <si>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</si>
  <si>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</si>
  <si>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</si>
  <si>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</si>
  <si>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</si>
  <si>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</si>
  <si>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</si>
  <si>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</si>
  <si>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</si>
  <si>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</si>
  <si>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</si>
  <si>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</si>
  <si>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</si>
  <si>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</si>
  <si>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</si>
  <si>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</si>
  <si>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PLAN IV KW Krzysztof Szwajdych</t>
  </si>
  <si>
    <t>Ilość</t>
  </si>
  <si>
    <t>Netto</t>
  </si>
  <si>
    <t>Koszt</t>
  </si>
  <si>
    <t>Zysk</t>
  </si>
  <si>
    <t>Miesięczny Obrót</t>
  </si>
  <si>
    <t>Sumaryczny Obrót</t>
  </si>
  <si>
    <t>-</t>
  </si>
  <si>
    <t>II KW</t>
  </si>
  <si>
    <t>% sumy wynagr.zas</t>
  </si>
  <si>
    <t>wynagr.zasad</t>
  </si>
  <si>
    <t>Realizacja suma Q</t>
  </si>
  <si>
    <t>% sumy real.Q</t>
  </si>
  <si>
    <t>% real rocznego PS</t>
  </si>
  <si>
    <t>% PSDH</t>
  </si>
  <si>
    <t>% sumy real rocznej</t>
  </si>
  <si>
    <t>Grupa RCKIK</t>
  </si>
  <si>
    <t>Wysokość % Marży miesięcznej</t>
  </si>
  <si>
    <t>Wysokość % Marży sumarycznej</t>
  </si>
  <si>
    <t>Premia funkcyjna</t>
  </si>
  <si>
    <t>Premia kwartalna dodatkowa</t>
  </si>
  <si>
    <t>III KW</t>
  </si>
  <si>
    <t>IV KW</t>
  </si>
  <si>
    <t>średnia</t>
  </si>
  <si>
    <t>PREMIA DODATKOWA</t>
  </si>
  <si>
    <r>
      <t>Realizacja PLAN</t>
    </r>
    <r>
      <rPr>
        <b/>
        <sz val="7"/>
        <color theme="0"/>
        <rFont val="Arial"/>
        <family val="2"/>
        <charset val="238"/>
      </rPr>
      <t xml:space="preserve"> (CEL STRATEGICZNY)</t>
    </r>
  </si>
  <si>
    <t>PLANY SPRZEDAŻY 2025</t>
  </si>
  <si>
    <t>Wzrost Marży 2025 w stos do Marży 2024</t>
  </si>
  <si>
    <t>Marża 2024</t>
  </si>
  <si>
    <t>Obrót 2024</t>
  </si>
  <si>
    <t>Wzrost Obrotu 2025 w stos do Obrotu 2024</t>
  </si>
  <si>
    <t>Sumaryczny Obrót 2024</t>
  </si>
  <si>
    <t>Sumaryczna Marża 2024</t>
  </si>
  <si>
    <t xml:space="preserve">PLAN SPRZEDAŻY </t>
  </si>
  <si>
    <t>Pracownik</t>
  </si>
  <si>
    <t>Grupa</t>
  </si>
  <si>
    <t>Towar</t>
  </si>
  <si>
    <t>Jm</t>
  </si>
  <si>
    <t>Brutto</t>
  </si>
  <si>
    <t>(Razem sprzedaż)</t>
  </si>
  <si>
    <t>Indywidualny Plan Sprzedaży Marża</t>
  </si>
  <si>
    <t>Sumaryczny Indywidulany Plan Sprzedaży Marża</t>
  </si>
  <si>
    <t>Sumaryczna realizacja Planu Sprzedaży Marża</t>
  </si>
  <si>
    <t>Wysokość % zrealizowania IPSM miesięcznego</t>
  </si>
  <si>
    <t>Wysokość % zrealizowania IPSM sumarycznego</t>
  </si>
  <si>
    <t xml:space="preserve">Różnica </t>
  </si>
  <si>
    <t>Wysokość Kwoty bazowej na dany okres</t>
  </si>
  <si>
    <t xml:space="preserve">Wysokość Indywidualnej Kwoty bazowej </t>
  </si>
  <si>
    <t>Ind. Kwota bazowa</t>
  </si>
  <si>
    <t>Kwota bazowa</t>
  </si>
  <si>
    <t>Udział % w PSM</t>
  </si>
  <si>
    <t>Udział % IPSM  w PSM</t>
  </si>
  <si>
    <t>Sumaryczny Indywidualny Plan Sprzedaży Marża</t>
  </si>
  <si>
    <t>premia 15</t>
  </si>
  <si>
    <t>zasadnicza</t>
  </si>
  <si>
    <t>suma mies</t>
  </si>
  <si>
    <t>Symulacja zarobków miesięcznych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</si>
</sst>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#,##0.00_ ;\-#,##0.00\ "/>
    <numFmt numFmtId="167" formatCode="0.0%"/>
  </numFmts>
  <fonts count="41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B050"/>
      <name val="Arial"/>
      <family val="2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 tint="0.34998626667073579"/>
      <name val="Arial"/>
      <family val="2"/>
    </font>
    <font>
      <sz val="7"/>
      <color theme="1" tint="0.34998626667073579"/>
      <name val="Arial"/>
      <family val="2"/>
    </font>
    <font>
      <b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b/>
      <sz val="7"/>
      <color indexed="53"/>
      <name val="Arial"/>
      <family val="2"/>
      <charset val="238"/>
    </font>
    <font>
      <b/>
      <sz val="7"/>
      <name val="Arial"/>
      <family val="2"/>
      <charset val="238"/>
    </font>
    <font>
      <b/>
      <sz val="7"/>
      <color indexed="55"/>
      <name val="Arial"/>
      <family val="2"/>
      <charset val="238"/>
    </font>
    <font>
      <b/>
      <sz val="7"/>
      <color theme="3"/>
      <name val="Arial"/>
      <family val="2"/>
      <charset val="238"/>
    </font>
    <font>
      <b/>
      <sz val="7"/>
      <color theme="1" tint="0.499984740745262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theme="0" tint="-0.34998626667073579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theme="0" tint="-0.499984740745262"/>
      <name val="Arial"/>
      <family val="2"/>
      <charset val="238"/>
    </font>
    <font>
      <sz val="7"/>
      <color indexed="63"/>
      <name val="Arial"/>
      <family val="2"/>
      <charset val="238"/>
    </font>
    <font>
      <b/>
      <sz val="7"/>
      <color indexed="63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7"/>
      <color theme="4" tint="-0.249977111117893"/>
      <name val="Arial"/>
      <family val="2"/>
      <charset val="238"/>
    </font>
    <font>
      <b/>
      <sz val="7"/>
      <color theme="4" tint="-0.24997711111789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b/>
      <sz val="7"/>
      <color theme="9" tint="-0.249977111117893"/>
      <name val="Arial"/>
      <family val="2"/>
      <charset val="238"/>
    </font>
    <font>
      <sz val="8"/>
      <color rgb="FF00B050"/>
      <name val="Arial CE"/>
      <charset val="238"/>
    </font>
    <font>
      <sz val="7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1"/>
      <color rgb="FF00B050"/>
      <name val="Calibri"/>
      <family val="2"/>
      <charset val="238"/>
    </font>
    <font>
      <b/>
      <sz val="8"/>
      <color rgb="FF00B050"/>
      <name val="Arial"/>
      <family val="2"/>
      <charset val="238"/>
    </font>
    <font>
      <b/>
      <sz val="10"/>
      <color rgb="FF00B050"/>
      <name val="Arial CE"/>
      <charset val="238"/>
    </font>
    <font>
      <b/>
      <sz val="8"/>
      <color rgb="FF00B050"/>
      <name val="Arial CE"/>
      <charset val="238"/>
    </font>
    <font>
      <b/>
      <sz val="8"/>
      <color rgb="FFFF0000"/>
      <name val="Arial CE"/>
      <charset val="238"/>
    </font>
    <font>
      <b/>
      <sz val="7"/>
      <color rgb="FF002060"/>
      <name val="Arial"/>
      <family val="2"/>
      <charset val="238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715">
    <xf numFmtId="0" fontId="0" fillId="0" borderId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6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7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8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9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0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1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2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3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4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5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6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7" fillId="17" borderId="0" applyNumberFormat="0" applyBorder="0" applyAlignment="0" applyProtection="0"/>
    <xf numFmtId="0" fontId="278" fillId="18" borderId="0" applyNumberFormat="0" applyBorder="0" applyAlignment="0" applyProtection="0"/>
    <xf numFmtId="0" fontId="278" fillId="19" borderId="0" applyNumberFormat="0" applyBorder="0" applyAlignment="0" applyProtection="0"/>
    <xf numFmtId="0" fontId="278" fillId="20" borderId="0" applyNumberFormat="0" applyBorder="0" applyAlignment="0" applyProtection="0"/>
    <xf numFmtId="0" fontId="278" fillId="21" borderId="0" applyNumberFormat="0" applyBorder="0" applyAlignment="0" applyProtection="0"/>
    <xf numFmtId="0" fontId="278" fillId="22" borderId="0" applyNumberFormat="0" applyBorder="0" applyAlignment="0" applyProtection="0"/>
    <xf numFmtId="0" fontId="278" fillId="23" borderId="0" applyNumberFormat="0" applyBorder="0" applyAlignment="0" applyProtection="0"/>
    <xf numFmtId="0" fontId="278" fillId="24" borderId="0" applyNumberFormat="0" applyBorder="0" applyAlignment="0" applyProtection="0"/>
    <xf numFmtId="0" fontId="278" fillId="25" borderId="0" applyNumberFormat="0" applyBorder="0" applyAlignment="0" applyProtection="0"/>
    <xf numFmtId="0" fontId="278" fillId="26" borderId="0" applyNumberFormat="0" applyBorder="0" applyAlignment="0" applyProtection="0"/>
    <xf numFmtId="0" fontId="278" fillId="27" borderId="0" applyNumberFormat="0" applyBorder="0" applyAlignment="0" applyProtection="0"/>
    <xf numFmtId="0" fontId="278" fillId="28" borderId="0" applyNumberFormat="0" applyBorder="0" applyAlignment="0" applyProtection="0"/>
    <xf numFmtId="0" fontId="278" fillId="29" borderId="0" applyNumberFormat="0" applyBorder="0" applyAlignment="0" applyProtection="0"/>
    <xf numFmtId="0" fontId="279" fillId="30" borderId="38" applyNumberFormat="0" applyAlignment="0" applyProtection="0"/>
    <xf numFmtId="0" fontId="280" fillId="31" borderId="39" applyNumberFormat="0" applyAlignment="0" applyProtection="0"/>
    <xf numFmtId="0" fontId="281" fillId="32" borderId="0" applyNumberFormat="0" applyBorder="0" applyAlignment="0" applyProtection="0"/>
    <xf numFmtId="43" fontId="206" fillId="0" borderId="0" applyFont="0" applyFill="0" applyBorder="0" applyAlignment="0" applyProtection="0"/>
    <xf numFmtId="0" fontId="282" fillId="0" borderId="40" applyNumberFormat="0" applyFill="0" applyAlignment="0" applyProtection="0"/>
    <xf numFmtId="0" fontId="283" fillId="33" borderId="41" applyNumberFormat="0" applyAlignment="0" applyProtection="0"/>
    <xf numFmtId="0" fontId="284" fillId="0" borderId="42" applyNumberFormat="0" applyFill="0" applyAlignment="0" applyProtection="0"/>
    <xf numFmtId="0" fontId="285" fillId="0" borderId="43" applyNumberFormat="0" applyFill="0" applyAlignment="0" applyProtection="0"/>
    <xf numFmtId="0" fontId="286" fillId="0" borderId="44" applyNumberFormat="0" applyFill="0" applyAlignment="0" applyProtection="0"/>
    <xf numFmtId="0" fontId="286" fillId="0" borderId="0" applyNumberFormat="0" applyFill="0" applyBorder="0" applyAlignment="0" applyProtection="0"/>
    <xf numFmtId="0" fontId="287" fillId="34" borderId="0" applyNumberFormat="0" applyBorder="0" applyAlignment="0" applyProtection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06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77" fillId="0" borderId="0"/>
    <xf numFmtId="0" fontId="209" fillId="0" borderId="0"/>
    <xf numFmtId="0" fontId="288" fillId="31" borderId="38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89" fillId="0" borderId="45" applyNumberFormat="0" applyFill="0" applyAlignment="0" applyProtection="0"/>
    <xf numFmtId="0" fontId="290" fillId="0" borderId="0" applyNumberFormat="0" applyFill="0" applyBorder="0" applyAlignment="0" applyProtection="0"/>
    <xf numFmtId="0" fontId="291" fillId="0" borderId="0" applyNumberFormat="0" applyFill="0" applyBorder="0" applyAlignment="0" applyProtection="0"/>
    <xf numFmtId="0" fontId="292" fillId="0" borderId="0" applyNumberFormat="0" applyFill="0" applyBorder="0" applyAlignment="0" applyProtection="0"/>
    <xf numFmtId="0" fontId="198" fillId="35" borderId="46" applyNumberFormat="0" applyFont="0" applyAlignment="0" applyProtection="0"/>
    <xf numFmtId="0" fontId="147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99" fillId="35" borderId="46" applyNumberFormat="0" applyFont="0" applyAlignment="0" applyProtection="0"/>
    <xf numFmtId="0" fontId="197" fillId="35" borderId="46" applyNumberFormat="0" applyFont="0" applyAlignment="0" applyProtection="0"/>
    <xf numFmtId="0" fontId="147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89" fillId="35" borderId="46" applyNumberFormat="0" applyFont="0" applyAlignment="0" applyProtection="0"/>
    <xf numFmtId="0" fontId="196" fillId="35" borderId="46" applyNumberFormat="0" applyFont="0" applyAlignment="0" applyProtection="0"/>
    <xf numFmtId="0" fontId="147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79" fillId="35" borderId="46" applyNumberFormat="0" applyFont="0" applyAlignment="0" applyProtection="0"/>
    <xf numFmtId="0" fontId="195" fillId="35" borderId="46" applyNumberFormat="0" applyFont="0" applyAlignment="0" applyProtection="0"/>
    <xf numFmtId="0" fontId="147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69" fillId="35" borderId="46" applyNumberFormat="0" applyFont="0" applyAlignment="0" applyProtection="0"/>
    <xf numFmtId="0" fontId="194" fillId="35" borderId="46" applyNumberFormat="0" applyFont="0" applyAlignment="0" applyProtection="0"/>
    <xf numFmtId="0" fontId="147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59" fillId="35" borderId="46" applyNumberFormat="0" applyFont="0" applyAlignment="0" applyProtection="0"/>
    <xf numFmtId="0" fontId="193" fillId="35" borderId="46" applyNumberFormat="0" applyFont="0" applyAlignment="0" applyProtection="0"/>
    <xf numFmtId="0" fontId="147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49" fillId="35" borderId="46" applyNumberFormat="0" applyFont="0" applyAlignment="0" applyProtection="0"/>
    <xf numFmtId="0" fontId="192" fillId="35" borderId="46" applyNumberFormat="0" applyFont="0" applyAlignment="0" applyProtection="0"/>
    <xf numFmtId="0" fontId="147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39" fillId="35" borderId="46" applyNumberFormat="0" applyFont="0" applyAlignment="0" applyProtection="0"/>
    <xf numFmtId="0" fontId="191" fillId="35" borderId="46" applyNumberFormat="0" applyFont="0" applyAlignment="0" applyProtection="0"/>
    <xf numFmtId="0" fontId="147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29" fillId="35" borderId="46" applyNumberFormat="0" applyFont="0" applyAlignment="0" applyProtection="0"/>
    <xf numFmtId="0" fontId="190" fillId="35" borderId="46" applyNumberFormat="0" applyFont="0" applyAlignment="0" applyProtection="0"/>
    <xf numFmtId="0" fontId="147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" fillId="35" borderId="46" applyNumberFormat="0" applyFont="0" applyAlignment="0" applyProtection="0"/>
    <xf numFmtId="0" fontId="189" fillId="35" borderId="46" applyNumberFormat="0" applyFont="0" applyAlignment="0" applyProtection="0"/>
    <xf numFmtId="0" fontId="147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6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12" fillId="35" borderId="46" applyNumberFormat="0" applyFont="0" applyAlignment="0" applyProtection="0"/>
    <xf numFmtId="0" fontId="225" fillId="35" borderId="46" applyNumberFormat="0" applyFont="0" applyAlignment="0" applyProtection="0"/>
    <xf numFmtId="0" fontId="147" fillId="35" borderId="46" applyNumberFormat="0" applyFont="0" applyAlignment="0" applyProtection="0"/>
    <xf numFmtId="0" fontId="188" fillId="35" borderId="46" applyNumberFormat="0" applyFont="0" applyAlignment="0" applyProtection="0"/>
    <xf numFmtId="0" fontId="147" fillId="35" borderId="46" applyNumberFormat="0" applyFont="0" applyAlignment="0" applyProtection="0"/>
    <xf numFmtId="0" fontId="187" fillId="35" borderId="46" applyNumberFormat="0" applyFont="0" applyAlignment="0" applyProtection="0"/>
    <xf numFmtId="0" fontId="147" fillId="35" borderId="46" applyNumberFormat="0" applyFont="0" applyAlignment="0" applyProtection="0"/>
    <xf numFmtId="0" fontId="186" fillId="35" borderId="46" applyNumberFormat="0" applyFont="0" applyAlignment="0" applyProtection="0"/>
    <xf numFmtId="0" fontId="147" fillId="35" borderId="46" applyNumberFormat="0" applyFont="0" applyAlignment="0" applyProtection="0"/>
    <xf numFmtId="0" fontId="185" fillId="35" borderId="46" applyNumberFormat="0" applyFont="0" applyAlignment="0" applyProtection="0"/>
    <xf numFmtId="0" fontId="147" fillId="35" borderId="46" applyNumberFormat="0" applyFont="0" applyAlignment="0" applyProtection="0"/>
    <xf numFmtId="0" fontId="184" fillId="35" borderId="46" applyNumberFormat="0" applyFont="0" applyAlignment="0" applyProtection="0"/>
    <xf numFmtId="0" fontId="147" fillId="35" borderId="46" applyNumberFormat="0" applyFont="0" applyAlignment="0" applyProtection="0"/>
    <xf numFmtId="0" fontId="183" fillId="35" borderId="46" applyNumberFormat="0" applyFont="0" applyAlignment="0" applyProtection="0"/>
    <xf numFmtId="0" fontId="147" fillId="35" borderId="46" applyNumberFormat="0" applyFont="0" applyAlignment="0" applyProtection="0"/>
    <xf numFmtId="0" fontId="182" fillId="35" borderId="46" applyNumberFormat="0" applyFont="0" applyAlignment="0" applyProtection="0"/>
    <xf numFmtId="0" fontId="147" fillId="35" borderId="46" applyNumberFormat="0" applyFont="0" applyAlignment="0" applyProtection="0"/>
    <xf numFmtId="0" fontId="181" fillId="35" borderId="46" applyNumberFormat="0" applyFont="0" applyAlignment="0" applyProtection="0"/>
    <xf numFmtId="0" fontId="147" fillId="35" borderId="46" applyNumberFormat="0" applyFont="0" applyAlignment="0" applyProtection="0"/>
    <xf numFmtId="0" fontId="180" fillId="35" borderId="46" applyNumberFormat="0" applyFont="0" applyAlignment="0" applyProtection="0"/>
    <xf numFmtId="0" fontId="147" fillId="35" borderId="46" applyNumberFormat="0" applyFont="0" applyAlignment="0" applyProtection="0"/>
    <xf numFmtId="0" fontId="179" fillId="35" borderId="46" applyNumberFormat="0" applyFont="0" applyAlignment="0" applyProtection="0"/>
    <xf numFmtId="0" fontId="147" fillId="35" borderId="46" applyNumberFormat="0" applyFont="0" applyAlignment="0" applyProtection="0"/>
    <xf numFmtId="0" fontId="205" fillId="35" borderId="46" applyNumberFormat="0" applyFont="0" applyAlignment="0" applyProtection="0"/>
    <xf numFmtId="0" fontId="147" fillId="35" borderId="46" applyNumberFormat="0" applyFont="0" applyAlignment="0" applyProtection="0"/>
    <xf numFmtId="0" fontId="178" fillId="35" borderId="46" applyNumberFormat="0" applyFont="0" applyAlignment="0" applyProtection="0"/>
    <xf numFmtId="0" fontId="147" fillId="35" borderId="46" applyNumberFormat="0" applyFont="0" applyAlignment="0" applyProtection="0"/>
    <xf numFmtId="0" fontId="177" fillId="35" borderId="46" applyNumberFormat="0" applyFont="0" applyAlignment="0" applyProtection="0"/>
    <xf numFmtId="0" fontId="147" fillId="35" borderId="46" applyNumberFormat="0" applyFont="0" applyAlignment="0" applyProtection="0"/>
    <xf numFmtId="0" fontId="176" fillId="35" borderId="46" applyNumberFormat="0" applyFont="0" applyAlignment="0" applyProtection="0"/>
    <xf numFmtId="0" fontId="147" fillId="35" borderId="46" applyNumberFormat="0" applyFont="0" applyAlignment="0" applyProtection="0"/>
    <xf numFmtId="0" fontId="175" fillId="35" borderId="46" applyNumberFormat="0" applyFont="0" applyAlignment="0" applyProtection="0"/>
    <xf numFmtId="0" fontId="147" fillId="35" borderId="46" applyNumberFormat="0" applyFont="0" applyAlignment="0" applyProtection="0"/>
    <xf numFmtId="0" fontId="174" fillId="35" borderId="46" applyNumberFormat="0" applyFont="0" applyAlignment="0" applyProtection="0"/>
    <xf numFmtId="0" fontId="147" fillId="35" borderId="46" applyNumberFormat="0" applyFont="0" applyAlignment="0" applyProtection="0"/>
    <xf numFmtId="0" fontId="173" fillId="35" borderId="46" applyNumberFormat="0" applyFont="0" applyAlignment="0" applyProtection="0"/>
    <xf numFmtId="0" fontId="147" fillId="35" borderId="46" applyNumberFormat="0" applyFont="0" applyAlignment="0" applyProtection="0"/>
    <xf numFmtId="0" fontId="172" fillId="35" borderId="46" applyNumberFormat="0" applyFont="0" applyAlignment="0" applyProtection="0"/>
    <xf numFmtId="0" fontId="147" fillId="35" borderId="46" applyNumberFormat="0" applyFont="0" applyAlignment="0" applyProtection="0"/>
    <xf numFmtId="0" fontId="171" fillId="35" borderId="46" applyNumberFormat="0" applyFont="0" applyAlignment="0" applyProtection="0"/>
    <xf numFmtId="0" fontId="147" fillId="35" borderId="46" applyNumberFormat="0" applyFont="0" applyAlignment="0" applyProtection="0"/>
    <xf numFmtId="0" fontId="170" fillId="35" borderId="46" applyNumberFormat="0" applyFont="0" applyAlignment="0" applyProtection="0"/>
    <xf numFmtId="0" fontId="147" fillId="35" borderId="46" applyNumberFormat="0" applyFont="0" applyAlignment="0" applyProtection="0"/>
    <xf numFmtId="0" fontId="169" fillId="35" borderId="46" applyNumberFormat="0" applyFont="0" applyAlignment="0" applyProtection="0"/>
    <xf numFmtId="0" fontId="147" fillId="35" borderId="46" applyNumberFormat="0" applyFont="0" applyAlignment="0" applyProtection="0"/>
    <xf numFmtId="0" fontId="204" fillId="35" borderId="46" applyNumberFormat="0" applyFont="0" applyAlignment="0" applyProtection="0"/>
    <xf numFmtId="0" fontId="147" fillId="35" borderId="46" applyNumberFormat="0" applyFont="0" applyAlignment="0" applyProtection="0"/>
    <xf numFmtId="0" fontId="168" fillId="35" borderId="46" applyNumberFormat="0" applyFont="0" applyAlignment="0" applyProtection="0"/>
    <xf numFmtId="0" fontId="147" fillId="35" borderId="46" applyNumberFormat="0" applyFont="0" applyAlignment="0" applyProtection="0"/>
    <xf numFmtId="0" fontId="167" fillId="35" borderId="46" applyNumberFormat="0" applyFont="0" applyAlignment="0" applyProtection="0"/>
    <xf numFmtId="0" fontId="147" fillId="35" borderId="46" applyNumberFormat="0" applyFont="0" applyAlignment="0" applyProtection="0"/>
    <xf numFmtId="0" fontId="166" fillId="35" borderId="46" applyNumberFormat="0" applyFont="0" applyAlignment="0" applyProtection="0"/>
    <xf numFmtId="0" fontId="147" fillId="35" borderId="46" applyNumberFormat="0" applyFont="0" applyAlignment="0" applyProtection="0"/>
    <xf numFmtId="0" fontId="165" fillId="35" borderId="46" applyNumberFormat="0" applyFont="0" applyAlignment="0" applyProtection="0"/>
    <xf numFmtId="0" fontId="147" fillId="35" borderId="46" applyNumberFormat="0" applyFont="0" applyAlignment="0" applyProtection="0"/>
    <xf numFmtId="0" fontId="164" fillId="35" borderId="46" applyNumberFormat="0" applyFont="0" applyAlignment="0" applyProtection="0"/>
    <xf numFmtId="0" fontId="147" fillId="35" borderId="46" applyNumberFormat="0" applyFont="0" applyAlignment="0" applyProtection="0"/>
    <xf numFmtId="0" fontId="163" fillId="35" borderId="46" applyNumberFormat="0" applyFont="0" applyAlignment="0" applyProtection="0"/>
    <xf numFmtId="0" fontId="147" fillId="35" borderId="46" applyNumberFormat="0" applyFont="0" applyAlignment="0" applyProtection="0"/>
    <xf numFmtId="0" fontId="162" fillId="35" borderId="46" applyNumberFormat="0" applyFont="0" applyAlignment="0" applyProtection="0"/>
    <xf numFmtId="0" fontId="147" fillId="35" borderId="46" applyNumberFormat="0" applyFont="0" applyAlignment="0" applyProtection="0"/>
    <xf numFmtId="0" fontId="161" fillId="35" borderId="46" applyNumberFormat="0" applyFont="0" applyAlignment="0" applyProtection="0"/>
    <xf numFmtId="0" fontId="147" fillId="35" borderId="46" applyNumberFormat="0" applyFont="0" applyAlignment="0" applyProtection="0"/>
    <xf numFmtId="0" fontId="160" fillId="35" borderId="46" applyNumberFormat="0" applyFont="0" applyAlignment="0" applyProtection="0"/>
    <xf numFmtId="0" fontId="147" fillId="35" borderId="46" applyNumberFormat="0" applyFont="0" applyAlignment="0" applyProtection="0"/>
    <xf numFmtId="0" fontId="159" fillId="35" borderId="46" applyNumberFormat="0" applyFont="0" applyAlignment="0" applyProtection="0"/>
    <xf numFmtId="0" fontId="147" fillId="35" borderId="46" applyNumberFormat="0" applyFont="0" applyAlignment="0" applyProtection="0"/>
    <xf numFmtId="0" fontId="203" fillId="35" borderId="46" applyNumberFormat="0" applyFont="0" applyAlignment="0" applyProtection="0"/>
    <xf numFmtId="0" fontId="147" fillId="35" borderId="46" applyNumberFormat="0" applyFont="0" applyAlignment="0" applyProtection="0"/>
    <xf numFmtId="0" fontId="158" fillId="35" borderId="46" applyNumberFormat="0" applyFont="0" applyAlignment="0" applyProtection="0"/>
    <xf numFmtId="0" fontId="147" fillId="35" borderId="46" applyNumberFormat="0" applyFont="0" applyAlignment="0" applyProtection="0"/>
    <xf numFmtId="0" fontId="157" fillId="35" borderId="46" applyNumberFormat="0" applyFont="0" applyAlignment="0" applyProtection="0"/>
    <xf numFmtId="0" fontId="147" fillId="35" borderId="46" applyNumberFormat="0" applyFont="0" applyAlignment="0" applyProtection="0"/>
    <xf numFmtId="0" fontId="156" fillId="35" borderId="46" applyNumberFormat="0" applyFont="0" applyAlignment="0" applyProtection="0"/>
    <xf numFmtId="0" fontId="147" fillId="35" borderId="46" applyNumberFormat="0" applyFont="0" applyAlignment="0" applyProtection="0"/>
    <xf numFmtId="0" fontId="155" fillId="35" borderId="46" applyNumberFormat="0" applyFont="0" applyAlignment="0" applyProtection="0"/>
    <xf numFmtId="0" fontId="147" fillId="35" borderId="46" applyNumberFormat="0" applyFont="0" applyAlignment="0" applyProtection="0"/>
    <xf numFmtId="0" fontId="154" fillId="35" borderId="46" applyNumberFormat="0" applyFont="0" applyAlignment="0" applyProtection="0"/>
    <xf numFmtId="0" fontId="147" fillId="35" borderId="46" applyNumberFormat="0" applyFont="0" applyAlignment="0" applyProtection="0"/>
    <xf numFmtId="0" fontId="153" fillId="35" borderId="46" applyNumberFormat="0" applyFont="0" applyAlignment="0" applyProtection="0"/>
    <xf numFmtId="0" fontId="147" fillId="35" borderId="46" applyNumberFormat="0" applyFont="0" applyAlignment="0" applyProtection="0"/>
    <xf numFmtId="0" fontId="152" fillId="35" borderId="46" applyNumberFormat="0" applyFont="0" applyAlignment="0" applyProtection="0"/>
    <xf numFmtId="0" fontId="147" fillId="35" borderId="46" applyNumberFormat="0" applyFont="0" applyAlignment="0" applyProtection="0"/>
    <xf numFmtId="0" fontId="151" fillId="35" borderId="46" applyNumberFormat="0" applyFont="0" applyAlignment="0" applyProtection="0"/>
    <xf numFmtId="0" fontId="147" fillId="35" borderId="46" applyNumberFormat="0" applyFont="0" applyAlignment="0" applyProtection="0"/>
    <xf numFmtId="0" fontId="150" fillId="35" borderId="46" applyNumberFormat="0" applyFont="0" applyAlignment="0" applyProtection="0"/>
    <xf numFmtId="0" fontId="147" fillId="35" borderId="46" applyNumberFormat="0" applyFont="0" applyAlignment="0" applyProtection="0"/>
    <xf numFmtId="0" fontId="149" fillId="35" borderId="46" applyNumberFormat="0" applyFont="0" applyAlignment="0" applyProtection="0"/>
    <xf numFmtId="0" fontId="147" fillId="35" borderId="46" applyNumberFormat="0" applyFont="0" applyAlignment="0" applyProtection="0"/>
    <xf numFmtId="0" fontId="202" fillId="35" borderId="46" applyNumberFormat="0" applyFont="0" applyAlignment="0" applyProtection="0"/>
    <xf numFmtId="0" fontId="147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139" fillId="35" borderId="46" applyNumberFormat="0" applyFont="0" applyAlignment="0" applyProtection="0"/>
    <xf numFmtId="0" fontId="201" fillId="35" borderId="46" applyNumberFormat="0" applyFont="0" applyAlignment="0" applyProtection="0"/>
    <xf numFmtId="0" fontId="147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129" fillId="35" borderId="46" applyNumberFormat="0" applyFont="0" applyAlignment="0" applyProtection="0"/>
    <xf numFmtId="0" fontId="200" fillId="35" borderId="46" applyNumberFormat="0" applyFont="0" applyAlignment="0" applyProtection="0"/>
    <xf numFmtId="0" fontId="147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119" fillId="35" borderId="46" applyNumberFormat="0" applyFont="0" applyAlignment="0" applyProtection="0"/>
    <xf numFmtId="0" fontId="199" fillId="35" borderId="46" applyNumberFormat="0" applyFont="0" applyAlignment="0" applyProtection="0"/>
    <xf numFmtId="0" fontId="147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109" fillId="35" borderId="46" applyNumberFormat="0" applyFont="0" applyAlignment="0" applyProtection="0"/>
    <xf numFmtId="0" fontId="293" fillId="36" borderId="0" applyNumberFormat="0" applyBorder="0" applyAlignment="0" applyProtection="0"/>
    <xf numFmtId="43" fontId="277" fillId="0" borderId="0" applyFont="0" applyFill="0" applyBorder="0" applyAlignment="0" applyProtection="0"/>
    <xf numFmtId="0" fontId="277" fillId="35" borderId="46" applyNumberFormat="0" applyFont="0" applyAlignment="0" applyProtection="0"/>
    <xf numFmtId="0" fontId="296" fillId="0" borderId="0"/>
    <xf numFmtId="43" fontId="296" fillId="0" borderId="0" applyFont="0" applyFill="0" applyBorder="0" applyAlignment="0" applyProtection="0"/>
    <xf numFmtId="0" fontId="297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77" fillId="0" borderId="0" applyFont="0" applyFill="0" applyBorder="0" applyAlignment="0" applyProtection="0"/>
    <xf numFmtId="9" fontId="277" fillId="0" borderId="0" applyFont="0" applyFill="0" applyBorder="0" applyAlignment="0" applyProtection="0"/>
    <xf numFmtId="0" fontId="296" fillId="0" borderId="0"/>
    <xf numFmtId="9" fontId="277" fillId="0" borderId="0" applyFont="0" applyFill="0" applyBorder="0" applyAlignment="0" applyProtection="0"/>
    <xf numFmtId="0" fontId="206" fillId="0" borderId="0"/>
    <xf numFmtId="43" fontId="206" fillId="0" borderId="0" applyFont="0" applyFill="0" applyBorder="0" applyAlignment="0" applyProtection="0"/>
    <xf numFmtId="0" fontId="277" fillId="0" borderId="0"/>
    <xf numFmtId="0" fontId="277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5" borderId="46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8" fillId="0" borderId="0"/>
    <xf numFmtId="0" fontId="319" fillId="37" borderId="0" applyNumberFormat="0" applyBorder="0" applyAlignment="0" applyProtection="0"/>
    <xf numFmtId="0" fontId="319" fillId="38" borderId="0" applyNumberFormat="0" applyBorder="0" applyAlignment="0" applyProtection="0"/>
    <xf numFmtId="0" fontId="319" fillId="39" borderId="0" applyNumberFormat="0" applyBorder="0" applyAlignment="0" applyProtection="0"/>
    <xf numFmtId="0" fontId="319" fillId="40" borderId="0" applyNumberFormat="0" applyBorder="0" applyAlignment="0" applyProtection="0"/>
    <xf numFmtId="0" fontId="319" fillId="41" borderId="0" applyNumberFormat="0" applyBorder="0" applyAlignment="0" applyProtection="0"/>
    <xf numFmtId="0" fontId="319" fillId="42" borderId="0" applyNumberFormat="0" applyBorder="0" applyAlignment="0" applyProtection="0"/>
    <xf numFmtId="0" fontId="319" fillId="43" borderId="0" applyNumberFormat="0" applyBorder="0" applyAlignment="0" applyProtection="0"/>
    <xf numFmtId="0" fontId="319" fillId="44" borderId="0" applyNumberFormat="0" applyBorder="0" applyAlignment="0" applyProtection="0"/>
    <xf numFmtId="0" fontId="319" fillId="45" borderId="0" applyNumberFormat="0" applyBorder="0" applyAlignment="0" applyProtection="0"/>
    <xf numFmtId="0" fontId="319" fillId="40" borderId="0" applyNumberFormat="0" applyBorder="0" applyAlignment="0" applyProtection="0"/>
    <xf numFmtId="0" fontId="319" fillId="43" borderId="0" applyNumberFormat="0" applyBorder="0" applyAlignment="0" applyProtection="0"/>
    <xf numFmtId="0" fontId="319" fillId="46" borderId="0" applyNumberFormat="0" applyBorder="0" applyAlignment="0" applyProtection="0"/>
    <xf numFmtId="0" fontId="320" fillId="47" borderId="0" applyNumberFormat="0" applyBorder="0" applyAlignment="0" applyProtection="0"/>
    <xf numFmtId="0" fontId="320" fillId="44" borderId="0" applyNumberFormat="0" applyBorder="0" applyAlignment="0" applyProtection="0"/>
    <xf numFmtId="0" fontId="320" fillId="45" borderId="0" applyNumberFormat="0" applyBorder="0" applyAlignment="0" applyProtection="0"/>
    <xf numFmtId="0" fontId="320" fillId="48" borderId="0" applyNumberFormat="0" applyBorder="0" applyAlignment="0" applyProtection="0"/>
    <xf numFmtId="0" fontId="320" fillId="49" borderId="0" applyNumberFormat="0" applyBorder="0" applyAlignment="0" applyProtection="0"/>
    <xf numFmtId="0" fontId="320" fillId="50" borderId="0" applyNumberFormat="0" applyBorder="0" applyAlignment="0" applyProtection="0"/>
    <xf numFmtId="0" fontId="320" fillId="51" borderId="0" applyNumberFormat="0" applyBorder="0" applyAlignment="0" applyProtection="0"/>
    <xf numFmtId="0" fontId="320" fillId="52" borderId="0" applyNumberFormat="0" applyBorder="0" applyAlignment="0" applyProtection="0"/>
    <xf numFmtId="0" fontId="320" fillId="53" borderId="0" applyNumberFormat="0" applyBorder="0" applyAlignment="0" applyProtection="0"/>
    <xf numFmtId="0" fontId="320" fillId="48" borderId="0" applyNumberFormat="0" applyBorder="0" applyAlignment="0" applyProtection="0"/>
    <xf numFmtId="0" fontId="320" fillId="49" borderId="0" applyNumberFormat="0" applyBorder="0" applyAlignment="0" applyProtection="0"/>
    <xf numFmtId="0" fontId="320" fillId="54" borderId="0" applyNumberFormat="0" applyBorder="0" applyAlignment="0" applyProtection="0"/>
    <xf numFmtId="0" fontId="321" fillId="42" borderId="48" applyNumberFormat="0" applyAlignment="0" applyProtection="0"/>
    <xf numFmtId="0" fontId="322" fillId="55" borderId="49" applyNumberFormat="0" applyAlignment="0" applyProtection="0"/>
    <xf numFmtId="0" fontId="323" fillId="39" borderId="0" applyNumberFormat="0" applyBorder="0" applyAlignment="0" applyProtection="0"/>
    <xf numFmtId="0" fontId="324" fillId="0" borderId="50" applyNumberFormat="0" applyFill="0" applyAlignment="0" applyProtection="0"/>
    <xf numFmtId="0" fontId="325" fillId="56" borderId="51" applyNumberFormat="0" applyAlignment="0" applyProtection="0"/>
    <xf numFmtId="0" fontId="326" fillId="0" borderId="52" applyNumberFormat="0" applyFill="0" applyAlignment="0" applyProtection="0"/>
    <xf numFmtId="0" fontId="327" fillId="0" borderId="53" applyNumberFormat="0" applyFill="0" applyAlignment="0" applyProtection="0"/>
    <xf numFmtId="0" fontId="328" fillId="0" borderId="54" applyNumberFormat="0" applyFill="0" applyAlignment="0" applyProtection="0"/>
    <xf numFmtId="0" fontId="328" fillId="0" borderId="0" applyNumberFormat="0" applyFill="0" applyBorder="0" applyAlignment="0" applyProtection="0"/>
    <xf numFmtId="0" fontId="329" fillId="57" borderId="0" applyNumberFormat="0" applyBorder="0" applyAlignment="0" applyProtection="0"/>
    <xf numFmtId="0" fontId="330" fillId="55" borderId="48" applyNumberFormat="0" applyAlignment="0" applyProtection="0"/>
    <xf numFmtId="9" fontId="318" fillId="0" borderId="0" applyFont="0" applyFill="0" applyBorder="0" applyAlignment="0" applyProtection="0"/>
    <xf numFmtId="0" fontId="331" fillId="0" borderId="55" applyNumberFormat="0" applyFill="0" applyAlignment="0" applyProtection="0"/>
    <xf numFmtId="0" fontId="332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4" fillId="0" borderId="0" applyNumberFormat="0" applyFill="0" applyBorder="0" applyAlignment="0" applyProtection="0"/>
    <xf numFmtId="0" fontId="318" fillId="58" borderId="56" applyNumberFormat="0" applyFont="0" applyAlignment="0" applyProtection="0"/>
    <xf numFmtId="0" fontId="335" fillId="3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37" fillId="0" borderId="0"/>
    <xf numFmtId="9" fontId="337" fillId="0" borderId="0" applyFont="0" applyFill="0" applyBorder="0" applyAlignment="0" applyProtection="0"/>
    <xf numFmtId="0" fontId="337" fillId="58" borderId="56" applyNumberFormat="0" applyFont="0" applyAlignment="0" applyProtection="0"/>
    <xf numFmtId="0" fontId="338" fillId="0" borderId="0"/>
    <xf numFmtId="9" fontId="338" fillId="0" borderId="0" applyFont="0" applyFill="0" applyBorder="0" applyAlignment="0" applyProtection="0"/>
    <xf numFmtId="0" fontId="338" fillId="58" borderId="56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43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6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5" fillId="0" borderId="0"/>
    <xf numFmtId="9" fontId="265" fillId="0" borderId="0" applyFont="0" applyFill="0" applyBorder="0" applyAlignment="0" applyProtection="0"/>
    <xf numFmtId="0" fontId="265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65" fillId="0" borderId="0"/>
    <xf numFmtId="9" fontId="265" fillId="0" borderId="0" applyFont="0" applyFill="0" applyBorder="0" applyAlignment="0" applyProtection="0"/>
    <xf numFmtId="0" fontId="265" fillId="58" borderId="56" applyNumberFormat="0" applyFont="0" applyAlignment="0" applyProtection="0"/>
    <xf numFmtId="0" fontId="265" fillId="0" borderId="0"/>
    <xf numFmtId="9" fontId="265" fillId="0" borderId="0" applyFont="0" applyFill="0" applyBorder="0" applyAlignment="0" applyProtection="0"/>
    <xf numFmtId="0" fontId="265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41" fillId="0" borderId="0"/>
    <xf numFmtId="9" fontId="341" fillId="0" borderId="0" applyFont="0" applyFill="0" applyBorder="0" applyAlignment="0" applyProtection="0"/>
    <xf numFmtId="0" fontId="341" fillId="58" borderId="56" applyNumberFormat="0" applyFont="0" applyAlignment="0" applyProtection="0"/>
    <xf numFmtId="0" fontId="344" fillId="0" borderId="0"/>
    <xf numFmtId="9" fontId="344" fillId="0" borderId="0" applyFont="0" applyFill="0" applyBorder="0" applyAlignment="0" applyProtection="0"/>
    <xf numFmtId="0" fontId="344" fillId="58" borderId="56" applyNumberFormat="0" applyFont="0" applyAlignment="0" applyProtection="0"/>
    <xf numFmtId="0" fontId="347" fillId="0" borderId="0"/>
    <xf numFmtId="9" fontId="347" fillId="0" borderId="0" applyFont="0" applyFill="0" applyBorder="0" applyAlignment="0" applyProtection="0"/>
    <xf numFmtId="0" fontId="347" fillId="58" borderId="56" applyNumberFormat="0" applyFont="0" applyAlignment="0" applyProtection="0"/>
    <xf numFmtId="0" fontId="348" fillId="0" borderId="0"/>
    <xf numFmtId="9" fontId="348" fillId="0" borderId="0" applyFont="0" applyFill="0" applyBorder="0" applyAlignment="0" applyProtection="0"/>
    <xf numFmtId="0" fontId="348" fillId="58" borderId="56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6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6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56" fillId="0" borderId="0"/>
    <xf numFmtId="9" fontId="356" fillId="0" borderId="0" applyFont="0" applyFill="0" applyBorder="0" applyAlignment="0" applyProtection="0"/>
    <xf numFmtId="0" fontId="356" fillId="58" borderId="56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57" fillId="0" borderId="0"/>
    <xf numFmtId="9" fontId="357" fillId="0" borderId="0" applyFont="0" applyFill="0" applyBorder="0" applyAlignment="0" applyProtection="0"/>
    <xf numFmtId="0" fontId="357" fillId="58" borderId="56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61" fillId="0" borderId="0"/>
    <xf numFmtId="9" fontId="361" fillId="0" borderId="0" applyFont="0" applyFill="0" applyBorder="0" applyAlignment="0" applyProtection="0"/>
    <xf numFmtId="0" fontId="361" fillId="58" borderId="5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68" fillId="0" borderId="0"/>
    <xf numFmtId="9" fontId="368" fillId="0" borderId="0" applyFont="0" applyFill="0" applyBorder="0" applyAlignment="0" applyProtection="0"/>
    <xf numFmtId="0" fontId="368" fillId="58" borderId="5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6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6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27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Fill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4" fontId="211" fillId="0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7" fillId="0" borderId="1" xfId="0" applyNumberFormat="1" applyFont="1" applyFill="1" applyBorder="1" applyAlignment="1">
      <alignment horizontal="left" vertical="center"/>
    </xf>
    <xf numFmtId="10" fontId="228" fillId="0" borderId="1" xfId="3304" applyNumberFormat="1" applyFont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4" fontId="230" fillId="0" borderId="1" xfId="3302" applyNumberFormat="1" applyFont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4" fontId="230" fillId="0" borderId="1" xfId="0" applyNumberFormat="1" applyFont="1" applyFill="1" applyBorder="1" applyAlignment="1">
      <alignment horizontal="left" vertical="center"/>
    </xf>
    <xf numFmtId="0" fontId="232" fillId="0" borderId="1" xfId="0" applyNumberFormat="1" applyFont="1" applyFill="1" applyBorder="1" applyAlignment="1">
      <alignment horizontal="left" vertical="center"/>
    </xf>
    <xf numFmtId="0" fontId="234" fillId="0" borderId="0" xfId="0" applyFont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center"/>
    </xf>
    <xf numFmtId="4" fontId="240" fillId="0" borderId="1" xfId="0" applyNumberFormat="1" applyFont="1" applyFill="1" applyBorder="1" applyAlignment="1">
      <alignment horizontal="left" vertical="center"/>
    </xf>
    <xf numFmtId="4" fontId="239" fillId="0" borderId="1" xfId="0" applyNumberFormat="1" applyFont="1" applyFill="1" applyBorder="1" applyAlignment="1">
      <alignment horizontal="left" vertical="center"/>
    </xf>
    <xf numFmtId="3" fontId="239" fillId="0" borderId="1" xfId="3302" applyNumberFormat="1" applyFont="1" applyBorder="1" applyAlignment="1">
      <alignment horizontal="center" vertical="center"/>
    </xf>
    <xf numFmtId="3" fontId="209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4" fontId="228" fillId="0" borderId="1" xfId="0" applyNumberFormat="1" applyFont="1" applyFill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3" fontId="239" fillId="0" borderId="1" xfId="3040" applyFont="1" applyBorder="1" applyAlignment="1">
      <alignment horizontal="center" vertical="center"/>
    </xf>
    <xf numFmtId="4" fontId="244" fillId="0" borderId="1" xfId="0" applyNumberFormat="1" applyFont="1" applyFill="1" applyBorder="1" applyAlignment="1">
      <alignment horizontal="left" vertical="center"/>
    </xf>
    <xf numFmtId="43" fontId="240" fillId="0" borderId="1" xfId="3040" applyFont="1" applyBorder="1" applyAlignment="1">
      <alignment horizontal="center" vertical="center"/>
    </xf>
    <xf numFmtId="4" fontId="241" fillId="0" borderId="1" xfId="0" applyNumberFormat="1" applyFont="1" applyFill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0" fontId="242" fillId="0" borderId="0" xfId="0" applyFont="1" applyAlignment="1">
      <alignment horizontal="left" vertical="center"/>
    </xf>
    <xf numFmtId="4" fontId="243" fillId="0" borderId="2" xfId="0" applyNumberFormat="1" applyFont="1" applyFill="1" applyBorder="1" applyAlignment="1">
      <alignment horizontal="left" vertical="center"/>
    </xf>
    <xf numFmtId="3" fontId="243" fillId="0" borderId="0" xfId="3302" applyNumberFormat="1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6" fillId="0" borderId="0" xfId="0" applyFont="1" applyAlignment="1">
      <alignment horizontal="left"/>
    </xf>
    <xf numFmtId="0" fontId="209" fillId="0" borderId="0" xfId="0" applyFont="1"/>
    <xf numFmtId="0" fontId="252" fillId="0" borderId="0" xfId="0" applyFont="1" applyAlignment="1">
      <alignment horizontal="left" vertical="center"/>
    </xf>
    <xf numFmtId="0" fontId="253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55" fillId="0" borderId="1" xfId="0" applyNumberFormat="1" applyFont="1" applyFill="1" applyBorder="1" applyAlignment="1">
      <alignment horizontal="left" vertical="center"/>
    </xf>
    <xf numFmtId="4" fontId="241" fillId="0" borderId="1" xfId="3302" applyNumberFormat="1" applyFont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43" fontId="209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3" fontId="228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" fontId="255" fillId="0" borderId="1" xfId="0" applyNumberFormat="1" applyFont="1" applyFill="1" applyBorder="1" applyAlignment="1">
      <alignment horizontal="center" vertical="center"/>
    </xf>
    <xf numFmtId="43" fontId="251" fillId="0" borderId="1" xfId="3040" applyFont="1" applyBorder="1" applyAlignment="1">
      <alignment horizontal="center" vertical="center"/>
    </xf>
    <xf numFmtId="43" fontId="251" fillId="0" borderId="1" xfId="3040" applyNumberFormat="1" applyFont="1" applyBorder="1" applyAlignment="1">
      <alignment horizontal="center" vertical="center"/>
    </xf>
    <xf numFmtId="4" fontId="251" fillId="0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left" vertical="center"/>
    </xf>
    <xf numFmtId="10" fontId="249" fillId="0" borderId="1" xfId="3304" applyNumberFormat="1" applyFont="1" applyBorder="1" applyAlignment="1">
      <alignment horizontal="center" vertical="center"/>
    </xf>
    <xf numFmtId="43" fontId="218" fillId="0" borderId="1" xfId="3040" applyFont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10" fontId="239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10" fontId="228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43" fontId="255" fillId="0" borderId="1" xfId="3040" applyFont="1" applyFill="1" applyBorder="1" applyAlignment="1">
      <alignment horizontal="center" vertical="center"/>
    </xf>
    <xf numFmtId="4" fontId="254" fillId="0" borderId="5" xfId="0" applyNumberFormat="1" applyFont="1" applyFill="1" applyBorder="1" applyAlignment="1">
      <alignment horizontal="left" vertical="center"/>
    </xf>
    <xf numFmtId="10" fontId="254" fillId="0" borderId="5" xfId="3304" applyNumberFormat="1" applyFont="1" applyBorder="1" applyAlignment="1">
      <alignment horizontal="center" vertical="center"/>
    </xf>
    <xf numFmtId="49" fontId="239" fillId="0" borderId="1" xfId="3040" applyNumberFormat="1" applyFont="1" applyBorder="1" applyAlignment="1">
      <alignment horizontal="center" vertical="center"/>
    </xf>
    <xf numFmtId="0" fontId="239" fillId="0" borderId="1" xfId="3040" applyNumberFormat="1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7" fillId="0" borderId="1" xfId="0" applyNumberFormat="1" applyFont="1" applyFill="1" applyBorder="1" applyAlignment="1">
      <alignment horizontal="left" vertical="center"/>
    </xf>
    <xf numFmtId="4" fontId="258" fillId="0" borderId="1" xfId="0" applyNumberFormat="1" applyFont="1" applyFill="1" applyBorder="1" applyAlignment="1">
      <alignment horizontal="left" vertical="center"/>
    </xf>
    <xf numFmtId="0" fontId="224" fillId="0" borderId="1" xfId="0" applyFont="1" applyBorder="1" applyAlignment="1">
      <alignment horizontal="left" vertical="center"/>
    </xf>
    <xf numFmtId="43" fontId="258" fillId="2" borderId="1" xfId="3040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left" vertical="center"/>
    </xf>
    <xf numFmtId="43" fontId="248" fillId="2" borderId="1" xfId="3040" applyFont="1" applyFill="1" applyBorder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164" fontId="249" fillId="2" borderId="1" xfId="0" applyNumberFormat="1" applyFont="1" applyFill="1" applyBorder="1" applyAlignment="1">
      <alignment horizontal="left" vertical="center"/>
    </xf>
    <xf numFmtId="2" fontId="248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164" fontId="250" fillId="2" borderId="1" xfId="0" applyNumberFormat="1" applyFont="1" applyFill="1" applyBorder="1" applyAlignment="1">
      <alignment horizontal="left" vertical="center"/>
    </xf>
    <xf numFmtId="164" fontId="261" fillId="2" borderId="1" xfId="0" applyNumberFormat="1" applyFont="1" applyFill="1" applyBorder="1" applyAlignment="1">
      <alignment horizontal="left" vertical="center"/>
    </xf>
    <xf numFmtId="4" fontId="261" fillId="0" borderId="5" xfId="0" applyNumberFormat="1" applyFont="1" applyFill="1" applyBorder="1" applyAlignment="1">
      <alignment horizontal="left" vertical="center"/>
    </xf>
    <xf numFmtId="10" fontId="261" fillId="0" borderId="5" xfId="3304" applyNumberFormat="1" applyFont="1" applyBorder="1" applyAlignment="1">
      <alignment horizontal="center" vertical="center"/>
    </xf>
    <xf numFmtId="43" fontId="255" fillId="0" borderId="1" xfId="3040" applyFont="1" applyBorder="1" applyAlignment="1">
      <alignment horizontal="center" vertical="center"/>
    </xf>
    <xf numFmtId="0" fontId="262" fillId="0" borderId="6" xfId="0" applyFont="1" applyBorder="1" applyAlignment="1">
      <alignment horizontal="center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60" fillId="2" borderId="1" xfId="0" applyNumberFormat="1" applyFont="1" applyFill="1" applyBorder="1" applyAlignment="1">
      <alignment horizontal="left" vertical="center"/>
    </xf>
    <xf numFmtId="4" fontId="246" fillId="0" borderId="1" xfId="0" applyNumberFormat="1" applyFont="1" applyFill="1" applyBorder="1" applyAlignment="1">
      <alignment horizontal="left" vertical="center"/>
    </xf>
    <xf numFmtId="10" fontId="246" fillId="0" borderId="1" xfId="3304" applyNumberFormat="1" applyFont="1" applyBorder="1" applyAlignment="1">
      <alignment horizontal="center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43" fontId="249" fillId="0" borderId="1" xfId="3040" applyFont="1" applyBorder="1" applyAlignment="1">
      <alignment horizontal="center" vertical="center"/>
    </xf>
    <xf numFmtId="1" fontId="245" fillId="2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" fontId="251" fillId="2" borderId="1" xfId="0" applyNumberFormat="1" applyFont="1" applyFill="1" applyBorder="1" applyAlignment="1">
      <alignment horizontal="left" vertical="center"/>
    </xf>
    <xf numFmtId="4" fontId="258" fillId="2" borderId="1" xfId="0" applyNumberFormat="1" applyFont="1" applyFill="1" applyBorder="1" applyAlignment="1">
      <alignment horizontal="left" vertical="center"/>
    </xf>
    <xf numFmtId="4" fontId="244" fillId="2" borderId="1" xfId="0" applyNumberFormat="1" applyFont="1" applyFill="1" applyBorder="1" applyAlignment="1">
      <alignment horizontal="left" vertical="center"/>
    </xf>
    <xf numFmtId="4" fontId="244" fillId="0" borderId="2" xfId="0" applyNumberFormat="1" applyFont="1" applyFill="1" applyBorder="1" applyAlignment="1">
      <alignment horizontal="left" vertical="center"/>
    </xf>
    <xf numFmtId="3" fontId="244" fillId="0" borderId="0" xfId="3302" applyNumberFormat="1" applyFont="1" applyBorder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4" fillId="0" borderId="0" xfId="0" applyFont="1" applyAlignment="1">
      <alignment horizontal="left" vertical="center"/>
    </xf>
    <xf numFmtId="1" fontId="209" fillId="0" borderId="0" xfId="0" applyNumberFormat="1" applyFont="1" applyBorder="1" applyAlignment="1">
      <alignment horizontal="left" vertical="center"/>
    </xf>
    <xf numFmtId="0" fontId="263" fillId="0" borderId="0" xfId="0" applyFont="1" applyAlignment="1">
      <alignment horizontal="left"/>
    </xf>
    <xf numFmtId="0" fontId="263" fillId="0" borderId="0" xfId="0" applyFont="1" applyAlignment="1">
      <alignment horizontal="left" vertical="center"/>
    </xf>
    <xf numFmtId="0" fontId="264" fillId="0" borderId="0" xfId="0" applyFont="1" applyAlignment="1">
      <alignment horizontal="left" vertical="center"/>
    </xf>
    <xf numFmtId="0" fontId="264" fillId="0" borderId="0" xfId="0" applyFont="1" applyAlignment="1">
      <alignment horizontal="left"/>
    </xf>
    <xf numFmtId="0" fontId="265" fillId="0" borderId="0" xfId="0" applyFont="1" applyAlignment="1">
      <alignment horizontal="left" vertical="center"/>
    </xf>
    <xf numFmtId="0" fontId="265" fillId="0" borderId="0" xfId="0" applyFont="1" applyAlignment="1">
      <alignment horizontal="left"/>
    </xf>
    <xf numFmtId="0" fontId="265" fillId="0" borderId="0" xfId="0" applyFont="1"/>
    <xf numFmtId="1" fontId="224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/>
    <xf numFmtId="2" fontId="212" fillId="0" borderId="1" xfId="0" applyNumberFormat="1" applyFont="1" applyFill="1" applyBorder="1" applyAlignment="1">
      <alignment vertical="center"/>
    </xf>
    <xf numFmtId="0" fontId="224" fillId="3" borderId="8" xfId="0" applyFont="1" applyFill="1" applyBorder="1" applyAlignment="1">
      <alignment horizontal="center"/>
    </xf>
    <xf numFmtId="0" fontId="209" fillId="0" borderId="9" xfId="0" applyFont="1" applyFill="1" applyBorder="1" applyAlignment="1">
      <alignment horizontal="center"/>
    </xf>
    <xf numFmtId="0" fontId="209" fillId="0" borderId="10" xfId="0" applyFont="1" applyFill="1" applyBorder="1" applyAlignment="1">
      <alignment horizontal="center"/>
    </xf>
    <xf numFmtId="0" fontId="209" fillId="0" borderId="11" xfId="0" applyFont="1" applyFill="1" applyBorder="1" applyAlignment="1">
      <alignment horizontal="center"/>
    </xf>
    <xf numFmtId="0" fontId="209" fillId="0" borderId="12" xfId="0" applyFont="1" applyFill="1" applyBorder="1" applyAlignment="1">
      <alignment horizontal="center"/>
    </xf>
    <xf numFmtId="0" fontId="209" fillId="0" borderId="13" xfId="0" applyFont="1" applyFill="1" applyBorder="1" applyAlignment="1">
      <alignment horizontal="center"/>
    </xf>
    <xf numFmtId="0" fontId="266" fillId="0" borderId="0" xfId="0" applyFont="1" applyFill="1" applyBorder="1" applyAlignment="1">
      <alignment horizontal="center"/>
    </xf>
    <xf numFmtId="0" fontId="209" fillId="0" borderId="16" xfId="0" applyFont="1" applyFill="1" applyBorder="1" applyAlignment="1">
      <alignment horizontal="center"/>
    </xf>
    <xf numFmtId="0" fontId="209" fillId="0" borderId="17" xfId="0" applyFont="1" applyFill="1" applyBorder="1" applyAlignment="1">
      <alignment horizontal="center"/>
    </xf>
    <xf numFmtId="0" fontId="0" fillId="0" borderId="0" xfId="0" applyFont="1"/>
    <xf numFmtId="0" fontId="217" fillId="0" borderId="0" xfId="0" applyFont="1"/>
    <xf numFmtId="0" fontId="226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2" fillId="0" borderId="22" xfId="0" applyFont="1" applyBorder="1" applyAlignment="1">
      <alignment horizontal="center" vertical="center"/>
    </xf>
    <xf numFmtId="0" fontId="262" fillId="0" borderId="18" xfId="0" applyFont="1" applyBorder="1" applyAlignment="1">
      <alignment horizontal="center" vertical="center"/>
    </xf>
    <xf numFmtId="0" fontId="224" fillId="0" borderId="18" xfId="0" applyFont="1" applyBorder="1" applyAlignment="1">
      <alignment horizontal="center" vertical="center"/>
    </xf>
    <xf numFmtId="0" fontId="224" fillId="0" borderId="6" xfId="0" applyFont="1" applyBorder="1" applyAlignment="1">
      <alignment horizontal="center" vertical="center"/>
    </xf>
    <xf numFmtId="0" fontId="232" fillId="0" borderId="6" xfId="0" applyFont="1" applyFill="1" applyBorder="1" applyAlignment="1">
      <alignment horizontal="center" vertical="center"/>
    </xf>
    <xf numFmtId="0" fontId="237" fillId="0" borderId="22" xfId="0" applyFont="1" applyBorder="1" applyAlignment="1">
      <alignment horizontal="center" vertical="center"/>
    </xf>
    <xf numFmtId="0" fontId="237" fillId="0" borderId="18" xfId="0" applyFont="1" applyBorder="1" applyAlignment="1">
      <alignment horizontal="center" vertical="center"/>
    </xf>
    <xf numFmtId="4" fontId="258" fillId="0" borderId="1" xfId="0" applyNumberFormat="1" applyFont="1" applyFill="1" applyBorder="1" applyAlignment="1">
      <alignment horizontal="center" vertical="center"/>
    </xf>
    <xf numFmtId="43" fontId="0" fillId="0" borderId="4" xfId="3040" applyFont="1" applyBorder="1"/>
    <xf numFmtId="0" fontId="232" fillId="4" borderId="18" xfId="0" applyFont="1" applyFill="1" applyBorder="1" applyAlignment="1">
      <alignment horizontal="center" vertical="center"/>
    </xf>
    <xf numFmtId="4" fontId="258" fillId="4" borderId="1" xfId="0" applyNumberFormat="1" applyFont="1" applyFill="1" applyBorder="1" applyAlignment="1">
      <alignment horizontal="center" vertical="center"/>
    </xf>
    <xf numFmtId="43" fontId="244" fillId="4" borderId="1" xfId="3040" applyFont="1" applyFill="1" applyBorder="1" applyAlignment="1">
      <alignment horizontal="left" vertical="center"/>
    </xf>
    <xf numFmtId="43" fontId="248" fillId="4" borderId="1" xfId="3040" applyFont="1" applyFill="1" applyBorder="1" applyAlignment="1">
      <alignment horizontal="left" vertical="center"/>
    </xf>
    <xf numFmtId="10" fontId="249" fillId="4" borderId="1" xfId="3304" applyNumberFormat="1" applyFont="1" applyFill="1" applyBorder="1" applyAlignment="1">
      <alignment horizontal="center" vertical="center"/>
    </xf>
    <xf numFmtId="10" fontId="250" fillId="4" borderId="1" xfId="3304" applyNumberFormat="1" applyFont="1" applyFill="1" applyBorder="1" applyAlignment="1">
      <alignment horizontal="center" vertical="center"/>
    </xf>
    <xf numFmtId="10" fontId="261" fillId="4" borderId="5" xfId="3304" applyNumberFormat="1" applyFont="1" applyFill="1" applyBorder="1" applyAlignment="1">
      <alignment horizontal="center" vertical="center"/>
    </xf>
    <xf numFmtId="0" fontId="262" fillId="4" borderId="18" xfId="0" applyFont="1" applyFill="1" applyBorder="1" applyAlignment="1">
      <alignment horizontal="center" vertical="center"/>
    </xf>
    <xf numFmtId="43" fontId="255" fillId="4" borderId="1" xfId="3040" applyFont="1" applyFill="1" applyBorder="1" applyAlignment="1">
      <alignment horizontal="center" vertical="center"/>
    </xf>
    <xf numFmtId="43" fontId="209" fillId="4" borderId="1" xfId="3040" applyFont="1" applyFill="1" applyBorder="1" applyAlignment="1">
      <alignment horizontal="center" vertical="center"/>
    </xf>
    <xf numFmtId="43" fontId="246" fillId="4" borderId="1" xfId="3040" applyFont="1" applyFill="1" applyBorder="1" applyAlignment="1">
      <alignment horizontal="center" vertical="center"/>
    </xf>
    <xf numFmtId="10" fontId="246" fillId="4" borderId="1" xfId="3304" applyNumberFormat="1" applyFont="1" applyFill="1" applyBorder="1" applyAlignment="1">
      <alignment horizontal="center" vertical="center"/>
    </xf>
    <xf numFmtId="43" fontId="251" fillId="4" borderId="1" xfId="3040" applyFont="1" applyFill="1" applyBorder="1" applyAlignment="1">
      <alignment horizontal="center" vertical="center"/>
    </xf>
    <xf numFmtId="43" fontId="245" fillId="4" borderId="1" xfId="3040" applyFont="1" applyFill="1" applyBorder="1" applyAlignment="1">
      <alignment horizontal="center" vertical="center"/>
    </xf>
    <xf numFmtId="43" fontId="249" fillId="4" borderId="1" xfId="3040" applyFont="1" applyFill="1" applyBorder="1" applyAlignment="1">
      <alignment horizontal="center" vertical="center"/>
    </xf>
    <xf numFmtId="43" fontId="244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9" fillId="0" borderId="25" xfId="0" applyFont="1" applyFill="1" applyBorder="1" applyAlignment="1">
      <alignment horizontal="center"/>
    </xf>
    <xf numFmtId="0" fontId="209" fillId="0" borderId="15" xfId="0" applyFont="1" applyFill="1" applyBorder="1" applyAlignment="1">
      <alignment horizontal="center"/>
    </xf>
    <xf numFmtId="0" fontId="224" fillId="3" borderId="17" xfId="0" applyFont="1" applyFill="1" applyBorder="1" applyAlignment="1">
      <alignment horizontal="center"/>
    </xf>
    <xf numFmtId="0" fontId="224" fillId="3" borderId="26" xfId="0" applyFont="1" applyFill="1" applyBorder="1" applyAlignment="1">
      <alignment horizontal="center"/>
    </xf>
    <xf numFmtId="0" fontId="224" fillId="5" borderId="26" xfId="0" applyFont="1" applyFill="1" applyBorder="1" applyAlignment="1">
      <alignment horizontal="center"/>
    </xf>
    <xf numFmtId="0" fontId="224" fillId="5" borderId="1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237" fillId="0" borderId="6" xfId="0" applyFont="1" applyBorder="1" applyAlignment="1">
      <alignment horizontal="center" vertical="center"/>
    </xf>
    <xf numFmtId="4" fontId="230" fillId="0" borderId="1" xfId="3302" applyNumberFormat="1" applyFont="1" applyBorder="1" applyAlignment="1">
      <alignment horizontal="center" vertical="center"/>
    </xf>
    <xf numFmtId="43" fontId="238" fillId="0" borderId="1" xfId="3040" applyFont="1" applyBorder="1" applyAlignment="1">
      <alignment horizontal="center" vertical="center"/>
    </xf>
    <xf numFmtId="0" fontId="269" fillId="2" borderId="0" xfId="0" applyFont="1" applyFill="1"/>
    <xf numFmtId="0" fontId="272" fillId="2" borderId="0" xfId="0" applyFont="1" applyFill="1"/>
    <xf numFmtId="10" fontId="271" fillId="2" borderId="4" xfId="3304" applyNumberFormat="1" applyFont="1" applyFill="1" applyBorder="1" applyAlignment="1">
      <alignment horizontal="center"/>
    </xf>
    <xf numFmtId="43" fontId="226" fillId="0" borderId="4" xfId="3040" applyFont="1" applyBorder="1" applyAlignment="1">
      <alignment horizontal="center"/>
    </xf>
    <xf numFmtId="0" fontId="226" fillId="0" borderId="4" xfId="0" applyFont="1" applyBorder="1" applyAlignment="1">
      <alignment horizontal="center"/>
    </xf>
    <xf numFmtId="43" fontId="226" fillId="0" borderId="4" xfId="0" applyNumberFormat="1" applyFont="1" applyBorder="1" applyAlignment="1">
      <alignment horizontal="center"/>
    </xf>
    <xf numFmtId="164" fontId="243" fillId="2" borderId="1" xfId="0" applyNumberFormat="1" applyFont="1" applyFill="1" applyBorder="1" applyAlignment="1">
      <alignment horizontal="left" vertical="center"/>
    </xf>
    <xf numFmtId="0" fontId="273" fillId="2" borderId="0" xfId="0" applyFont="1" applyFill="1"/>
    <xf numFmtId="0" fontId="273" fillId="2" borderId="4" xfId="0" applyFont="1" applyFill="1" applyBorder="1" applyAlignment="1">
      <alignment horizontal="center"/>
    </xf>
    <xf numFmtId="0" fontId="274" fillId="2" borderId="4" xfId="0" applyFont="1" applyFill="1" applyBorder="1" applyAlignment="1">
      <alignment horizontal="center"/>
    </xf>
    <xf numFmtId="43" fontId="230" fillId="2" borderId="22" xfId="3040" applyFont="1" applyFill="1" applyBorder="1" applyAlignment="1">
      <alignment horizontal="left" vertical="center"/>
    </xf>
    <xf numFmtId="0" fontId="275" fillId="0" borderId="4" xfId="0" applyFont="1" applyBorder="1" applyAlignment="1">
      <alignment horizontal="center"/>
    </xf>
    <xf numFmtId="0" fontId="275" fillId="0" borderId="0" xfId="0" applyFont="1"/>
    <xf numFmtId="0" fontId="273" fillId="2" borderId="27" xfId="0" applyFont="1" applyFill="1" applyBorder="1" applyAlignment="1">
      <alignment horizontal="center"/>
    </xf>
    <xf numFmtId="10" fontId="271" fillId="2" borderId="27" xfId="3304" applyNumberFormat="1" applyFont="1" applyFill="1" applyBorder="1" applyAlignment="1">
      <alignment horizontal="center"/>
    </xf>
    <xf numFmtId="4" fontId="207" fillId="0" borderId="5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0" fontId="213" fillId="0" borderId="23" xfId="0" applyFont="1" applyBorder="1" applyAlignment="1">
      <alignment horizontal="left" vertical="center"/>
    </xf>
    <xf numFmtId="4" fontId="268" fillId="2" borderId="33" xfId="0" applyNumberFormat="1" applyFont="1" applyFill="1" applyBorder="1" applyAlignment="1">
      <alignment horizontal="left" vertical="center"/>
    </xf>
    <xf numFmtId="10" fontId="270" fillId="2" borderId="34" xfId="3304" applyNumberFormat="1" applyFont="1" applyFill="1" applyBorder="1" applyAlignment="1">
      <alignment horizontal="right" vertical="center"/>
    </xf>
    <xf numFmtId="10" fontId="271" fillId="2" borderId="35" xfId="3304" applyNumberFormat="1" applyFont="1" applyFill="1" applyBorder="1" applyAlignment="1">
      <alignment horizontal="right" vertical="center"/>
    </xf>
    <xf numFmtId="43" fontId="226" fillId="0" borderId="27" xfId="0" applyNumberFormat="1" applyFont="1" applyBorder="1" applyAlignment="1">
      <alignment horizontal="center"/>
    </xf>
    <xf numFmtId="43" fontId="0" fillId="0" borderId="27" xfId="0" applyNumberFormat="1" applyBorder="1" applyAlignment="1">
      <alignment horizontal="center"/>
    </xf>
    <xf numFmtId="0" fontId="226" fillId="0" borderId="27" xfId="0" applyFont="1" applyBorder="1" applyAlignment="1">
      <alignment horizontal="center"/>
    </xf>
    <xf numFmtId="0" fontId="213" fillId="0" borderId="29" xfId="0" applyFont="1" applyBorder="1" applyAlignment="1">
      <alignment horizontal="left" vertical="center"/>
    </xf>
    <xf numFmtId="43" fontId="208" fillId="2" borderId="31" xfId="3040" applyFont="1" applyFill="1" applyBorder="1" applyAlignment="1">
      <alignment horizontal="left" vertical="center"/>
    </xf>
    <xf numFmtId="4" fontId="216" fillId="0" borderId="20" xfId="0" applyNumberFormat="1" applyFont="1" applyFill="1" applyBorder="1" applyAlignment="1">
      <alignment horizontal="left" vertical="center"/>
    </xf>
    <xf numFmtId="43" fontId="215" fillId="2" borderId="32" xfId="3040" applyFont="1" applyFill="1" applyBorder="1" applyAlignment="1">
      <alignment horizontal="left" vertical="center"/>
    </xf>
    <xf numFmtId="4" fontId="230" fillId="0" borderId="20" xfId="0" applyNumberFormat="1" applyFont="1" applyFill="1" applyBorder="1" applyAlignment="1">
      <alignment horizontal="left" vertical="center"/>
    </xf>
    <xf numFmtId="43" fontId="230" fillId="2" borderId="32" xfId="3040" applyFont="1" applyFill="1" applyBorder="1" applyAlignment="1">
      <alignment horizontal="left" vertical="center"/>
    </xf>
    <xf numFmtId="4" fontId="215" fillId="2" borderId="32" xfId="0" applyNumberFormat="1" applyFont="1" applyFill="1" applyBorder="1" applyAlignment="1">
      <alignment horizontal="left" vertical="center"/>
    </xf>
    <xf numFmtId="4" fontId="227" fillId="0" borderId="20" xfId="0" applyNumberFormat="1" applyFont="1" applyFill="1" applyBorder="1" applyAlignment="1">
      <alignment horizontal="left" vertical="center"/>
    </xf>
    <xf numFmtId="2" fontId="215" fillId="2" borderId="32" xfId="0" applyNumberFormat="1" applyFont="1" applyFill="1" applyBorder="1" applyAlignment="1">
      <alignment horizontal="left" vertical="center"/>
    </xf>
    <xf numFmtId="4" fontId="241" fillId="0" borderId="33" xfId="0" applyNumberFormat="1" applyFont="1" applyFill="1" applyBorder="1" applyAlignment="1">
      <alignment horizontal="left" vertical="center"/>
    </xf>
    <xf numFmtId="10" fontId="243" fillId="0" borderId="34" xfId="3304" applyNumberFormat="1" applyFont="1" applyBorder="1" applyAlignment="1">
      <alignment horizontal="center" vertical="center"/>
    </xf>
    <xf numFmtId="164" fontId="243" fillId="2" borderId="35" xfId="0" applyNumberFormat="1" applyFont="1" applyFill="1" applyBorder="1" applyAlignment="1">
      <alignment horizontal="left" vertical="center"/>
    </xf>
    <xf numFmtId="0" fontId="275" fillId="0" borderId="27" xfId="0" applyFont="1" applyBorder="1" applyAlignment="1">
      <alignment horizontal="center"/>
    </xf>
    <xf numFmtId="4" fontId="216" fillId="0" borderId="21" xfId="0" applyNumberFormat="1" applyFont="1" applyFill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Fill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1" xfId="0" applyNumberFormat="1" applyFont="1" applyFill="1" applyBorder="1" applyAlignment="1">
      <alignment horizontal="left" vertical="center"/>
    </xf>
    <xf numFmtId="4" fontId="254" fillId="0" borderId="21" xfId="0" applyNumberFormat="1" applyFont="1" applyFill="1" applyBorder="1" applyAlignment="1">
      <alignment horizontal="left" vertical="center"/>
    </xf>
    <xf numFmtId="43" fontId="254" fillId="0" borderId="21" xfId="3304" applyNumberFormat="1" applyFont="1" applyBorder="1" applyAlignment="1">
      <alignment horizontal="center" vertical="center"/>
    </xf>
    <xf numFmtId="164" fontId="254" fillId="2" borderId="23" xfId="0" applyNumberFormat="1" applyFont="1" applyFill="1" applyBorder="1" applyAlignment="1">
      <alignment horizontal="left" vertical="center"/>
    </xf>
    <xf numFmtId="164" fontId="222" fillId="2" borderId="31" xfId="0" applyNumberFormat="1" applyFont="1" applyFill="1" applyBorder="1" applyAlignment="1">
      <alignment horizontal="left" vertical="center"/>
    </xf>
    <xf numFmtId="4" fontId="222" fillId="0" borderId="33" xfId="0" applyNumberFormat="1" applyFont="1" applyFill="1" applyBorder="1" applyAlignment="1">
      <alignment horizontal="left" vertical="center"/>
    </xf>
    <xf numFmtId="164" fontId="222" fillId="2" borderId="35" xfId="0" applyNumberFormat="1" applyFont="1" applyFill="1" applyBorder="1" applyAlignment="1">
      <alignment horizontal="left" vertical="center"/>
    </xf>
    <xf numFmtId="0" fontId="276" fillId="0" borderId="29" xfId="0" applyFont="1" applyBorder="1" applyAlignment="1">
      <alignment horizontal="left" vertical="center"/>
    </xf>
    <xf numFmtId="4" fontId="228" fillId="2" borderId="31" xfId="0" applyNumberFormat="1" applyFont="1" applyFill="1" applyBorder="1" applyAlignment="1">
      <alignment horizontal="left" vertical="center"/>
    </xf>
    <xf numFmtId="0" fontId="276" fillId="0" borderId="37" xfId="0" applyFont="1" applyBorder="1" applyAlignment="1">
      <alignment horizontal="left" vertical="center"/>
    </xf>
    <xf numFmtId="10" fontId="260" fillId="0" borderId="34" xfId="3304" applyNumberFormat="1" applyFont="1" applyBorder="1" applyAlignment="1">
      <alignment horizontal="center" vertical="center"/>
    </xf>
    <xf numFmtId="4" fontId="228" fillId="2" borderId="35" xfId="0" applyNumberFormat="1" applyFont="1" applyFill="1" applyBorder="1" applyAlignment="1">
      <alignment horizontal="left" vertical="center"/>
    </xf>
    <xf numFmtId="43" fontId="294" fillId="0" borderId="4" xfId="3040" applyFont="1" applyBorder="1"/>
    <xf numFmtId="43" fontId="291" fillId="0" borderId="4" xfId="3040" applyFont="1" applyBorder="1"/>
    <xf numFmtId="10" fontId="0" fillId="0" borderId="0" xfId="3304" applyNumberFormat="1" applyFont="1"/>
    <xf numFmtId="0" fontId="295" fillId="0" borderId="0" xfId="0" applyFont="1"/>
    <xf numFmtId="4" fontId="239" fillId="2" borderId="20" xfId="0" applyNumberFormat="1" applyFont="1" applyFill="1" applyBorder="1" applyAlignment="1">
      <alignment horizontal="left" vertical="center"/>
    </xf>
    <xf numFmtId="4" fontId="239" fillId="2" borderId="29" xfId="0" applyNumberFormat="1" applyFont="1" applyFill="1" applyBorder="1" applyAlignment="1">
      <alignment horizontal="left" vertical="center"/>
    </xf>
    <xf numFmtId="0" fontId="277" fillId="0" borderId="4" xfId="3048" applyBorder="1" applyAlignment="1">
      <alignment horizontal="center"/>
    </xf>
    <xf numFmtId="2" fontId="298" fillId="0" borderId="1" xfId="0" applyNumberFormat="1" applyFont="1" applyBorder="1" applyAlignment="1">
      <alignment vertical="center"/>
    </xf>
    <xf numFmtId="4" fontId="301" fillId="0" borderId="0" xfId="0" applyNumberFormat="1" applyFont="1" applyAlignment="1">
      <alignment horizontal="right" vertical="center" wrapText="1"/>
    </xf>
    <xf numFmtId="0" fontId="302" fillId="0" borderId="1" xfId="0" applyNumberFormat="1" applyFont="1" applyFill="1" applyBorder="1" applyAlignment="1">
      <alignment horizontal="left" vertical="center"/>
    </xf>
    <xf numFmtId="4" fontId="305" fillId="0" borderId="5" xfId="0" applyNumberFormat="1" applyFont="1" applyFill="1" applyBorder="1" applyAlignment="1">
      <alignment horizontal="left" vertical="center"/>
    </xf>
    <xf numFmtId="4" fontId="307" fillId="2" borderId="33" xfId="0" applyNumberFormat="1" applyFont="1" applyFill="1" applyBorder="1" applyAlignment="1">
      <alignment horizontal="left" vertical="center"/>
    </xf>
    <xf numFmtId="0" fontId="308" fillId="0" borderId="29" xfId="0" applyFont="1" applyBorder="1" applyAlignment="1">
      <alignment horizontal="left" vertical="center"/>
    </xf>
    <xf numFmtId="4" fontId="309" fillId="0" borderId="20" xfId="0" applyNumberFormat="1" applyFont="1" applyFill="1" applyBorder="1" applyAlignment="1">
      <alignment horizontal="left" vertical="center"/>
    </xf>
    <xf numFmtId="4" fontId="313" fillId="0" borderId="33" xfId="0" applyNumberFormat="1" applyFont="1" applyFill="1" applyBorder="1" applyAlignment="1">
      <alignment horizontal="left" vertical="center"/>
    </xf>
    <xf numFmtId="0" fontId="308" fillId="0" borderId="23" xfId="0" applyFont="1" applyBorder="1" applyAlignment="1">
      <alignment horizontal="left" vertical="center"/>
    </xf>
    <xf numFmtId="43" fontId="306" fillId="2" borderId="28" xfId="3040" applyFont="1" applyFill="1" applyBorder="1" applyAlignment="1">
      <alignment horizontal="left" vertical="center"/>
    </xf>
    <xf numFmtId="4" fontId="309" fillId="0" borderId="1" xfId="0" applyNumberFormat="1" applyFont="1" applyFill="1" applyBorder="1" applyAlignment="1">
      <alignment horizontal="left" vertical="center"/>
    </xf>
    <xf numFmtId="43" fontId="311" fillId="2" borderId="1" xfId="3040" applyFont="1" applyFill="1" applyBorder="1" applyAlignment="1">
      <alignment horizontal="left" vertical="center"/>
    </xf>
    <xf numFmtId="4" fontId="313" fillId="0" borderId="1" xfId="0" applyNumberFormat="1" applyFont="1" applyFill="1" applyBorder="1" applyAlignment="1">
      <alignment horizontal="left" vertical="center"/>
    </xf>
    <xf numFmtId="4" fontId="309" fillId="0" borderId="5" xfId="0" applyNumberFormat="1" applyFont="1" applyFill="1" applyBorder="1" applyAlignment="1">
      <alignment horizontal="left" vertical="center"/>
    </xf>
    <xf numFmtId="0" fontId="317" fillId="0" borderId="4" xfId="0" applyFont="1" applyBorder="1" applyAlignment="1">
      <alignment horizontal="center"/>
    </xf>
    <xf numFmtId="43" fontId="317" fillId="0" borderId="4" xfId="0" applyNumberFormat="1" applyFont="1" applyBorder="1" applyAlignment="1">
      <alignment horizontal="center"/>
    </xf>
    <xf numFmtId="0" fontId="317" fillId="0" borderId="0" xfId="0" applyFont="1"/>
    <xf numFmtId="0" fontId="0" fillId="0" borderId="4" xfId="0" applyBorder="1" applyAlignment="1">
      <alignment horizontal="center"/>
    </xf>
    <xf numFmtId="43" fontId="10" fillId="0" borderId="4" xfId="3835" applyFont="1" applyBorder="1"/>
    <xf numFmtId="3" fontId="212" fillId="0" borderId="0" xfId="0" applyNumberFormat="1" applyFont="1"/>
    <xf numFmtId="0" fontId="0" fillId="0" borderId="18" xfId="0" applyBorder="1" applyAlignment="1">
      <alignment horizontal="center" vertical="center"/>
    </xf>
    <xf numFmtId="0" fontId="237" fillId="0" borderId="22" xfId="0" applyFont="1" applyBorder="1" applyAlignment="1">
      <alignment horizontal="center" vertical="center"/>
    </xf>
    <xf numFmtId="0" fontId="237" fillId="0" borderId="18" xfId="0" applyFont="1" applyBorder="1" applyAlignment="1">
      <alignment horizontal="center" vertical="center"/>
    </xf>
    <xf numFmtId="0" fontId="0" fillId="0" borderId="57" xfId="0" applyFill="1" applyBorder="1"/>
    <xf numFmtId="10" fontId="0" fillId="0" borderId="4" xfId="3304" applyNumberFormat="1" applyFont="1" applyBorder="1"/>
    <xf numFmtId="43" fontId="339" fillId="0" borderId="4" xfId="7176" applyNumberFormat="1" applyFont="1" applyBorder="1"/>
    <xf numFmtId="43" fontId="339" fillId="0" borderId="4" xfId="7176" applyNumberFormat="1" applyFont="1" applyBorder="1"/>
    <xf numFmtId="2" fontId="340" fillId="0" borderId="1" xfId="0" applyNumberFormat="1" applyFont="1" applyBorder="1" applyAlignment="1">
      <alignment vertical="center"/>
    </xf>
    <xf numFmtId="0" fontId="340" fillId="0" borderId="1" xfId="0" applyFont="1" applyBorder="1" applyAlignment="1">
      <alignment vertical="center"/>
    </xf>
    <xf numFmtId="0" fontId="339" fillId="0" borderId="4" xfId="3834" applyFont="1" applyBorder="1"/>
    <xf numFmtId="0" fontId="339" fillId="0" borderId="4" xfId="3834" applyFont="1" applyBorder="1" applyAlignment="1">
      <alignment horizontal="center"/>
    </xf>
    <xf numFmtId="0" fontId="339" fillId="0" borderId="4" xfId="3048" applyFont="1" applyBorder="1"/>
    <xf numFmtId="43" fontId="339" fillId="0" borderId="4" xfId="3040" applyNumberFormat="1" applyFont="1" applyBorder="1"/>
    <xf numFmtId="43" fontId="339" fillId="0" borderId="4" xfId="0" applyNumberFormat="1" applyFont="1" applyBorder="1"/>
    <xf numFmtId="2" fontId="0" fillId="0" borderId="0" xfId="0" applyNumberFormat="1" applyFont="1"/>
    <xf numFmtId="43" fontId="339" fillId="0" borderId="4" xfId="3040" applyFont="1" applyBorder="1"/>
    <xf numFmtId="43" fontId="310" fillId="0" borderId="1" xfId="3040" applyFont="1" applyBorder="1" applyAlignment="1">
      <alignment horizontal="center" vertical="center"/>
    </xf>
    <xf numFmtId="0" fontId="339" fillId="0" borderId="4" xfId="3048" applyFont="1" applyBorder="1" applyAlignment="1">
      <alignment horizontal="center"/>
    </xf>
    <xf numFmtId="0" fontId="224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3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24" fillId="60" borderId="7" xfId="0" applyFont="1" applyFill="1" applyBorder="1" applyAlignment="1">
      <alignment horizontal="center"/>
    </xf>
    <xf numFmtId="0" fontId="224" fillId="60" borderId="26" xfId="0" applyFont="1" applyFill="1" applyBorder="1" applyAlignment="1">
      <alignment horizontal="center"/>
    </xf>
    <xf numFmtId="0" fontId="224" fillId="60" borderId="14" xfId="0" applyFont="1" applyFill="1" applyBorder="1" applyAlignment="1">
      <alignment horizontal="center"/>
    </xf>
    <xf numFmtId="43" fontId="206" fillId="0" borderId="0" xfId="3040" applyFont="1"/>
    <xf numFmtId="0" fontId="342" fillId="0" borderId="0" xfId="0" applyFont="1"/>
    <xf numFmtId="0" fontId="343" fillId="0" borderId="0" xfId="0" applyFont="1"/>
    <xf numFmtId="0" fontId="209" fillId="0" borderId="19" xfId="0" applyFont="1" applyFill="1" applyBorder="1" applyAlignment="1">
      <alignment horizontal="center"/>
    </xf>
    <xf numFmtId="4" fontId="345" fillId="2" borderId="1" xfId="0" applyNumberFormat="1" applyFont="1" applyFill="1" applyBorder="1" applyAlignment="1">
      <alignment horizontal="left" vertical="center"/>
    </xf>
    <xf numFmtId="0" fontId="209" fillId="0" borderId="58" xfId="0" applyFont="1" applyFill="1" applyBorder="1" applyAlignment="1">
      <alignment horizontal="center"/>
    </xf>
    <xf numFmtId="0" fontId="206" fillId="0" borderId="0" xfId="0" applyFont="1"/>
    <xf numFmtId="43" fontId="314" fillId="0" borderId="30" xfId="3040" applyFont="1" applyBorder="1" applyAlignment="1">
      <alignment horizontal="center" vertical="center"/>
    </xf>
    <xf numFmtId="4" fontId="215" fillId="0" borderId="21" xfId="3304" applyNumberFormat="1" applyFont="1" applyBorder="1" applyAlignment="1">
      <alignment horizontal="center" vertical="center"/>
    </xf>
    <xf numFmtId="10" fontId="248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2" fontId="298" fillId="59" borderId="1" xfId="0" applyNumberFormat="1" applyFont="1" applyFill="1" applyBorder="1" applyAlignment="1">
      <alignment vertical="center"/>
    </xf>
    <xf numFmtId="0" fontId="224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4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51" fillId="0" borderId="0" xfId="0" applyFont="1"/>
    <xf numFmtId="9" fontId="0" fillId="0" borderId="0" xfId="3304" applyFont="1"/>
    <xf numFmtId="0" fontId="352" fillId="0" borderId="0" xfId="0" applyFont="1"/>
    <xf numFmtId="0" fontId="353" fillId="0" borderId="0" xfId="0" applyFont="1"/>
    <xf numFmtId="0" fontId="353" fillId="0" borderId="4" xfId="0" applyFont="1" applyBorder="1"/>
    <xf numFmtId="0" fontId="354" fillId="0" borderId="4" xfId="0" applyFont="1" applyBorder="1" applyAlignment="1">
      <alignment vertical="center"/>
    </xf>
    <xf numFmtId="2" fontId="295" fillId="0" borderId="0" xfId="0" applyNumberFormat="1" applyFont="1"/>
    <xf numFmtId="10" fontId="243" fillId="0" borderId="1" xfId="3304" applyNumberFormat="1" applyFont="1" applyBorder="1" applyAlignment="1">
      <alignment horizontal="center" vertical="center"/>
    </xf>
    <xf numFmtId="0" fontId="349" fillId="0" borderId="0" xfId="0" applyFont="1"/>
    <xf numFmtId="0" fontId="209" fillId="0" borderId="6" xfId="0" applyFont="1" applyFill="1" applyBorder="1" applyAlignment="1">
      <alignment horizontal="center"/>
    </xf>
    <xf numFmtId="0" fontId="209" fillId="0" borderId="59" xfId="0" applyFont="1" applyFill="1" applyBorder="1" applyAlignment="1">
      <alignment horizontal="center"/>
    </xf>
    <xf numFmtId="0" fontId="209" fillId="0" borderId="20" xfId="0" applyFont="1" applyFill="1" applyBorder="1" applyAlignment="1">
      <alignment horizontal="center"/>
    </xf>
    <xf numFmtId="0" fontId="209" fillId="0" borderId="60" xfId="0" applyFont="1" applyFill="1" applyBorder="1" applyAlignment="1">
      <alignment horizontal="center"/>
    </xf>
    <xf numFmtId="43" fontId="217" fillId="0" borderId="0" xfId="0" applyNumberFormat="1" applyFont="1" applyAlignment="1">
      <alignment horizontal="left" vertical="center"/>
    </xf>
    <xf numFmtId="0" fontId="224" fillId="63" borderId="14" xfId="0" applyFont="1" applyFill="1" applyBorder="1" applyAlignment="1">
      <alignment horizontal="right"/>
    </xf>
    <xf numFmtId="0" fontId="224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3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2" fontId="355" fillId="0" borderId="1" xfId="0" applyNumberFormat="1" applyFont="1" applyBorder="1" applyAlignment="1">
      <alignment vertical="center"/>
    </xf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4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6" fillId="0" borderId="0" xfId="0" applyNumberFormat="1" applyFont="1"/>
    <xf numFmtId="43" fontId="243" fillId="0" borderId="34" xfId="3304" applyNumberFormat="1" applyFont="1" applyBorder="1" applyAlignment="1">
      <alignment horizontal="center" vertical="center"/>
    </xf>
    <xf numFmtId="0" fontId="0" fillId="59" borderId="0" xfId="0" applyFill="1"/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4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0" fontId="209" fillId="0" borderId="10" xfId="20374" applyFont="1" applyFill="1" applyBorder="1" applyAlignment="1">
      <alignment horizontal="center"/>
    </xf>
    <xf numFmtId="0" fontId="209" fillId="0" borderId="59" xfId="20374" applyFont="1" applyFill="1" applyBorder="1" applyAlignment="1">
      <alignment horizontal="center"/>
    </xf>
    <xf numFmtId="0" fontId="209" fillId="0" borderId="6" xfId="20374" applyFont="1" applyFill="1" applyBorder="1" applyAlignment="1">
      <alignment horizontal="center"/>
    </xf>
    <xf numFmtId="0" fontId="209" fillId="0" borderId="9" xfId="20374" applyFont="1" applyFill="1" applyBorder="1" applyAlignment="1">
      <alignment horizontal="center"/>
    </xf>
    <xf numFmtId="0" fontId="209" fillId="0" borderId="11" xfId="20374" applyFont="1" applyFill="1" applyBorder="1" applyAlignment="1">
      <alignment horizontal="center"/>
    </xf>
    <xf numFmtId="0" fontId="209" fillId="0" borderId="12" xfId="20374" applyFont="1" applyFill="1" applyBorder="1" applyAlignment="1">
      <alignment horizontal="center"/>
    </xf>
    <xf numFmtId="0" fontId="209" fillId="0" borderId="13" xfId="20374" applyFont="1" applyFill="1" applyBorder="1" applyAlignment="1">
      <alignment horizontal="center"/>
    </xf>
    <xf numFmtId="0" fontId="209" fillId="0" borderId="16" xfId="20374" applyFont="1" applyFill="1" applyBorder="1" applyAlignment="1">
      <alignment horizontal="center"/>
    </xf>
    <xf numFmtId="0" fontId="209" fillId="0" borderId="17" xfId="20374" applyFont="1" applyFill="1" applyBorder="1" applyAlignment="1">
      <alignment horizontal="center"/>
    </xf>
    <xf numFmtId="0" fontId="209" fillId="0" borderId="19" xfId="20374" applyFont="1" applyFill="1" applyBorder="1" applyAlignment="1">
      <alignment horizontal="center"/>
    </xf>
    <xf numFmtId="0" fontId="224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0" fontId="299" fillId="0" borderId="18" xfId="0" applyFont="1" applyBorder="1" applyAlignment="1">
      <alignment horizontal="center" vertical="center"/>
    </xf>
    <xf numFmtId="43" fontId="345" fillId="2" borderId="22" xfId="3040" applyFont="1" applyFill="1" applyBorder="1" applyAlignment="1">
      <alignment horizontal="left" vertical="center"/>
    </xf>
    <xf numFmtId="0" fontId="350" fillId="0" borderId="0" xfId="0" applyFont="1" applyAlignment="1">
      <alignment horizontal="right" vertical="center"/>
    </xf>
    <xf numFmtId="0" fontId="349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165" fontId="262" fillId="0" borderId="18" xfId="0" applyNumberFormat="1" applyFont="1" applyBorder="1" applyAlignment="1">
      <alignment horizontal="center" vertical="center"/>
    </xf>
    <xf numFmtId="43" fontId="360" fillId="0" borderId="27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3" borderId="10" xfId="26960" applyFont="1" applyFill="1" applyBorder="1" applyAlignment="1">
      <alignment horizontal="center"/>
    </xf>
    <xf numFmtId="0" fontId="209" fillId="0" borderId="0" xfId="26960" applyFont="1"/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6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359" fillId="59" borderId="0" xfId="0" applyFont="1" applyFill="1"/>
    <xf numFmtId="4" fontId="363" fillId="0" borderId="20" xfId="0" applyNumberFormat="1" applyFont="1" applyFill="1" applyBorder="1" applyAlignment="1">
      <alignment horizontal="left" vertical="center"/>
    </xf>
    <xf numFmtId="4" fontId="363" fillId="0" borderId="1" xfId="0" applyNumberFormat="1" applyFont="1" applyFill="1" applyBorder="1" applyAlignment="1">
      <alignment horizontal="left" vertical="center"/>
    </xf>
    <xf numFmtId="43" fontId="273" fillId="2" borderId="0" xfId="0" applyNumberFormat="1" applyFont="1" applyFill="1"/>
    <xf numFmtId="4" fontId="345" fillId="2" borderId="32" xfId="0" applyNumberFormat="1" applyFont="1" applyFill="1" applyBorder="1" applyAlignment="1">
      <alignment horizontal="left" vertical="center"/>
    </xf>
    <xf numFmtId="4" fontId="314" fillId="59" borderId="30" xfId="3302" applyNumberFormat="1" applyFont="1" applyFill="1" applyBorder="1" applyAlignment="1">
      <alignment horizontal="center" vertical="center"/>
    </xf>
    <xf numFmtId="4" fontId="316" fillId="0" borderId="30" xfId="3302" applyNumberFormat="1" applyFont="1" applyBorder="1" applyAlignment="1">
      <alignment horizontal="center" vertical="center"/>
    </xf>
    <xf numFmtId="4" fontId="316" fillId="59" borderId="30" xfId="3302" applyNumberFormat="1" applyFont="1" applyFill="1" applyBorder="1" applyAlignment="1">
      <alignment horizontal="center" vertical="center"/>
    </xf>
    <xf numFmtId="4" fontId="364" fillId="59" borderId="30" xfId="3302" applyNumberFormat="1" applyFont="1" applyFill="1" applyBorder="1" applyAlignment="1">
      <alignment horizontal="center" vertical="center"/>
    </xf>
    <xf numFmtId="4" fontId="365" fillId="0" borderId="1" xfId="0" applyNumberFormat="1" applyFont="1" applyBorder="1" applyAlignment="1">
      <alignment horizontal="center" vertical="center"/>
    </xf>
    <xf numFmtId="43" fontId="315" fillId="59" borderId="36" xfId="3040" applyFont="1" applyFill="1" applyBorder="1" applyAlignment="1">
      <alignment horizontal="center" vertical="center"/>
    </xf>
    <xf numFmtId="43" fontId="315" fillId="0" borderId="36" xfId="3040" applyFont="1" applyBorder="1" applyAlignment="1">
      <alignment horizontal="center" vertical="center"/>
    </xf>
    <xf numFmtId="43" fontId="362" fillId="59" borderId="36" xfId="3040" applyFont="1" applyFill="1" applyBorder="1" applyAlignment="1">
      <alignment horizontal="center" vertical="center"/>
    </xf>
    <xf numFmtId="10" fontId="222" fillId="0" borderId="30" xfId="3304" applyNumberFormat="1" applyFont="1" applyBorder="1" applyAlignment="1">
      <alignment horizontal="center" vertical="center"/>
    </xf>
    <xf numFmtId="10" fontId="222" fillId="0" borderId="34" xfId="3304" applyNumberFormat="1" applyFont="1" applyBorder="1" applyAlignment="1">
      <alignment horizontal="center" vertical="center"/>
    </xf>
    <xf numFmtId="43" fontId="247" fillId="0" borderId="1" xfId="3040" applyFont="1" applyBorder="1" applyAlignment="1">
      <alignment horizontal="center" vertical="center"/>
    </xf>
    <xf numFmtId="43" fontId="248" fillId="0" borderId="1" xfId="304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" fontId="208" fillId="0" borderId="18" xfId="0" applyNumberFormat="1" applyFont="1" applyFill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18" fillId="0" borderId="1" xfId="3040" applyFont="1" applyBorder="1" applyAlignment="1">
      <alignment horizontal="center" vertical="center"/>
    </xf>
    <xf numFmtId="0" fontId="299" fillId="0" borderId="18" xfId="0" applyFont="1" applyBorder="1" applyAlignment="1">
      <alignment horizontal="center" vertical="center"/>
    </xf>
    <xf numFmtId="0" fontId="237" fillId="0" borderId="22" xfId="0" applyFont="1" applyBorder="1" applyAlignment="1">
      <alignment horizontal="center" vertical="center"/>
    </xf>
    <xf numFmtId="0" fontId="237" fillId="0" borderId="18" xfId="0" applyFont="1" applyBorder="1" applyAlignment="1">
      <alignment horizontal="center" vertical="center"/>
    </xf>
    <xf numFmtId="43" fontId="248" fillId="4" borderId="1" xfId="3040" applyFont="1" applyFill="1" applyBorder="1" applyAlignment="1">
      <alignment horizontal="center" vertical="center"/>
    </xf>
    <xf numFmtId="43" fontId="258" fillId="0" borderId="1" xfId="3040" applyFont="1" applyBorder="1" applyAlignment="1">
      <alignment horizontal="center" vertical="center"/>
    </xf>
    <xf numFmtId="10" fontId="248" fillId="2" borderId="1" xfId="3304" applyNumberFormat="1" applyFont="1" applyFill="1" applyBorder="1" applyAlignment="1">
      <alignment horizontal="center" vertical="center"/>
    </xf>
    <xf numFmtId="43" fontId="238" fillId="2" borderId="1" xfId="3040" applyFont="1" applyFill="1" applyBorder="1" applyAlignment="1">
      <alignment horizontal="center" vertical="center"/>
    </xf>
    <xf numFmtId="43" fontId="248" fillId="2" borderId="1" xfId="3040" applyFont="1" applyFill="1" applyBorder="1" applyAlignment="1">
      <alignment horizontal="center" vertical="center"/>
    </xf>
    <xf numFmtId="4" fontId="248" fillId="2" borderId="1" xfId="0" applyNumberFormat="1" applyFont="1" applyFill="1" applyBorder="1" applyAlignment="1">
      <alignment horizontal="center" vertical="center"/>
    </xf>
    <xf numFmtId="2" fontId="248" fillId="2" borderId="1" xfId="0" applyNumberFormat="1" applyFont="1" applyFill="1" applyBorder="1" applyAlignment="1">
      <alignment horizontal="center" vertical="center"/>
    </xf>
    <xf numFmtId="164" fontId="250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10" fillId="0" borderId="4" xfId="3835" applyFont="1" applyBorder="1" applyAlignment="1">
      <alignment horizontal="center"/>
    </xf>
    <xf numFmtId="0" fontId="300" fillId="0" borderId="0" xfId="0" applyFont="1" applyAlignment="1">
      <alignment horizontal="center" vertical="center" wrapText="1"/>
    </xf>
    <xf numFmtId="4" fontId="301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0" fontId="0" fillId="64" borderId="57" xfId="0" applyFill="1" applyBorder="1"/>
    <xf numFmtId="0" fontId="0" fillId="64" borderId="0" xfId="0" applyFill="1"/>
    <xf numFmtId="0" fontId="0" fillId="64" borderId="0" xfId="0" applyFill="1" applyAlignment="1">
      <alignment horizontal="center"/>
    </xf>
    <xf numFmtId="43" fontId="0" fillId="64" borderId="0" xfId="0" applyNumberFormat="1" applyFill="1" applyAlignment="1">
      <alignment horizontal="center"/>
    </xf>
    <xf numFmtId="4" fontId="0" fillId="64" borderId="0" xfId="0" applyNumberFormat="1" applyFill="1" applyAlignment="1">
      <alignment horizontal="center"/>
    </xf>
    <xf numFmtId="43" fontId="295" fillId="64" borderId="0" xfId="0" applyNumberFormat="1" applyFont="1" applyFill="1" applyAlignment="1">
      <alignment horizontal="center"/>
    </xf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43" fontId="224" fillId="4" borderId="1" xfId="3040" applyFont="1" applyFill="1" applyBorder="1" applyAlignment="1">
      <alignment horizontal="center" vertical="center"/>
    </xf>
    <xf numFmtId="10" fontId="224" fillId="4" borderId="1" xfId="3304" applyNumberFormat="1" applyFont="1" applyFill="1" applyBorder="1" applyAlignment="1">
      <alignment horizontal="center" vertical="center"/>
    </xf>
    <xf numFmtId="43" fontId="224" fillId="4" borderId="1" xfId="3304" applyNumberFormat="1" applyFont="1" applyFill="1" applyBorder="1" applyAlignment="1">
      <alignment horizontal="center" vertical="center"/>
    </xf>
    <xf numFmtId="43" fontId="336" fillId="2" borderId="1" xfId="3040" applyFont="1" applyFill="1" applyBorder="1" applyAlignment="1">
      <alignment horizontal="left" vertical="center"/>
    </xf>
    <xf numFmtId="43" fontId="224" fillId="4" borderId="1" xfId="3040" applyFont="1" applyFill="1" applyBorder="1" applyAlignment="1">
      <alignment horizontal="left" vertical="center"/>
    </xf>
    <xf numFmtId="0" fontId="367" fillId="0" borderId="0" xfId="0" applyFont="1" applyAlignment="1">
      <alignment horizontal="left" vertical="center"/>
    </xf>
    <xf numFmtId="0" fontId="367" fillId="0" borderId="0" xfId="0" applyFont="1" applyAlignment="1">
      <alignment horizontal="left"/>
    </xf>
    <xf numFmtId="4" fontId="345" fillId="0" borderId="1" xfId="3302" applyNumberFormat="1" applyFont="1" applyBorder="1" applyAlignment="1">
      <alignment horizontal="center" vertical="center"/>
    </xf>
    <xf numFmtId="43" fontId="358" fillId="0" borderId="1" xfId="3040" applyFont="1" applyBorder="1" applyAlignment="1">
      <alignment horizontal="center" vertical="center"/>
    </xf>
    <xf numFmtId="4" fontId="346" fillId="0" borderId="1" xfId="0" applyNumberFormat="1" applyFont="1" applyBorder="1" applyAlignment="1">
      <alignment horizontal="center" vertical="center"/>
    </xf>
    <xf numFmtId="10" fontId="346" fillId="2" borderId="34" xfId="3304" applyNumberFormat="1" applyFont="1" applyFill="1" applyBorder="1" applyAlignment="1">
      <alignment horizontal="center" vertical="center"/>
    </xf>
    <xf numFmtId="10" fontId="270" fillId="2" borderId="34" xfId="3304" applyNumberFormat="1" applyFont="1" applyFill="1" applyBorder="1" applyAlignment="1">
      <alignment horizontal="center" vertical="center"/>
    </xf>
    <xf numFmtId="43" fontId="220" fillId="0" borderId="30" xfId="3040" applyFont="1" applyBorder="1" applyAlignment="1">
      <alignment horizontal="center" vertical="center"/>
    </xf>
    <xf numFmtId="43" fontId="220" fillId="0" borderId="1" xfId="3040" applyFont="1" applyBorder="1" applyAlignment="1">
      <alignment horizontal="center" vertical="center"/>
    </xf>
    <xf numFmtId="43" fontId="231" fillId="0" borderId="1" xfId="3040" applyFont="1" applyBorder="1" applyAlignment="1">
      <alignment horizontal="center" vertical="center"/>
    </xf>
    <xf numFmtId="43" fontId="270" fillId="2" borderId="34" xfId="3304" applyNumberFormat="1" applyFont="1" applyFill="1" applyBorder="1" applyAlignment="1">
      <alignment horizontal="center" vertical="center"/>
    </xf>
    <xf numFmtId="43" fontId="228" fillId="0" borderId="1" xfId="3304" applyNumberFormat="1" applyFont="1" applyBorder="1" applyAlignment="1">
      <alignment horizontal="center" vertical="center"/>
    </xf>
    <xf numFmtId="4" fontId="260" fillId="0" borderId="34" xfId="3302" applyNumberFormat="1" applyFont="1" applyBorder="1" applyAlignment="1">
      <alignment horizontal="center" vertical="center"/>
    </xf>
    <xf numFmtId="4" fontId="228" fillId="0" borderId="34" xfId="3302" applyNumberFormat="1" applyFont="1" applyBorder="1" applyAlignment="1">
      <alignment horizontal="center" vertical="center"/>
    </xf>
    <xf numFmtId="43" fontId="247" fillId="0" borderId="36" xfId="3040" applyFont="1" applyBorder="1" applyAlignment="1">
      <alignment horizontal="center" vertical="center"/>
    </xf>
    <xf numFmtId="43" fontId="315" fillId="0" borderId="0" xfId="3040" applyNumberFormat="1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0" fontId="0" fillId="0" borderId="0" xfId="0" applyFill="1"/>
    <xf numFmtId="43" fontId="371" fillId="4" borderId="1" xfId="3040" applyFont="1" applyFill="1" applyBorder="1" applyAlignment="1">
      <alignment horizontal="center" vertical="center"/>
    </xf>
    <xf numFmtId="43" fontId="371" fillId="4" borderId="1" xfId="3040" applyNumberFormat="1" applyFont="1" applyFill="1" applyBorder="1" applyAlignment="1">
      <alignment horizontal="left" vertical="center"/>
    </xf>
    <xf numFmtId="43" fontId="371" fillId="4" borderId="1" xfId="3040" applyFont="1" applyFill="1" applyBorder="1" applyAlignment="1">
      <alignment horizontal="left" vertical="center"/>
    </xf>
    <xf numFmtId="4" fontId="372" fillId="0" borderId="4" xfId="304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ont="1" applyAlignment="1">
      <alignment horizontal="center"/>
    </xf>
    <xf numFmtId="2" fontId="373" fillId="0" borderId="4" xfId="0" applyNumberFormat="1" applyFont="1" applyBorder="1"/>
    <xf numFmtId="166" fontId="0" fillId="0" borderId="4" xfId="3040" applyNumberFormat="1" applyFont="1" applyBorder="1" applyAlignment="1">
      <alignment vertical="center"/>
    </xf>
    <xf numFmtId="166" fontId="0" fillId="0" borderId="4" xfId="3040" applyNumberFormat="1" applyFont="1" applyBorder="1" applyAlignment="1">
      <alignment horizontal="center" vertical="center"/>
    </xf>
    <xf numFmtId="4" fontId="360" fillId="0" borderId="0" xfId="0" applyNumberFormat="1" applyFont="1" applyAlignment="1">
      <alignment horizontal="center"/>
    </xf>
    <xf numFmtId="4" fontId="0" fillId="0" borderId="0" xfId="0" applyNumberFormat="1"/>
    <xf numFmtId="0" fontId="277" fillId="0" borderId="4" xfId="3048" applyBorder="1" applyAlignment="1">
      <alignment horizontal="center"/>
    </xf>
    <xf numFmtId="0" fontId="265" fillId="0" borderId="4" xfId="0" applyFont="1" applyBorder="1" applyAlignment="1">
      <alignment vertical="center"/>
    </xf>
    <xf numFmtId="166" fontId="360" fillId="0" borderId="4" xfId="3040" applyNumberFormat="1" applyFont="1" applyBorder="1" applyAlignment="1">
      <alignment vertical="center"/>
    </xf>
    <xf numFmtId="4" fontId="295" fillId="0" borderId="0" xfId="0" applyNumberFormat="1" applyFont="1" applyAlignment="1">
      <alignment horizontal="center"/>
    </xf>
    <xf numFmtId="4" fontId="258" fillId="65" borderId="1" xfId="0" applyNumberFormat="1" applyFont="1" applyFill="1" applyBorder="1" applyAlignment="1">
      <alignment horizontal="center" vertical="center"/>
    </xf>
    <xf numFmtId="43" fontId="244" fillId="65" borderId="1" xfId="3040" applyFont="1" applyFill="1" applyBorder="1" applyAlignment="1">
      <alignment horizontal="center" vertical="center"/>
    </xf>
    <xf numFmtId="43" fontId="248" fillId="65" borderId="1" xfId="3040" applyFont="1" applyFill="1" applyBorder="1" applyAlignment="1">
      <alignment horizontal="center" vertical="center"/>
    </xf>
    <xf numFmtId="10" fontId="249" fillId="65" borderId="1" xfId="3304" applyNumberFormat="1" applyFont="1" applyFill="1" applyBorder="1" applyAlignment="1">
      <alignment horizontal="center" vertical="center"/>
    </xf>
    <xf numFmtId="10" fontId="250" fillId="65" borderId="1" xfId="3304" applyNumberFormat="1" applyFont="1" applyFill="1" applyBorder="1" applyAlignment="1">
      <alignment horizontal="center" vertical="center"/>
    </xf>
    <xf numFmtId="4" fontId="247" fillId="65" borderId="1" xfId="0" applyNumberFormat="1" applyFont="1" applyFill="1" applyBorder="1" applyAlignment="1">
      <alignment horizontal="center" vertical="center"/>
    </xf>
    <xf numFmtId="43" fontId="336" fillId="65" borderId="1" xfId="3040" applyFont="1" applyFill="1" applyBorder="1" applyAlignment="1">
      <alignment horizontal="center" vertical="center"/>
    </xf>
    <xf numFmtId="43" fontId="0" fillId="64" borderId="0" xfId="0" applyNumberFormat="1" applyFill="1" applyAlignment="1"/>
    <xf numFmtId="0" fontId="209" fillId="60" borderId="10" xfId="3040" applyNumberFormat="1" applyFont="1" applyFill="1" applyBorder="1" applyAlignment="1">
      <alignment horizontal="center"/>
    </xf>
    <xf numFmtId="0" fontId="375" fillId="0" borderId="0" xfId="0" applyFont="1"/>
    <xf numFmtId="0" fontId="376" fillId="0" borderId="1" xfId="0" applyFont="1" applyBorder="1" applyAlignment="1">
      <alignment horizontal="center" vertical="center"/>
    </xf>
    <xf numFmtId="0" fontId="340" fillId="0" borderId="1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317" fillId="0" borderId="18" xfId="0" applyFont="1" applyBorder="1" applyAlignment="1">
      <alignment horizontal="center" vertical="center"/>
    </xf>
    <xf numFmtId="4" fontId="232" fillId="0" borderId="1" xfId="0" applyNumberFormat="1" applyFont="1" applyFill="1" applyBorder="1" applyAlignment="1">
      <alignment horizontal="left" vertical="center"/>
    </xf>
    <xf numFmtId="4" fontId="378" fillId="2" borderId="20" xfId="0" applyNumberFormat="1" applyFont="1" applyFill="1" applyBorder="1" applyAlignment="1">
      <alignment horizontal="left" vertical="center"/>
    </xf>
    <xf numFmtId="4" fontId="379" fillId="2" borderId="29" xfId="0" applyNumberFormat="1" applyFont="1" applyFill="1" applyBorder="1" applyAlignment="1">
      <alignment horizontal="left" vertical="center"/>
    </xf>
    <xf numFmtId="4" fontId="379" fillId="2" borderId="20" xfId="0" applyNumberFormat="1" applyFont="1" applyFill="1" applyBorder="1" applyAlignment="1">
      <alignment horizontal="left" vertical="center"/>
    </xf>
    <xf numFmtId="4" fontId="315" fillId="59" borderId="5" xfId="0" applyNumberFormat="1" applyFont="1" applyFill="1" applyBorder="1" applyAlignment="1">
      <alignment horizontal="left" vertical="center"/>
    </xf>
    <xf numFmtId="4" fontId="315" fillId="0" borderId="5" xfId="0" applyNumberFormat="1" applyFont="1" applyFill="1" applyBorder="1" applyAlignment="1">
      <alignment horizontal="left" vertical="center"/>
    </xf>
    <xf numFmtId="4" fontId="362" fillId="59" borderId="5" xfId="0" applyNumberFormat="1" applyFont="1" applyFill="1" applyBorder="1" applyAlignment="1">
      <alignment horizontal="left" vertical="center"/>
    </xf>
    <xf numFmtId="0" fontId="312" fillId="0" borderId="0" xfId="0" applyFont="1"/>
    <xf numFmtId="4" fontId="380" fillId="59" borderId="30" xfId="0" applyNumberFormat="1" applyFont="1" applyFill="1" applyBorder="1" applyAlignment="1">
      <alignment horizontal="center" vertical="center"/>
    </xf>
    <xf numFmtId="4" fontId="380" fillId="2" borderId="30" xfId="0" applyNumberFormat="1" applyFont="1" applyFill="1" applyBorder="1" applyAlignment="1">
      <alignment horizontal="center" vertical="center"/>
    </xf>
    <xf numFmtId="43" fontId="381" fillId="0" borderId="0" xfId="0" applyNumberFormat="1" applyFont="1"/>
    <xf numFmtId="43" fontId="380" fillId="59" borderId="1" xfId="3040" applyFont="1" applyFill="1" applyBorder="1" applyAlignment="1">
      <alignment horizontal="center" vertical="center"/>
    </xf>
    <xf numFmtId="43" fontId="380" fillId="2" borderId="1" xfId="3040" applyFont="1" applyFill="1" applyBorder="1" applyAlignment="1">
      <alignment horizontal="center" vertical="center"/>
    </xf>
    <xf numFmtId="43" fontId="380" fillId="2" borderId="32" xfId="3040" applyFont="1" applyFill="1" applyBorder="1" applyAlignment="1">
      <alignment horizontal="center" vertical="center"/>
    </xf>
    <xf numFmtId="10" fontId="382" fillId="59" borderId="34" xfId="3304" applyNumberFormat="1" applyFont="1" applyFill="1" applyBorder="1" applyAlignment="1">
      <alignment horizontal="center" vertical="center"/>
    </xf>
    <xf numFmtId="10" fontId="382" fillId="2" borderId="34" xfId="3304" applyNumberFormat="1" applyFont="1" applyFill="1" applyBorder="1" applyAlignment="1">
      <alignment horizontal="center" vertical="center"/>
    </xf>
    <xf numFmtId="10" fontId="382" fillId="2" borderId="35" xfId="3304" applyNumberFormat="1" applyFont="1" applyFill="1" applyBorder="1" applyAlignment="1">
      <alignment horizontal="center" vertical="center"/>
    </xf>
    <xf numFmtId="43" fontId="383" fillId="59" borderId="30" xfId="3040" applyFont="1" applyFill="1" applyBorder="1" applyAlignment="1">
      <alignment horizontal="center" vertical="center"/>
    </xf>
    <xf numFmtId="43" fontId="383" fillId="0" borderId="30" xfId="3040" applyFont="1" applyBorder="1" applyAlignment="1">
      <alignment horizontal="center" vertical="center"/>
    </xf>
    <xf numFmtId="43" fontId="362" fillId="59" borderId="30" xfId="3040" applyFont="1" applyFill="1" applyBorder="1" applyAlignment="1">
      <alignment horizontal="center" vertical="center"/>
    </xf>
    <xf numFmtId="43" fontId="315" fillId="2" borderId="31" xfId="3040" applyFont="1" applyFill="1" applyBorder="1" applyAlignment="1">
      <alignment horizontal="center" vertical="center"/>
    </xf>
    <xf numFmtId="43" fontId="316" fillId="59" borderId="1" xfId="3040" applyFont="1" applyFill="1" applyBorder="1" applyAlignment="1">
      <alignment horizontal="center" vertical="center"/>
    </xf>
    <xf numFmtId="43" fontId="316" fillId="0" borderId="1" xfId="3040" applyFont="1" applyBorder="1" applyAlignment="1">
      <alignment horizontal="center" vertical="center"/>
    </xf>
    <xf numFmtId="43" fontId="386" fillId="59" borderId="1" xfId="3040" applyFont="1" applyFill="1" applyBorder="1" applyAlignment="1">
      <alignment horizontal="center" vertical="center"/>
    </xf>
    <xf numFmtId="4" fontId="387" fillId="59" borderId="1" xfId="3302" applyNumberFormat="1" applyFont="1" applyFill="1" applyBorder="1" applyAlignment="1">
      <alignment horizontal="center" vertical="center"/>
    </xf>
    <xf numFmtId="4" fontId="387" fillId="0" borderId="1" xfId="3302" applyNumberFormat="1" applyFont="1" applyBorder="1" applyAlignment="1">
      <alignment horizontal="center" vertical="center"/>
    </xf>
    <xf numFmtId="43" fontId="387" fillId="2" borderId="32" xfId="3040" applyFont="1" applyFill="1" applyBorder="1" applyAlignment="1">
      <alignment horizontal="center" vertical="center"/>
    </xf>
    <xf numFmtId="10" fontId="312" fillId="0" borderId="0" xfId="3304" applyNumberFormat="1" applyFont="1"/>
    <xf numFmtId="4" fontId="316" fillId="59" borderId="1" xfId="0" applyNumberFormat="1" applyFont="1" applyFill="1" applyBorder="1" applyAlignment="1">
      <alignment horizontal="center" vertical="center"/>
    </xf>
    <xf numFmtId="4" fontId="316" fillId="0" borderId="1" xfId="0" applyNumberFormat="1" applyFont="1" applyBorder="1" applyAlignment="1">
      <alignment horizontal="center" vertical="center"/>
    </xf>
    <xf numFmtId="4" fontId="388" fillId="59" borderId="1" xfId="0" applyNumberFormat="1" applyFont="1" applyFill="1" applyBorder="1" applyAlignment="1">
      <alignment horizontal="center" vertical="center"/>
    </xf>
    <xf numFmtId="4" fontId="316" fillId="2" borderId="32" xfId="0" applyNumberFormat="1" applyFont="1" applyFill="1" applyBorder="1" applyAlignment="1">
      <alignment horizontal="center" vertical="center"/>
    </xf>
    <xf numFmtId="10" fontId="316" fillId="59" borderId="1" xfId="3304" applyNumberFormat="1" applyFont="1" applyFill="1" applyBorder="1" applyAlignment="1">
      <alignment horizontal="center" vertical="center"/>
    </xf>
    <xf numFmtId="10" fontId="316" fillId="0" borderId="1" xfId="3304" applyNumberFormat="1" applyFont="1" applyBorder="1" applyAlignment="1">
      <alignment horizontal="center" vertical="center"/>
    </xf>
    <xf numFmtId="10" fontId="388" fillId="59" borderId="1" xfId="3304" applyNumberFormat="1" applyFont="1" applyFill="1" applyBorder="1" applyAlignment="1">
      <alignment horizontal="center" vertical="center"/>
    </xf>
    <xf numFmtId="4" fontId="316" fillId="59" borderId="1" xfId="3304" applyNumberFormat="1" applyFont="1" applyFill="1" applyBorder="1" applyAlignment="1">
      <alignment horizontal="center" vertical="center"/>
    </xf>
    <xf numFmtId="4" fontId="316" fillId="0" borderId="1" xfId="3304" applyNumberFormat="1" applyFont="1" applyBorder="1" applyAlignment="1">
      <alignment horizontal="center" vertical="center"/>
    </xf>
    <xf numFmtId="4" fontId="388" fillId="59" borderId="1" xfId="3304" applyNumberFormat="1" applyFont="1" applyFill="1" applyBorder="1" applyAlignment="1">
      <alignment horizontal="center" vertical="center"/>
    </xf>
    <xf numFmtId="2" fontId="316" fillId="2" borderId="32" xfId="0" applyNumberFormat="1" applyFont="1" applyFill="1" applyBorder="1" applyAlignment="1">
      <alignment horizontal="center" vertical="center"/>
    </xf>
    <xf numFmtId="10" fontId="302" fillId="59" borderId="34" xfId="3304" applyNumberFormat="1" applyFont="1" applyFill="1" applyBorder="1" applyAlignment="1">
      <alignment horizontal="center" vertical="center"/>
    </xf>
    <xf numFmtId="10" fontId="302" fillId="0" borderId="34" xfId="3304" applyNumberFormat="1" applyFont="1" applyBorder="1" applyAlignment="1">
      <alignment horizontal="center" vertical="center"/>
    </xf>
    <xf numFmtId="10" fontId="389" fillId="59" borderId="34" xfId="3304" applyNumberFormat="1" applyFont="1" applyFill="1" applyBorder="1" applyAlignment="1">
      <alignment horizontal="center" vertical="center"/>
    </xf>
    <xf numFmtId="164" fontId="302" fillId="2" borderId="35" xfId="0" applyNumberFormat="1" applyFont="1" applyFill="1" applyBorder="1" applyAlignment="1">
      <alignment horizontal="center" vertical="center"/>
    </xf>
    <xf numFmtId="4" fontId="316" fillId="2" borderId="31" xfId="0" applyNumberFormat="1" applyFont="1" applyFill="1" applyBorder="1" applyAlignment="1">
      <alignment horizontal="center" vertical="center"/>
    </xf>
    <xf numFmtId="4" fontId="316" fillId="2" borderId="35" xfId="0" applyNumberFormat="1" applyFont="1" applyFill="1" applyBorder="1" applyAlignment="1">
      <alignment horizontal="center" vertical="center"/>
    </xf>
    <xf numFmtId="10" fontId="302" fillId="59" borderId="1" xfId="3304" applyNumberFormat="1" applyFont="1" applyFill="1" applyBorder="1" applyAlignment="1">
      <alignment horizontal="center" vertical="center"/>
    </xf>
    <xf numFmtId="10" fontId="302" fillId="0" borderId="1" xfId="3304" applyNumberFormat="1" applyFont="1" applyBorder="1" applyAlignment="1">
      <alignment horizontal="center" vertical="center"/>
    </xf>
    <xf numFmtId="10" fontId="389" fillId="59" borderId="1" xfId="3304" applyNumberFormat="1" applyFont="1" applyFill="1" applyBorder="1" applyAlignment="1">
      <alignment horizontal="center" vertical="center"/>
    </xf>
    <xf numFmtId="4" fontId="380" fillId="2" borderId="1" xfId="0" applyNumberFormat="1" applyFont="1" applyFill="1" applyBorder="1" applyAlignment="1">
      <alignment horizontal="center" vertical="center"/>
    </xf>
    <xf numFmtId="43" fontId="315" fillId="2" borderId="28" xfId="3040" applyFont="1" applyFill="1" applyBorder="1" applyAlignment="1">
      <alignment horizontal="center" vertical="center"/>
    </xf>
    <xf numFmtId="43" fontId="390" fillId="59" borderId="1" xfId="3040" applyFont="1" applyFill="1" applyBorder="1" applyAlignment="1">
      <alignment horizontal="center" vertical="center"/>
    </xf>
    <xf numFmtId="43" fontId="387" fillId="2" borderId="22" xfId="3040" applyFont="1" applyFill="1" applyBorder="1" applyAlignment="1">
      <alignment horizontal="center" vertical="center"/>
    </xf>
    <xf numFmtId="4" fontId="316" fillId="2" borderId="1" xfId="0" applyNumberFormat="1" applyFont="1" applyFill="1" applyBorder="1" applyAlignment="1">
      <alignment horizontal="center" vertical="center"/>
    </xf>
    <xf numFmtId="164" fontId="302" fillId="2" borderId="1" xfId="0" applyNumberFormat="1" applyFont="1" applyFill="1" applyBorder="1" applyAlignment="1">
      <alignment horizontal="center" vertical="center"/>
    </xf>
    <xf numFmtId="4" fontId="316" fillId="59" borderId="5" xfId="3304" applyNumberFormat="1" applyFont="1" applyFill="1" applyBorder="1" applyAlignment="1">
      <alignment horizontal="center" vertical="center"/>
    </xf>
    <xf numFmtId="4" fontId="316" fillId="0" borderId="5" xfId="3304" applyNumberFormat="1" applyFont="1" applyBorder="1" applyAlignment="1">
      <alignment horizontal="center" vertical="center"/>
    </xf>
    <xf numFmtId="4" fontId="388" fillId="59" borderId="5" xfId="3304" applyNumberFormat="1" applyFont="1" applyFill="1" applyBorder="1" applyAlignment="1">
      <alignment horizontal="center" vertical="center"/>
    </xf>
    <xf numFmtId="2" fontId="316" fillId="2" borderId="5" xfId="0" applyNumberFormat="1" applyFont="1" applyFill="1" applyBorder="1" applyAlignment="1">
      <alignment horizontal="center" vertical="center"/>
    </xf>
    <xf numFmtId="0" fontId="304" fillId="0" borderId="0" xfId="0" applyFont="1"/>
    <xf numFmtId="10" fontId="391" fillId="59" borderId="34" xfId="3304" applyNumberFormat="1" applyFont="1" applyFill="1" applyBorder="1" applyAlignment="1">
      <alignment horizontal="center" vertical="center"/>
    </xf>
    <xf numFmtId="10" fontId="391" fillId="0" borderId="34" xfId="3304" applyNumberFormat="1" applyFont="1" applyBorder="1" applyAlignment="1">
      <alignment horizontal="center" vertical="center"/>
    </xf>
    <xf numFmtId="10" fontId="393" fillId="59" borderId="34" xfId="3304" applyNumberFormat="1" applyFont="1" applyFill="1" applyBorder="1" applyAlignment="1">
      <alignment horizontal="center" vertical="center"/>
    </xf>
    <xf numFmtId="10" fontId="391" fillId="2" borderId="35" xfId="3304" applyNumberFormat="1" applyFont="1" applyFill="1" applyBorder="1" applyAlignment="1">
      <alignment horizontal="center" vertical="center"/>
    </xf>
    <xf numFmtId="4" fontId="384" fillId="59" borderId="23" xfId="0" applyNumberFormat="1" applyFont="1" applyFill="1" applyBorder="1" applyAlignment="1">
      <alignment horizontal="center" vertical="center"/>
    </xf>
    <xf numFmtId="4" fontId="380" fillId="60" borderId="30" xfId="0" applyNumberFormat="1" applyFont="1" applyFill="1" applyBorder="1" applyAlignment="1">
      <alignment horizontal="center" vertical="center"/>
    </xf>
    <xf numFmtId="43" fontId="380" fillId="60" borderId="1" xfId="3040" applyFont="1" applyFill="1" applyBorder="1" applyAlignment="1">
      <alignment horizontal="center" vertical="center"/>
    </xf>
    <xf numFmtId="10" fontId="382" fillId="60" borderId="34" xfId="3304" applyNumberFormat="1" applyFont="1" applyFill="1" applyBorder="1" applyAlignment="1">
      <alignment horizontal="center" vertical="center"/>
    </xf>
    <xf numFmtId="43" fontId="383" fillId="60" borderId="30" xfId="3040" applyFont="1" applyFill="1" applyBorder="1" applyAlignment="1">
      <alignment horizontal="center" vertical="center"/>
    </xf>
    <xf numFmtId="10" fontId="385" fillId="60" borderId="1" xfId="3304" applyNumberFormat="1" applyFont="1" applyFill="1" applyBorder="1" applyAlignment="1">
      <alignment horizontal="center" vertical="center"/>
    </xf>
    <xf numFmtId="4" fontId="387" fillId="60" borderId="1" xfId="3302" applyNumberFormat="1" applyFont="1" applyFill="1" applyBorder="1" applyAlignment="1">
      <alignment horizontal="center" vertical="center"/>
    </xf>
    <xf numFmtId="43" fontId="316" fillId="60" borderId="1" xfId="3040" applyFont="1" applyFill="1" applyBorder="1" applyAlignment="1">
      <alignment horizontal="center" vertical="center"/>
    </xf>
    <xf numFmtId="10" fontId="316" fillId="60" borderId="1" xfId="3304" applyNumberFormat="1" applyFont="1" applyFill="1" applyBorder="1" applyAlignment="1">
      <alignment horizontal="center" vertical="center"/>
    </xf>
    <xf numFmtId="10" fontId="302" fillId="60" borderId="34" xfId="3304" applyNumberFormat="1" applyFont="1" applyFill="1" applyBorder="1" applyAlignment="1">
      <alignment horizontal="center" vertical="center"/>
    </xf>
    <xf numFmtId="10" fontId="302" fillId="60" borderId="1" xfId="3304" applyNumberFormat="1" applyFont="1" applyFill="1" applyBorder="1" applyAlignment="1">
      <alignment horizontal="center" vertical="center"/>
    </xf>
    <xf numFmtId="4" fontId="380" fillId="60" borderId="1" xfId="0" applyNumberFormat="1" applyFont="1" applyFill="1" applyBorder="1" applyAlignment="1">
      <alignment horizontal="center" vertical="center"/>
    </xf>
    <xf numFmtId="4" fontId="316" fillId="60" borderId="1" xfId="0" applyNumberFormat="1" applyFont="1" applyFill="1" applyBorder="1" applyAlignment="1">
      <alignment horizontal="center" vertical="center"/>
    </xf>
    <xf numFmtId="4" fontId="316" fillId="60" borderId="5" xfId="3304" applyNumberFormat="1" applyFont="1" applyFill="1" applyBorder="1" applyAlignment="1">
      <alignment horizontal="center" vertical="center"/>
    </xf>
    <xf numFmtId="10" fontId="391" fillId="60" borderId="34" xfId="3304" applyNumberFormat="1" applyFont="1" applyFill="1" applyBorder="1" applyAlignment="1">
      <alignment horizontal="center" vertical="center"/>
    </xf>
    <xf numFmtId="4" fontId="380" fillId="60" borderId="1" xfId="3040" applyNumberFormat="1" applyFont="1" applyFill="1" applyBorder="1" applyAlignment="1">
      <alignment horizontal="center" vertical="center"/>
    </xf>
    <xf numFmtId="4" fontId="316" fillId="60" borderId="1" xfId="3304" applyNumberFormat="1" applyFont="1" applyFill="1" applyBorder="1" applyAlignment="1">
      <alignment horizontal="center" vertical="center"/>
    </xf>
    <xf numFmtId="4" fontId="315" fillId="60" borderId="5" xfId="0" applyNumberFormat="1" applyFont="1" applyFill="1" applyBorder="1" applyAlignment="1">
      <alignment horizontal="center" vertical="center"/>
    </xf>
    <xf numFmtId="164" fontId="394" fillId="2" borderId="1" xfId="0" applyNumberFormat="1" applyFont="1" applyFill="1" applyBorder="1" applyAlignment="1">
      <alignment horizontal="left" vertical="center"/>
    </xf>
    <xf numFmtId="10" fontId="336" fillId="0" borderId="1" xfId="3304" applyNumberFormat="1" applyFont="1" applyBorder="1" applyAlignment="1">
      <alignment horizontal="center" vertical="center"/>
    </xf>
    <xf numFmtId="10" fontId="336" fillId="4" borderId="1" xfId="3304" applyNumberFormat="1" applyFont="1" applyFill="1" applyBorder="1" applyAlignment="1">
      <alignment horizontal="center" vertical="center"/>
    </xf>
    <xf numFmtId="164" fontId="336" fillId="2" borderId="1" xfId="0" applyNumberFormat="1" applyFont="1" applyFill="1" applyBorder="1" applyAlignment="1">
      <alignment horizontal="left" vertical="center"/>
    </xf>
    <xf numFmtId="10" fontId="336" fillId="65" borderId="1" xfId="3304" applyNumberFormat="1" applyFont="1" applyFill="1" applyBorder="1" applyAlignment="1">
      <alignment horizontal="center" vertical="center"/>
    </xf>
    <xf numFmtId="164" fontId="336" fillId="2" borderId="1" xfId="0" applyNumberFormat="1" applyFont="1" applyFill="1" applyBorder="1" applyAlignment="1">
      <alignment horizontal="center" vertical="center"/>
    </xf>
    <xf numFmtId="43" fontId="336" fillId="4" borderId="1" xfId="3304" applyNumberFormat="1" applyFont="1" applyFill="1" applyBorder="1" applyAlignment="1">
      <alignment horizontal="center" vertical="center"/>
    </xf>
    <xf numFmtId="10" fontId="366" fillId="0" borderId="1" xfId="3304" applyNumberFormat="1" applyFont="1" applyBorder="1" applyAlignment="1">
      <alignment horizontal="center" vertical="center"/>
    </xf>
    <xf numFmtId="10" fontId="366" fillId="4" borderId="1" xfId="3304" applyNumberFormat="1" applyFont="1" applyFill="1" applyBorder="1" applyAlignment="1">
      <alignment horizontal="center" vertical="center"/>
    </xf>
    <xf numFmtId="164" fontId="366" fillId="2" borderId="1" xfId="0" applyNumberFormat="1" applyFont="1" applyFill="1" applyBorder="1" applyAlignment="1">
      <alignment horizontal="left" vertical="center"/>
    </xf>
    <xf numFmtId="4" fontId="395" fillId="60" borderId="30" xfId="0" applyNumberFormat="1" applyFont="1" applyFill="1" applyBorder="1" applyAlignment="1">
      <alignment horizontal="center" vertical="center"/>
    </xf>
    <xf numFmtId="4" fontId="395" fillId="2" borderId="31" xfId="0" applyNumberFormat="1" applyFont="1" applyFill="1" applyBorder="1" applyAlignment="1">
      <alignment horizontal="center" vertical="center"/>
    </xf>
    <xf numFmtId="10" fontId="396" fillId="60" borderId="1" xfId="3304" applyNumberFormat="1" applyFont="1" applyFill="1" applyBorder="1" applyAlignment="1">
      <alignment horizontal="center" vertical="center"/>
    </xf>
    <xf numFmtId="4" fontId="396" fillId="2" borderId="32" xfId="0" applyNumberFormat="1" applyFont="1" applyFill="1" applyBorder="1" applyAlignment="1">
      <alignment horizontal="center" vertical="center"/>
    </xf>
    <xf numFmtId="10" fontId="395" fillId="60" borderId="34" xfId="3304" applyNumberFormat="1" applyFont="1" applyFill="1" applyBorder="1" applyAlignment="1">
      <alignment horizontal="center" vertical="center"/>
    </xf>
    <xf numFmtId="4" fontId="395" fillId="2" borderId="35" xfId="0" applyNumberFormat="1" applyFont="1" applyFill="1" applyBorder="1" applyAlignment="1">
      <alignment horizontal="center" vertical="center"/>
    </xf>
    <xf numFmtId="4" fontId="395" fillId="60" borderId="1" xfId="0" applyNumberFormat="1" applyFont="1" applyFill="1" applyBorder="1" applyAlignment="1">
      <alignment horizontal="center" vertical="center"/>
    </xf>
    <xf numFmtId="4" fontId="395" fillId="2" borderId="32" xfId="0" applyNumberFormat="1" applyFont="1" applyFill="1" applyBorder="1" applyAlignment="1">
      <alignment horizontal="center" vertical="center"/>
    </xf>
    <xf numFmtId="0" fontId="224" fillId="66" borderId="14" xfId="0" applyFont="1" applyFill="1" applyBorder="1" applyAlignment="1">
      <alignment horizontal="center"/>
    </xf>
    <xf numFmtId="4" fontId="316" fillId="60" borderId="1" xfId="3040" applyNumberFormat="1" applyFont="1" applyFill="1" applyBorder="1" applyAlignment="1">
      <alignment horizontal="center" vertical="center"/>
    </xf>
    <xf numFmtId="4" fontId="386" fillId="60" borderId="1" xfId="3040" applyNumberFormat="1" applyFont="1" applyFill="1" applyBorder="1" applyAlignment="1">
      <alignment horizontal="center" vertical="center"/>
    </xf>
    <xf numFmtId="43" fontId="397" fillId="65" borderId="1" xfId="3040" applyFont="1" applyFill="1" applyBorder="1" applyAlignment="1">
      <alignment horizontal="center" vertical="center"/>
    </xf>
    <xf numFmtId="4" fontId="398" fillId="65" borderId="1" xfId="3302" applyNumberFormat="1" applyFont="1" applyFill="1" applyBorder="1" applyAlignment="1">
      <alignment horizontal="center" vertical="center"/>
    </xf>
    <xf numFmtId="4" fontId="397" fillId="65" borderId="1" xfId="3302" applyNumberFormat="1" applyFont="1" applyFill="1" applyBorder="1" applyAlignment="1">
      <alignment horizontal="center" vertical="center"/>
    </xf>
    <xf numFmtId="43" fontId="336" fillId="2" borderId="1" xfId="3040" applyFont="1" applyFill="1" applyBorder="1" applyAlignment="1">
      <alignment horizontal="center" vertical="center"/>
    </xf>
    <xf numFmtId="4" fontId="212" fillId="0" borderId="0" xfId="0" applyNumberFormat="1" applyFont="1"/>
    <xf numFmtId="43" fontId="399" fillId="2" borderId="1" xfId="3040" applyFont="1" applyFill="1" applyBorder="1" applyAlignment="1">
      <alignment horizontal="left" vertical="center"/>
    </xf>
    <xf numFmtId="4" fontId="399" fillId="0" borderId="1" xfId="0" applyNumberFormat="1" applyFont="1" applyFill="1" applyBorder="1" applyAlignment="1">
      <alignment horizontal="center" vertical="center"/>
    </xf>
    <xf numFmtId="4" fontId="400" fillId="0" borderId="1" xfId="0" applyNumberFormat="1" applyFont="1" applyFill="1" applyBorder="1" applyAlignment="1">
      <alignment horizontal="center" vertical="center"/>
    </xf>
    <xf numFmtId="4" fontId="400" fillId="0" borderId="6" xfId="0" applyNumberFormat="1" applyFont="1" applyFill="1" applyBorder="1" applyAlignment="1">
      <alignment horizontal="center" vertical="center"/>
    </xf>
    <xf numFmtId="9" fontId="336" fillId="2" borderId="1" xfId="3304" applyFont="1" applyFill="1" applyBorder="1" applyAlignment="1">
      <alignment horizontal="left" vertical="center"/>
    </xf>
    <xf numFmtId="4" fontId="399" fillId="2" borderId="1" xfId="0" applyNumberFormat="1" applyFont="1" applyFill="1" applyBorder="1" applyAlignment="1">
      <alignment horizontal="center" vertical="center"/>
    </xf>
    <xf numFmtId="10" fontId="401" fillId="59" borderId="34" xfId="3304" applyNumberFormat="1" applyFont="1" applyFill="1" applyBorder="1" applyAlignment="1">
      <alignment horizontal="center" vertical="center"/>
    </xf>
    <xf numFmtId="0" fontId="212" fillId="0" borderId="0" xfId="0" applyFont="1" applyAlignment="1">
      <alignment horizontal="center"/>
    </xf>
    <xf numFmtId="4" fontId="403" fillId="0" borderId="29" xfId="0" applyNumberFormat="1" applyFont="1" applyFill="1" applyBorder="1" applyAlignment="1">
      <alignment horizontal="left" vertical="center"/>
    </xf>
    <xf numFmtId="10" fontId="403" fillId="59" borderId="30" xfId="3304" applyNumberFormat="1" applyFont="1" applyFill="1" applyBorder="1" applyAlignment="1">
      <alignment horizontal="center" vertical="center"/>
    </xf>
    <xf numFmtId="10" fontId="403" fillId="0" borderId="30" xfId="3304" applyNumberFormat="1" applyFont="1" applyBorder="1" applyAlignment="1">
      <alignment horizontal="center" vertical="center"/>
    </xf>
    <xf numFmtId="10" fontId="403" fillId="60" borderId="30" xfId="3304" applyNumberFormat="1" applyFont="1" applyFill="1" applyBorder="1" applyAlignment="1">
      <alignment horizontal="center" vertical="center"/>
    </xf>
    <xf numFmtId="4" fontId="403" fillId="0" borderId="20" xfId="0" applyNumberFormat="1" applyFont="1" applyFill="1" applyBorder="1" applyAlignment="1">
      <alignment horizontal="left" vertical="center"/>
    </xf>
    <xf numFmtId="10" fontId="404" fillId="59" borderId="1" xfId="3304" applyNumberFormat="1" applyFont="1" applyFill="1" applyBorder="1" applyAlignment="1">
      <alignment horizontal="center" vertical="center"/>
    </xf>
    <xf numFmtId="10" fontId="404" fillId="60" borderId="1" xfId="3304" applyNumberFormat="1" applyFont="1" applyFill="1" applyBorder="1" applyAlignment="1">
      <alignment horizontal="center" vertical="center"/>
    </xf>
    <xf numFmtId="43" fontId="404" fillId="60" borderId="1" xfId="3040" applyFont="1" applyFill="1" applyBorder="1" applyAlignment="1">
      <alignment horizontal="center" vertical="center"/>
    </xf>
    <xf numFmtId="4" fontId="403" fillId="0" borderId="33" xfId="0" applyNumberFormat="1" applyFont="1" applyFill="1" applyBorder="1" applyAlignment="1">
      <alignment horizontal="left" vertical="center"/>
    </xf>
    <xf numFmtId="10" fontId="403" fillId="59" borderId="34" xfId="3304" applyNumberFormat="1" applyFont="1" applyFill="1" applyBorder="1" applyAlignment="1">
      <alignment horizontal="center" vertical="center"/>
    </xf>
    <xf numFmtId="10" fontId="403" fillId="0" borderId="34" xfId="3304" applyNumberFormat="1" applyFont="1" applyBorder="1" applyAlignment="1">
      <alignment horizontal="center" vertical="center"/>
    </xf>
    <xf numFmtId="10" fontId="403" fillId="60" borderId="34" xfId="3304" applyNumberFormat="1" applyFont="1" applyFill="1" applyBorder="1" applyAlignment="1">
      <alignment horizontal="center" vertical="center"/>
    </xf>
    <xf numFmtId="4" fontId="405" fillId="0" borderId="20" xfId="0" applyNumberFormat="1" applyFont="1" applyFill="1" applyBorder="1" applyAlignment="1">
      <alignment horizontal="left" vertical="center"/>
    </xf>
    <xf numFmtId="10" fontId="404" fillId="0" borderId="1" xfId="3304" applyNumberFormat="1" applyFont="1" applyBorder="1" applyAlignment="1">
      <alignment horizontal="center" vertical="center"/>
    </xf>
    <xf numFmtId="4" fontId="0" fillId="0" borderId="0" xfId="0" applyNumberFormat="1" applyFont="1"/>
    <xf numFmtId="4" fontId="217" fillId="0" borderId="0" xfId="0" applyNumberFormat="1" applyFont="1"/>
    <xf numFmtId="43" fontId="217" fillId="0" borderId="0" xfId="3040" applyFont="1"/>
    <xf numFmtId="0" fontId="406" fillId="0" borderId="29" xfId="0" applyFont="1" applyBorder="1" applyAlignment="1">
      <alignment horizontal="left" vertical="center"/>
    </xf>
    <xf numFmtId="4" fontId="403" fillId="59" borderId="30" xfId="3302" applyNumberFormat="1" applyFont="1" applyFill="1" applyBorder="1" applyAlignment="1">
      <alignment horizontal="center" vertical="center"/>
    </xf>
    <xf numFmtId="4" fontId="404" fillId="0" borderId="30" xfId="3302" applyNumberFormat="1" applyFont="1" applyBorder="1" applyAlignment="1">
      <alignment horizontal="center" vertical="center"/>
    </xf>
    <xf numFmtId="4" fontId="404" fillId="59" borderId="30" xfId="3302" applyNumberFormat="1" applyFont="1" applyFill="1" applyBorder="1" applyAlignment="1">
      <alignment horizontal="center" vertical="center"/>
    </xf>
    <xf numFmtId="43" fontId="403" fillId="60" borderId="30" xfId="3040" applyFont="1" applyFill="1" applyBorder="1" applyAlignment="1">
      <alignment horizontal="center" vertical="center"/>
    </xf>
    <xf numFmtId="0" fontId="406" fillId="0" borderId="37" xfId="0" applyFont="1" applyBorder="1" applyAlignment="1">
      <alignment horizontal="left" vertical="center"/>
    </xf>
    <xf numFmtId="4" fontId="404" fillId="60" borderId="34" xfId="3304" applyNumberFormat="1" applyFont="1" applyFill="1" applyBorder="1" applyAlignment="1">
      <alignment horizontal="center" vertical="center"/>
    </xf>
    <xf numFmtId="4" fontId="403" fillId="60" borderId="34" xfId="3304" applyNumberFormat="1" applyFont="1" applyFill="1" applyBorder="1" applyAlignment="1">
      <alignment horizontal="center" vertical="center"/>
    </xf>
    <xf numFmtId="4" fontId="403" fillId="60" borderId="34" xfId="3302" applyNumberFormat="1" applyFont="1" applyFill="1" applyBorder="1" applyAlignment="1">
      <alignment horizontal="center" vertical="center"/>
    </xf>
    <xf numFmtId="4" fontId="403" fillId="0" borderId="62" xfId="0" applyNumberFormat="1" applyFont="1" applyFill="1" applyBorder="1" applyAlignment="1">
      <alignment horizontal="left" vertical="center"/>
    </xf>
    <xf numFmtId="10" fontId="403" fillId="59" borderId="5" xfId="3304" applyNumberFormat="1" applyFont="1" applyFill="1" applyBorder="1" applyAlignment="1">
      <alignment horizontal="center" vertical="center"/>
    </xf>
    <xf numFmtId="10" fontId="403" fillId="0" borderId="5" xfId="3304" applyNumberFormat="1" applyFont="1" applyBorder="1" applyAlignment="1">
      <alignment horizontal="center" vertical="center"/>
    </xf>
    <xf numFmtId="10" fontId="403" fillId="60" borderId="5" xfId="3304" applyNumberFormat="1" applyFont="1" applyFill="1" applyBorder="1" applyAlignment="1">
      <alignment horizontal="center" vertical="center"/>
    </xf>
    <xf numFmtId="10" fontId="395" fillId="60" borderId="5" xfId="3304" applyNumberFormat="1" applyFont="1" applyFill="1" applyBorder="1" applyAlignment="1">
      <alignment horizontal="center" vertical="center"/>
    </xf>
    <xf numFmtId="4" fontId="395" fillId="2" borderId="63" xfId="0" applyNumberFormat="1" applyFont="1" applyFill="1" applyBorder="1" applyAlignment="1">
      <alignment horizontal="center" vertical="center"/>
    </xf>
    <xf numFmtId="4" fontId="222" fillId="0" borderId="64" xfId="0" applyNumberFormat="1" applyFont="1" applyFill="1" applyBorder="1" applyAlignment="1">
      <alignment horizontal="left" vertical="center"/>
    </xf>
    <xf numFmtId="10" fontId="391" fillId="59" borderId="23" xfId="3304" applyNumberFormat="1" applyFont="1" applyFill="1" applyBorder="1" applyAlignment="1">
      <alignment horizontal="center" vertical="center"/>
    </xf>
    <xf numFmtId="10" fontId="391" fillId="0" borderId="23" xfId="3304" applyNumberFormat="1" applyFont="1" applyBorder="1" applyAlignment="1">
      <alignment horizontal="center" vertical="center"/>
    </xf>
    <xf numFmtId="10" fontId="392" fillId="60" borderId="23" xfId="3304" applyNumberFormat="1" applyFont="1" applyFill="1" applyBorder="1" applyAlignment="1">
      <alignment horizontal="center" vertical="center"/>
    </xf>
    <xf numFmtId="10" fontId="393" fillId="59" borderId="23" xfId="3304" applyNumberFormat="1" applyFont="1" applyFill="1" applyBorder="1" applyAlignment="1">
      <alignment horizontal="center" vertical="center"/>
    </xf>
    <xf numFmtId="164" fontId="391" fillId="2" borderId="65" xfId="0" applyNumberFormat="1" applyFont="1" applyFill="1" applyBorder="1" applyAlignment="1">
      <alignment horizontal="center" vertical="center"/>
    </xf>
    <xf numFmtId="4" fontId="378" fillId="2" borderId="64" xfId="0" applyNumberFormat="1" applyFont="1" applyFill="1" applyBorder="1" applyAlignment="1">
      <alignment horizontal="left" vertical="center"/>
    </xf>
    <xf numFmtId="4" fontId="380" fillId="0" borderId="23" xfId="3302" applyNumberFormat="1" applyFont="1" applyBorder="1" applyAlignment="1">
      <alignment horizontal="center" vertical="center"/>
    </xf>
    <xf numFmtId="4" fontId="380" fillId="60" borderId="23" xfId="3302" applyNumberFormat="1" applyFont="1" applyFill="1" applyBorder="1" applyAlignment="1">
      <alignment horizontal="center" vertical="center"/>
    </xf>
    <xf numFmtId="4" fontId="380" fillId="2" borderId="28" xfId="3040" applyNumberFormat="1" applyFont="1" applyFill="1" applyBorder="1" applyAlignment="1">
      <alignment horizontal="center" vertical="center"/>
    </xf>
    <xf numFmtId="4" fontId="216" fillId="0" borderId="66" xfId="0" applyNumberFormat="1" applyFont="1" applyFill="1" applyBorder="1" applyAlignment="1">
      <alignment horizontal="left" vertical="center"/>
    </xf>
    <xf numFmtId="4" fontId="404" fillId="59" borderId="67" xfId="3304" applyNumberFormat="1" applyFont="1" applyFill="1" applyBorder="1" applyAlignment="1">
      <alignment horizontal="center" vertical="center"/>
    </xf>
    <xf numFmtId="4" fontId="404" fillId="0" borderId="67" xfId="3304" applyNumberFormat="1" applyFont="1" applyBorder="1" applyAlignment="1">
      <alignment horizontal="center" vertical="center"/>
    </xf>
    <xf numFmtId="4" fontId="404" fillId="60" borderId="67" xfId="3304" applyNumberFormat="1" applyFont="1" applyFill="1" applyBorder="1" applyAlignment="1">
      <alignment horizontal="center" vertical="center"/>
    </xf>
    <xf numFmtId="4" fontId="316" fillId="60" borderId="67" xfId="3304" applyNumberFormat="1" applyFont="1" applyFill="1" applyBorder="1" applyAlignment="1">
      <alignment horizontal="center" vertical="center"/>
    </xf>
    <xf numFmtId="2" fontId="316" fillId="2" borderId="68" xfId="0" applyNumberFormat="1" applyFont="1" applyFill="1" applyBorder="1" applyAlignment="1">
      <alignment horizontal="center" vertical="center"/>
    </xf>
    <xf numFmtId="4" fontId="316" fillId="59" borderId="67" xfId="3304" applyNumberFormat="1" applyFont="1" applyFill="1" applyBorder="1" applyAlignment="1">
      <alignment horizontal="center" vertical="center"/>
    </xf>
    <xf numFmtId="4" fontId="316" fillId="0" borderId="67" xfId="3304" applyNumberFormat="1" applyFont="1" applyBorder="1" applyAlignment="1">
      <alignment horizontal="center" vertical="center"/>
    </xf>
    <xf numFmtId="4" fontId="362" fillId="59" borderId="67" xfId="3304" applyNumberFormat="1" applyFont="1" applyFill="1" applyBorder="1" applyAlignment="1">
      <alignment horizontal="center" vertical="center"/>
    </xf>
    <xf numFmtId="9" fontId="316" fillId="60" borderId="1" xfId="3304" applyFont="1" applyFill="1" applyBorder="1" applyAlignment="1">
      <alignment horizontal="center" vertical="center"/>
    </xf>
    <xf numFmtId="2" fontId="349" fillId="0" borderId="0" xfId="0" applyNumberFormat="1" applyFont="1"/>
    <xf numFmtId="4" fontId="0" fillId="0" borderId="0" xfId="0" applyNumberFormat="1" applyAlignment="1">
      <alignment horizontal="center"/>
    </xf>
    <xf numFmtId="4" fontId="217" fillId="0" borderId="0" xfId="0" applyNumberFormat="1" applyFont="1" applyAlignment="1">
      <alignment horizontal="center"/>
    </xf>
    <xf numFmtId="0" fontId="407" fillId="0" borderId="0" xfId="0" applyFont="1"/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0" borderId="10" xfId="33546" applyFont="1" applyFill="1" applyBorder="1" applyAlignment="1">
      <alignment horizontal="center"/>
    </xf>
    <xf numFmtId="0" fontId="0" fillId="0" borderId="18" xfId="0" applyBorder="1" applyAlignment="1">
      <alignment horizontal="right" vertical="center"/>
    </xf>
    <xf numFmtId="0" fontId="299" fillId="0" borderId="18" xfId="0" applyFont="1" applyBorder="1" applyAlignment="1">
      <alignment horizontal="right" vertical="center"/>
    </xf>
    <xf numFmtId="3" fontId="212" fillId="0" borderId="18" xfId="0" applyNumberFormat="1" applyFont="1" applyBorder="1" applyAlignment="1">
      <alignment horizontal="right" vertical="center"/>
    </xf>
    <xf numFmtId="4" fontId="0" fillId="0" borderId="0" xfId="3040" applyNumberFormat="1" applyFont="1"/>
    <xf numFmtId="4" fontId="217" fillId="0" borderId="0" xfId="3040" applyNumberFormat="1" applyFont="1"/>
    <xf numFmtId="10" fontId="316" fillId="2" borderId="32" xfId="3304" applyNumberFormat="1" applyFont="1" applyFill="1" applyBorder="1" applyAlignment="1">
      <alignment horizontal="center" vertical="center"/>
    </xf>
    <xf numFmtId="2" fontId="212" fillId="0" borderId="1" xfId="0" applyNumberFormat="1" applyFont="1" applyBorder="1" applyAlignment="1">
      <alignment horizontal="right" vertical="center"/>
    </xf>
    <xf numFmtId="2" fontId="355" fillId="0" borderId="1" xfId="0" applyNumberFormat="1" applyFont="1" applyBorder="1" applyAlignment="1">
      <alignment horizontal="right" vertical="center"/>
    </xf>
    <xf numFmtId="2" fontId="298" fillId="0" borderId="1" xfId="0" applyNumberFormat="1" applyFont="1" applyBorder="1" applyAlignment="1">
      <alignment horizontal="right" vertical="center"/>
    </xf>
    <xf numFmtId="2" fontId="212" fillId="0" borderId="1" xfId="0" applyNumberFormat="1" applyFont="1" applyFill="1" applyBorder="1" applyAlignment="1">
      <alignment horizontal="right" vertical="center"/>
    </xf>
    <xf numFmtId="2" fontId="402" fillId="0" borderId="1" xfId="0" applyNumberFormat="1" applyFont="1" applyBorder="1" applyAlignment="1">
      <alignment horizontal="right" vertical="center"/>
    </xf>
    <xf numFmtId="2" fontId="340" fillId="0" borderId="1" xfId="0" applyNumberFormat="1" applyFont="1" applyBorder="1" applyAlignment="1">
      <alignment horizontal="right" vertical="center"/>
    </xf>
    <xf numFmtId="2" fontId="212" fillId="59" borderId="1" xfId="0" applyNumberFormat="1" applyFont="1" applyFill="1" applyBorder="1" applyAlignment="1">
      <alignment horizontal="right" vertical="center"/>
    </xf>
    <xf numFmtId="4" fontId="247" fillId="0" borderId="1" xfId="0" applyNumberFormat="1" applyFont="1" applyFill="1" applyBorder="1" applyAlignment="1">
      <alignment horizontal="left" vertical="center"/>
    </xf>
    <xf numFmtId="43" fontId="247" fillId="4" borderId="1" xfId="3040" applyFont="1" applyFill="1" applyBorder="1" applyAlignment="1">
      <alignment horizontal="center" vertical="center"/>
    </xf>
    <xf numFmtId="10" fontId="0" fillId="64" borderId="0" xfId="3304" applyNumberFormat="1" applyFont="1" applyFill="1"/>
    <xf numFmtId="10" fontId="0" fillId="64" borderId="0" xfId="0" applyNumberFormat="1" applyFill="1"/>
    <xf numFmtId="10" fontId="0" fillId="64" borderId="0" xfId="3304" applyNumberFormat="1" applyFont="1" applyFill="1" applyAlignment="1">
      <alignment horizontal="center"/>
    </xf>
    <xf numFmtId="10" fontId="0" fillId="64" borderId="0" xfId="0" applyNumberFormat="1" applyFill="1" applyAlignment="1">
      <alignment horizontal="center"/>
    </xf>
    <xf numFmtId="0" fontId="0" fillId="59" borderId="57" xfId="0" applyFill="1" applyBorder="1" applyAlignment="1">
      <alignment horizontal="center"/>
    </xf>
    <xf numFmtId="4" fontId="0" fillId="59" borderId="0" xfId="0" applyNumberFormat="1" applyFill="1"/>
    <xf numFmtId="4" fontId="374" fillId="59" borderId="0" xfId="0" applyNumberFormat="1" applyFont="1" applyFill="1"/>
    <xf numFmtId="4" fontId="295" fillId="59" borderId="0" xfId="0" applyNumberFormat="1" applyFont="1" applyFill="1"/>
    <xf numFmtId="167" fontId="0" fillId="59" borderId="0" xfId="3304" applyNumberFormat="1" applyFont="1" applyFill="1"/>
    <xf numFmtId="167" fontId="0" fillId="59" borderId="0" xfId="0" applyNumberFormat="1" applyFill="1"/>
    <xf numFmtId="4" fontId="399" fillId="0" borderId="1" xfId="0" applyNumberFormat="1" applyFont="1" applyFill="1" applyBorder="1" applyAlignment="1">
      <alignment horizontal="left" vertical="center"/>
    </xf>
    <xf numFmtId="43" fontId="399" fillId="0" borderId="1" xfId="3040" applyFont="1" applyBorder="1" applyAlignment="1">
      <alignment horizontal="center" vertical="center"/>
    </xf>
    <xf numFmtId="43" fontId="399" fillId="4" borderId="1" xfId="3040" applyFont="1" applyFill="1" applyBorder="1" applyAlignment="1">
      <alignment horizontal="center" vertical="center"/>
    </xf>
    <xf numFmtId="4" fontId="224" fillId="2" borderId="1" xfId="0" applyNumberFormat="1" applyFont="1" applyFill="1" applyBorder="1" applyAlignment="1">
      <alignment horizontal="left" vertical="center"/>
    </xf>
    <xf numFmtId="4" fontId="224" fillId="0" borderId="1" xfId="0" applyNumberFormat="1" applyFont="1" applyFill="1" applyBorder="1" applyAlignment="1">
      <alignment horizontal="left" vertical="center"/>
    </xf>
    <xf numFmtId="10" fontId="209" fillId="0" borderId="1" xfId="3304" applyNumberFormat="1" applyFont="1" applyBorder="1" applyAlignment="1">
      <alignment horizontal="center" vertical="center"/>
    </xf>
    <xf numFmtId="10" fontId="209" fillId="4" borderId="1" xfId="3304" applyNumberFormat="1" applyFont="1" applyFill="1" applyBorder="1" applyAlignment="1">
      <alignment horizontal="center" vertical="center"/>
    </xf>
    <xf numFmtId="4" fontId="394" fillId="0" borderId="1" xfId="0" applyNumberFormat="1" applyFont="1" applyFill="1" applyBorder="1" applyAlignment="1">
      <alignment horizontal="left" vertical="center"/>
    </xf>
    <xf numFmtId="43" fontId="224" fillId="0" borderId="1" xfId="3040" applyFont="1" applyBorder="1" applyAlignment="1">
      <alignment horizontal="center" vertical="center"/>
    </xf>
    <xf numFmtId="4" fontId="408" fillId="0" borderId="1" xfId="0" applyNumberFormat="1" applyFont="1" applyFill="1" applyBorder="1" applyAlignment="1">
      <alignment horizontal="left" vertical="center"/>
    </xf>
    <xf numFmtId="0" fontId="409" fillId="0" borderId="0" xfId="0" applyFont="1" applyAlignment="1">
      <alignment horizontal="left" vertical="center"/>
    </xf>
    <xf numFmtId="0" fontId="409" fillId="0" borderId="0" xfId="0" applyFont="1" applyAlignment="1">
      <alignment horizontal="left"/>
    </xf>
    <xf numFmtId="43" fontId="408" fillId="0" borderId="1" xfId="3040" applyFont="1" applyBorder="1" applyAlignment="1">
      <alignment horizontal="center" vertical="center"/>
    </xf>
    <xf numFmtId="43" fontId="408" fillId="4" borderId="1" xfId="3040" applyFont="1" applyFill="1" applyBorder="1" applyAlignment="1">
      <alignment horizontal="center" vertical="center"/>
    </xf>
    <xf numFmtId="4" fontId="408" fillId="2" borderId="1" xfId="0" applyNumberFormat="1" applyFont="1" applyFill="1" applyBorder="1" applyAlignment="1">
      <alignment horizontal="left" vertical="center"/>
    </xf>
    <xf numFmtId="0" fontId="237" fillId="0" borderId="22" xfId="0" applyFont="1" applyBorder="1" applyAlignment="1">
      <alignment horizontal="center" vertical="center"/>
    </xf>
    <xf numFmtId="0" fontId="237" fillId="0" borderId="18" xfId="0" applyFont="1" applyBorder="1" applyAlignment="1">
      <alignment horizontal="center" vertical="center"/>
    </xf>
    <xf numFmtId="10" fontId="247" fillId="0" borderId="1" xfId="3040" applyNumberFormat="1" applyFont="1" applyBorder="1" applyAlignment="1">
      <alignment horizontal="center" vertical="center"/>
    </xf>
    <xf numFmtId="10" fontId="212" fillId="0" borderId="0" xfId="3304" applyNumberFormat="1" applyFont="1"/>
    <xf numFmtId="4" fontId="212" fillId="0" borderId="0" xfId="0" applyNumberFormat="1" applyFont="1" applyAlignment="1">
      <alignment vertical="center"/>
    </xf>
    <xf numFmtId="4" fontId="220" fillId="0" borderId="0" xfId="0" applyNumberFormat="1" applyFont="1"/>
    <xf numFmtId="4" fontId="220" fillId="0" borderId="0" xfId="0" applyNumberFormat="1" applyFont="1" applyAlignment="1">
      <alignment vertical="center"/>
    </xf>
    <xf numFmtId="2" fontId="212" fillId="0" borderId="0" xfId="0" applyNumberFormat="1" applyFont="1"/>
    <xf numFmtId="4" fontId="410" fillId="0" borderId="0" xfId="0" applyNumberFormat="1" applyFont="1"/>
    <xf numFmtId="0" fontId="411" fillId="0" borderId="0" xfId="0" applyFont="1"/>
    <xf numFmtId="0" fontId="0" fillId="59" borderId="0" xfId="0" applyFill="1" applyAlignment="1">
      <alignment horizontal="right"/>
    </xf>
    <xf numFmtId="0" fontId="0" fillId="0" borderId="4" xfId="0" applyBorder="1" applyAlignment="1">
      <alignment horizontal="center"/>
    </xf>
    <xf numFmtId="43" fontId="265" fillId="0" borderId="4" xfId="3040" applyFont="1" applyBorder="1" applyAlignment="1">
      <alignment vertical="center"/>
    </xf>
    <xf numFmtId="10" fontId="265" fillId="0" borderId="4" xfId="3304" applyNumberFormat="1" applyFont="1" applyBorder="1" applyAlignment="1">
      <alignment vertical="center"/>
    </xf>
    <xf numFmtId="4" fontId="371" fillId="4" borderId="1" xfId="0" applyNumberFormat="1" applyFont="1" applyFill="1" applyBorder="1" applyAlignment="1">
      <alignment horizontal="center" vertical="center"/>
    </xf>
    <xf numFmtId="4" fontId="371" fillId="65" borderId="1" xfId="0" applyNumberFormat="1" applyFont="1" applyFill="1" applyBorder="1" applyAlignment="1">
      <alignment horizontal="center" vertical="center"/>
    </xf>
    <xf numFmtId="4" fontId="208" fillId="65" borderId="1" xfId="0" applyNumberFormat="1" applyFont="1" applyFill="1" applyBorder="1" applyAlignment="1">
      <alignment horizontal="center" vertical="center"/>
    </xf>
    <xf numFmtId="4" fontId="208" fillId="65" borderId="18" xfId="0" applyNumberFormat="1" applyFont="1" applyFill="1" applyBorder="1" applyAlignment="1">
      <alignment horizontal="center" vertical="center"/>
    </xf>
    <xf numFmtId="4" fontId="208" fillId="65" borderId="18" xfId="0" applyNumberFormat="1" applyFont="1" applyFill="1" applyBorder="1" applyAlignment="1">
      <alignment horizontal="left" vertical="center"/>
    </xf>
    <xf numFmtId="4" fontId="208" fillId="65" borderId="1" xfId="0" applyNumberFormat="1" applyFont="1" applyFill="1" applyBorder="1" applyAlignment="1">
      <alignment horizontal="left" vertical="center"/>
    </xf>
    <xf numFmtId="43" fontId="371" fillId="4" borderId="1" xfId="3304" applyNumberFormat="1" applyFont="1" applyFill="1" applyBorder="1" applyAlignment="1">
      <alignment horizontal="center" vertical="center"/>
    </xf>
    <xf numFmtId="4" fontId="412" fillId="60" borderId="1" xfId="3304" applyNumberFormat="1" applyFont="1" applyFill="1" applyBorder="1" applyAlignment="1">
      <alignment horizontal="center" vertical="center"/>
    </xf>
    <xf numFmtId="43" fontId="224" fillId="4" borderId="22" xfId="3040" applyFont="1" applyFill="1" applyBorder="1" applyAlignment="1">
      <alignment horizontal="center" vertical="center"/>
    </xf>
    <xf numFmtId="43" fontId="224" fillId="4" borderId="18" xfId="304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32" fillId="0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224" fillId="4" borderId="22" xfId="3304" applyNumberFormat="1" applyFont="1" applyFill="1" applyBorder="1" applyAlignment="1">
      <alignment horizontal="center" vertical="center"/>
    </xf>
    <xf numFmtId="10" fontId="224" fillId="4" borderId="18" xfId="3304" applyNumberFormat="1" applyFont="1" applyFill="1" applyBorder="1" applyAlignment="1">
      <alignment horizontal="center" vertical="center"/>
    </xf>
    <xf numFmtId="10" fontId="251" fillId="4" borderId="22" xfId="3304" applyNumberFormat="1" applyFont="1" applyFill="1" applyBorder="1" applyAlignment="1">
      <alignment horizontal="center" vertical="center"/>
    </xf>
    <xf numFmtId="10" fontId="251" fillId="4" borderId="18" xfId="3304" applyNumberFormat="1" applyFont="1" applyFill="1" applyBorder="1" applyAlignment="1">
      <alignment horizontal="center" vertical="center"/>
    </xf>
    <xf numFmtId="43" fontId="244" fillId="4" borderId="22" xfId="3040" applyFont="1" applyFill="1" applyBorder="1" applyAlignment="1">
      <alignment horizontal="center" vertical="center"/>
    </xf>
    <xf numFmtId="43" fontId="244" fillId="4" borderId="18" xfId="3040" applyFont="1" applyFill="1" applyBorder="1" applyAlignment="1">
      <alignment horizontal="center" vertical="center"/>
    </xf>
    <xf numFmtId="43" fontId="251" fillId="4" borderId="22" xfId="3040" applyFont="1" applyFill="1" applyBorder="1" applyAlignment="1">
      <alignment horizontal="center" vertical="center"/>
    </xf>
    <xf numFmtId="43" fontId="251" fillId="4" borderId="18" xfId="3040" applyFont="1" applyFill="1" applyBorder="1" applyAlignment="1">
      <alignment horizontal="center" vertical="center"/>
    </xf>
    <xf numFmtId="0" fontId="210" fillId="0" borderId="22" xfId="0" applyFont="1" applyFill="1" applyBorder="1" applyAlignment="1">
      <alignment horizontal="center" vertical="center"/>
    </xf>
    <xf numFmtId="0" fontId="220" fillId="0" borderId="18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7" fillId="0" borderId="22" xfId="0" applyFont="1" applyBorder="1" applyAlignment="1">
      <alignment horizontal="center" vertical="center"/>
    </xf>
    <xf numFmtId="0" fontId="237" fillId="0" borderId="18" xfId="0" applyFont="1" applyBorder="1" applyAlignment="1">
      <alignment horizontal="center" vertical="center"/>
    </xf>
    <xf numFmtId="0" fontId="237" fillId="0" borderId="6" xfId="0" applyFont="1" applyBorder="1" applyAlignment="1">
      <alignment horizontal="center" vertical="center"/>
    </xf>
    <xf numFmtId="0" fontId="303" fillId="0" borderId="22" xfId="0" applyFont="1" applyFill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0" fontId="233" fillId="0" borderId="1" xfId="0" applyFont="1" applyBorder="1" applyAlignment="1">
      <alignment horizontal="center" vertical="center"/>
    </xf>
    <xf numFmtId="0" fontId="220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220" fillId="0" borderId="22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3" fontId="212" fillId="0" borderId="22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376" fillId="0" borderId="22" xfId="0" applyFont="1" applyBorder="1" applyAlignment="1">
      <alignment horizontal="center" vertical="center"/>
    </xf>
    <xf numFmtId="0" fontId="377" fillId="0" borderId="18" xfId="0" applyFont="1" applyBorder="1" applyAlignment="1">
      <alignment horizontal="center" vertical="center"/>
    </xf>
    <xf numFmtId="0" fontId="377" fillId="0" borderId="6" xfId="0" applyFont="1" applyBorder="1" applyAlignment="1">
      <alignment horizontal="center" vertical="center"/>
    </xf>
    <xf numFmtId="3" fontId="355" fillId="0" borderId="22" xfId="0" applyNumberFormat="1" applyFont="1" applyBorder="1" applyAlignment="1">
      <alignment horizontal="right" vertical="center"/>
    </xf>
    <xf numFmtId="0" fontId="359" fillId="0" borderId="18" xfId="0" applyFont="1" applyBorder="1" applyAlignment="1">
      <alignment horizontal="right" vertical="center"/>
    </xf>
    <xf numFmtId="0" fontId="359" fillId="0" borderId="6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3" fontId="298" fillId="0" borderId="22" xfId="0" applyNumberFormat="1" applyFont="1" applyBorder="1" applyAlignment="1">
      <alignment horizontal="center" vertical="center"/>
    </xf>
    <xf numFmtId="0" fontId="299" fillId="0" borderId="18" xfId="0" applyFont="1" applyBorder="1" applyAlignment="1">
      <alignment horizontal="center" vertical="center"/>
    </xf>
    <xf numFmtId="0" fontId="299" fillId="0" borderId="6" xfId="0" applyFont="1" applyBorder="1" applyAlignment="1">
      <alignment horizontal="center" vertical="center"/>
    </xf>
    <xf numFmtId="3" fontId="212" fillId="0" borderId="18" xfId="0" applyNumberFormat="1" applyFont="1" applyBorder="1" applyAlignment="1">
      <alignment horizontal="right" vertical="center"/>
    </xf>
    <xf numFmtId="3" fontId="212" fillId="0" borderId="6" xfId="0" applyNumberFormat="1" applyFont="1" applyBorder="1" applyAlignment="1">
      <alignment horizontal="right" vertical="center"/>
    </xf>
    <xf numFmtId="3" fontId="298" fillId="59" borderId="22" xfId="0" applyNumberFormat="1" applyFont="1" applyFill="1" applyBorder="1" applyAlignment="1">
      <alignment horizontal="center" vertical="center"/>
    </xf>
    <xf numFmtId="0" fontId="299" fillId="59" borderId="18" xfId="0" applyFont="1" applyFill="1" applyBorder="1" applyAlignment="1">
      <alignment horizontal="center" vertical="center"/>
    </xf>
    <xf numFmtId="0" fontId="299" fillId="59" borderId="6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27" xfId="0" applyBorder="1" applyAlignment="1">
      <alignment horizontal="center"/>
    </xf>
    <xf numFmtId="0" fontId="339" fillId="0" borderId="61" xfId="3834" applyFont="1" applyBorder="1" applyAlignment="1">
      <alignment horizontal="center"/>
    </xf>
    <xf numFmtId="0" fontId="277" fillId="0" borderId="4" xfId="3048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43" fontId="251" fillId="4" borderId="22" xfId="3040" applyFont="1" applyFill="1" applyBorder="1" applyAlignment="1">
      <alignment vertical="center"/>
    </xf>
    <xf numFmtId="43" fontId="251" fillId="4" borderId="18" xfId="3040" applyFont="1" applyFill="1" applyBorder="1" applyAlignment="1">
      <alignment vertical="center"/>
    </xf>
    <xf numFmtId="43" fontId="224" fillId="4" borderId="22" xfId="3040" applyFont="1" applyFill="1" applyBorder="1" applyAlignment="1">
      <alignment vertical="center"/>
    </xf>
    <xf numFmtId="43" fontId="224" fillId="4" borderId="18" xfId="3040" applyFont="1" applyFill="1" applyBorder="1" applyAlignment="1">
      <alignment vertical="center"/>
    </xf>
    <xf numFmtId="10" fontId="251" fillId="4" borderId="22" xfId="3304" applyNumberFormat="1" applyFont="1" applyFill="1" applyBorder="1" applyAlignment="1">
      <alignment vertical="center"/>
    </xf>
    <xf numFmtId="10" fontId="251" fillId="4" borderId="18" xfId="3304" applyNumberFormat="1" applyFont="1" applyFill="1" applyBorder="1" applyAlignment="1">
      <alignment vertical="center"/>
    </xf>
    <xf numFmtId="0" fontId="210" fillId="0" borderId="18" xfId="0" applyFont="1" applyFill="1" applyBorder="1" applyAlignment="1">
      <alignment horizontal="center" vertical="center"/>
    </xf>
    <xf numFmtId="0" fontId="210" fillId="0" borderId="6" xfId="0" applyFont="1" applyFill="1" applyBorder="1" applyAlignment="1">
      <alignment horizontal="center" vertical="center"/>
    </xf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8"/>
  <sheetViews>
    <sheetView zoomScale="80" zoomScaleNormal="80" workbookViewId="0">
      <selection activeCell="H9" sqref="H9"/>
    </sheetView>
  </sheetViews>
  <sheetFormatPr defaultColWidth="9.109375" defaultRowHeight="13.2"/>
  <cols>
    <col min="1" max="1" width="41.44140625" style="118" customWidth="1"/>
    <col min="2" max="2" width="13.6640625" style="119" customWidth="1"/>
    <col min="3" max="3" width="13" style="119" customWidth="1"/>
    <col min="4" max="4" width="13.44140625" style="119" customWidth="1"/>
    <col min="5" max="5" width="13.109375" style="119" customWidth="1"/>
    <col min="6" max="6" width="13" style="119" customWidth="1"/>
    <col min="7" max="7" width="12.44140625" style="119" customWidth="1"/>
    <col min="8" max="8" width="12.88671875" style="119" customWidth="1"/>
    <col min="9" max="9" width="12.6640625" style="119" customWidth="1"/>
    <col min="10" max="10" width="12.109375" style="119" customWidth="1"/>
    <col min="11" max="11" width="13.21875" style="119" customWidth="1"/>
    <col min="12" max="12" width="13.6640625" style="119" customWidth="1"/>
    <col min="13" max="13" width="13.109375" style="119" customWidth="1"/>
    <col min="14" max="14" width="12.44140625" style="119" customWidth="1"/>
    <col min="15" max="15" width="12.88671875" style="119" customWidth="1"/>
    <col min="16" max="16" width="12" style="119" customWidth="1"/>
    <col min="17" max="17" width="12.109375" style="119" customWidth="1"/>
    <col min="18" max="18" width="13.6640625" style="119" customWidth="1"/>
    <col min="19" max="19" width="12.5546875" style="12" bestFit="1" customWidth="1"/>
    <col min="20" max="16384" width="9.109375" style="12"/>
  </cols>
  <sheetData>
    <row r="1" spans="1:19" ht="15" customHeight="1">
      <c r="A1" s="29" t="s">
        <v>76</v>
      </c>
      <c r="B1" s="767" t="s">
        <v>120</v>
      </c>
      <c r="C1" s="768"/>
      <c r="D1" s="769"/>
      <c r="E1" s="155"/>
      <c r="F1" s="767" t="s">
        <v>128</v>
      </c>
      <c r="G1" s="768"/>
      <c r="H1" s="769"/>
      <c r="I1" s="155"/>
      <c r="J1" s="767" t="s">
        <v>129</v>
      </c>
      <c r="K1" s="768"/>
      <c r="L1" s="769"/>
      <c r="M1" s="155"/>
      <c r="N1" s="767" t="s">
        <v>130</v>
      </c>
      <c r="O1" s="768"/>
      <c r="P1" s="769"/>
      <c r="Q1" s="155"/>
      <c r="R1" s="150"/>
      <c r="S1" s="18"/>
    </row>
    <row r="2" spans="1:19" ht="15" customHeight="1">
      <c r="A2" s="84" t="s">
        <v>0</v>
      </c>
      <c r="B2" s="153" t="s">
        <v>1</v>
      </c>
      <c r="C2" s="153" t="s">
        <v>2</v>
      </c>
      <c r="D2" s="153" t="s">
        <v>3</v>
      </c>
      <c r="E2" s="156" t="s">
        <v>110</v>
      </c>
      <c r="F2" s="153" t="s">
        <v>4</v>
      </c>
      <c r="G2" s="153" t="s">
        <v>5</v>
      </c>
      <c r="H2" s="153" t="s">
        <v>6</v>
      </c>
      <c r="I2" s="156" t="s">
        <v>116</v>
      </c>
      <c r="J2" s="153" t="s">
        <v>7</v>
      </c>
      <c r="K2" s="153" t="s">
        <v>8</v>
      </c>
      <c r="L2" s="153" t="s">
        <v>9</v>
      </c>
      <c r="M2" s="156" t="s">
        <v>117</v>
      </c>
      <c r="N2" s="153" t="s">
        <v>10</v>
      </c>
      <c r="O2" s="153" t="s">
        <v>11</v>
      </c>
      <c r="P2" s="153" t="s">
        <v>12</v>
      </c>
      <c r="Q2" s="156" t="s">
        <v>118</v>
      </c>
      <c r="R2" s="85" t="s">
        <v>119</v>
      </c>
      <c r="S2" s="18"/>
    </row>
    <row r="3" spans="1:19" ht="15" customHeight="1">
      <c r="A3" s="85"/>
      <c r="B3" s="153"/>
      <c r="C3" s="153"/>
      <c r="D3" s="153"/>
      <c r="E3" s="156"/>
      <c r="F3" s="153"/>
      <c r="G3" s="153"/>
      <c r="H3" s="153"/>
      <c r="I3" s="756">
        <v>297759.12</v>
      </c>
      <c r="J3" s="153"/>
      <c r="K3" s="153"/>
      <c r="L3" s="153"/>
      <c r="M3" s="156"/>
      <c r="N3" s="153"/>
      <c r="O3" s="153"/>
      <c r="P3" s="153"/>
      <c r="Q3" s="156"/>
      <c r="R3" s="630">
        <f>Target!O3</f>
        <v>675001.27999999991</v>
      </c>
      <c r="S3" s="18"/>
    </row>
    <row r="4" spans="1:19" ht="15" customHeight="1">
      <c r="A4" s="86" t="s">
        <v>216</v>
      </c>
      <c r="B4" s="435">
        <f>Target!C3</f>
        <v>47400</v>
      </c>
      <c r="C4" s="435">
        <f>Target!D3</f>
        <v>52666.666666666664</v>
      </c>
      <c r="D4" s="435">
        <f>Target!E3</f>
        <v>57933.333333333336</v>
      </c>
      <c r="E4" s="170">
        <f>SUM(B4:D4)</f>
        <v>158000</v>
      </c>
      <c r="F4" s="435">
        <f>Target!F3</f>
        <v>51700.127999999997</v>
      </c>
      <c r="G4" s="435">
        <f>Target!G3-6400</f>
        <v>51044.586666666662</v>
      </c>
      <c r="H4" s="435">
        <f>Target!H3+6400</f>
        <v>69589.045333333343</v>
      </c>
      <c r="I4" s="170">
        <f>SUM(F4:H4)</f>
        <v>172333.76</v>
      </c>
      <c r="J4" s="435">
        <f>Target!I3</f>
        <v>51700.127999999997</v>
      </c>
      <c r="K4" s="435">
        <f>Target!J3</f>
        <v>57444.586666666662</v>
      </c>
      <c r="L4" s="435">
        <f>Target!K3</f>
        <v>63189.045333333335</v>
      </c>
      <c r="M4" s="170">
        <f>SUM(J4:L4)</f>
        <v>172333.76</v>
      </c>
      <c r="N4" s="435">
        <f>Target!L3</f>
        <v>51700.127999999997</v>
      </c>
      <c r="O4" s="435">
        <f>Target!M3</f>
        <v>57444.586666666662</v>
      </c>
      <c r="P4" s="435">
        <f>Target!N3</f>
        <v>63189.045333333335</v>
      </c>
      <c r="Q4" s="170">
        <f>SUM(N4:P4)</f>
        <v>172333.76</v>
      </c>
      <c r="R4" s="473">
        <f>E4+I4+M4+Q4</f>
        <v>675001.28</v>
      </c>
      <c r="S4" s="18"/>
    </row>
    <row r="5" spans="1:19" ht="15" customHeight="1">
      <c r="A5" s="88" t="s">
        <v>217</v>
      </c>
      <c r="B5" s="436">
        <f>B4</f>
        <v>47400</v>
      </c>
      <c r="C5" s="436">
        <f>C4+B5</f>
        <v>100066.66666666666</v>
      </c>
      <c r="D5" s="436">
        <f>D4+C5</f>
        <v>158000</v>
      </c>
      <c r="E5" s="447"/>
      <c r="F5" s="436">
        <f>F4</f>
        <v>51700.127999999997</v>
      </c>
      <c r="G5" s="436">
        <f>G4+F5</f>
        <v>102744.71466666667</v>
      </c>
      <c r="H5" s="436">
        <f>H4+G5</f>
        <v>172333.76</v>
      </c>
      <c r="I5" s="447"/>
      <c r="J5" s="436">
        <f>J4</f>
        <v>51700.127999999997</v>
      </c>
      <c r="K5" s="436">
        <f>K4+J5</f>
        <v>109144.71466666667</v>
      </c>
      <c r="L5" s="436">
        <f>L4+K5</f>
        <v>172333.76</v>
      </c>
      <c r="M5" s="447"/>
      <c r="N5" s="436">
        <f>N4</f>
        <v>51700.127999999997</v>
      </c>
      <c r="O5" s="436">
        <f>O4+N5</f>
        <v>109144.71466666667</v>
      </c>
      <c r="P5" s="436">
        <f>P4+O5</f>
        <v>172333.76</v>
      </c>
      <c r="Q5" s="447"/>
      <c r="R5" s="301">
        <f>R6/R4</f>
        <v>0.46897601468252037</v>
      </c>
      <c r="S5" s="18"/>
    </row>
    <row r="6" spans="1:19" ht="15" customHeight="1">
      <c r="A6" s="90" t="s">
        <v>37</v>
      </c>
      <c r="B6" s="181">
        <f>SUMIF(I!A:A,$A$1,I!I:I)</f>
        <v>66644.210900000005</v>
      </c>
      <c r="C6" s="180">
        <f>SUMIF(II!A:A,$A$1,II!I:I)</f>
        <v>43412.003900000003</v>
      </c>
      <c r="D6" s="180">
        <f>SUMIF(III!A:A,$A$1,III!I:I)</f>
        <v>64012.9375</v>
      </c>
      <c r="E6" s="470">
        <f>SUM(B6:D6)</f>
        <v>174069.15230000002</v>
      </c>
      <c r="F6" s="180">
        <f>SUMIF(IV!A:A,$A$1,IV!I:I)</f>
        <v>50985.476600000002</v>
      </c>
      <c r="G6" s="180">
        <f>SUMIF(V!A:A,$A$1,V!I:I)</f>
        <v>46704.855499999998</v>
      </c>
      <c r="H6" s="180">
        <f>SUMIF(VI!A:A,$A$1,VI!I:I)</f>
        <v>44799.925799999997</v>
      </c>
      <c r="I6" s="470">
        <f>SUM(F6:H6)</f>
        <v>142490.2579</v>
      </c>
      <c r="J6" s="180">
        <f>SUMIF(VII!A:A,$A$1,VII!I:I)</f>
        <v>0</v>
      </c>
      <c r="K6" s="180">
        <f>SUMIF(VIII!A:A,$A$1,VIII!I:I)</f>
        <v>0</v>
      </c>
      <c r="L6" s="180">
        <f>SUMIF(IX!A:A,$A$1,IX!I:I)</f>
        <v>0</v>
      </c>
      <c r="M6" s="470">
        <f>SUM(J6:L6)</f>
        <v>0</v>
      </c>
      <c r="N6" s="180">
        <f>SUMIF(X!A:A,$A$1,X!I:I)</f>
        <v>0</v>
      </c>
      <c r="O6" s="180">
        <f>SUMIF(XI!A:A,$A$1,XI!I:I)</f>
        <v>0</v>
      </c>
      <c r="P6" s="180">
        <f>SUMIF(XII!A:A,$A$1,XII!I:I)</f>
        <v>0</v>
      </c>
      <c r="Q6" s="470">
        <f>SUM(N6:P6)</f>
        <v>0</v>
      </c>
      <c r="R6" s="87">
        <f>E6+I6+M6+Q6</f>
        <v>316559.41020000004</v>
      </c>
      <c r="S6" s="321"/>
    </row>
    <row r="7" spans="1:19" s="14" customFormat="1" ht="15" customHeight="1">
      <c r="A7" s="88" t="s">
        <v>218</v>
      </c>
      <c r="B7" s="436">
        <f>B6</f>
        <v>66644.210900000005</v>
      </c>
      <c r="C7" s="436">
        <f>C6+B7</f>
        <v>110056.21480000002</v>
      </c>
      <c r="D7" s="436">
        <f>D6+C7</f>
        <v>174069.15230000002</v>
      </c>
      <c r="E7" s="447"/>
      <c r="F7" s="436">
        <f>F6</f>
        <v>50985.476600000002</v>
      </c>
      <c r="G7" s="436">
        <f>G6+F7</f>
        <v>97690.3321</v>
      </c>
      <c r="H7" s="436">
        <f>H6+G7</f>
        <v>142490.2579</v>
      </c>
      <c r="I7" s="447">
        <f>SUM(E6,I6)</f>
        <v>316559.41020000004</v>
      </c>
      <c r="J7" s="436">
        <f>J6</f>
        <v>0</v>
      </c>
      <c r="K7" s="436">
        <f>K6+J7</f>
        <v>0</v>
      </c>
      <c r="L7" s="436">
        <f>L6+K7</f>
        <v>0</v>
      </c>
      <c r="M7" s="447">
        <f>SUM(E6,I6,M6)/3</f>
        <v>105519.80340000002</v>
      </c>
      <c r="N7" s="436">
        <f>N6</f>
        <v>0</v>
      </c>
      <c r="O7" s="436">
        <f>O6+N7</f>
        <v>0</v>
      </c>
      <c r="P7" s="436">
        <f>P6+O7</f>
        <v>0</v>
      </c>
      <c r="Q7" s="447"/>
      <c r="R7" s="629">
        <f>R3-R4</f>
        <v>0</v>
      </c>
      <c r="S7" s="18"/>
    </row>
    <row r="8" spans="1:19" s="14" customFormat="1" ht="15" customHeight="1">
      <c r="A8" s="88" t="s">
        <v>219</v>
      </c>
      <c r="B8" s="69">
        <f t="shared" ref="B8:D9" si="0">B6/B4</f>
        <v>1.4059960105485234</v>
      </c>
      <c r="C8" s="69">
        <f t="shared" si="0"/>
        <v>0.82427855506329128</v>
      </c>
      <c r="D8" s="69">
        <f t="shared" si="0"/>
        <v>1.1049413837744533</v>
      </c>
      <c r="E8" s="159"/>
      <c r="F8" s="69">
        <f t="shared" ref="F8:H9" si="1">F6/F4</f>
        <v>0.98617698973588619</v>
      </c>
      <c r="G8" s="69">
        <f t="shared" si="1"/>
        <v>0.91498155925904257</v>
      </c>
      <c r="H8" s="69">
        <f t="shared" si="1"/>
        <v>0.64377842209800673</v>
      </c>
      <c r="I8" s="159">
        <f>I7/I3-1</f>
        <v>6.3139259009094451E-2</v>
      </c>
      <c r="J8" s="69">
        <f t="shared" ref="J8:L9" si="2">J6/J4</f>
        <v>0</v>
      </c>
      <c r="K8" s="69">
        <f t="shared" si="2"/>
        <v>0</v>
      </c>
      <c r="L8" s="69">
        <f t="shared" si="2"/>
        <v>0</v>
      </c>
      <c r="M8" s="159"/>
      <c r="N8" s="69">
        <f t="shared" ref="N8:P9" si="3">N6/N4</f>
        <v>0</v>
      </c>
      <c r="O8" s="69">
        <f t="shared" si="3"/>
        <v>0</v>
      </c>
      <c r="P8" s="69">
        <f t="shared" si="3"/>
        <v>0</v>
      </c>
      <c r="Q8" s="159"/>
      <c r="R8" s="634">
        <f>R7*100/R3</f>
        <v>0</v>
      </c>
      <c r="S8" s="18"/>
    </row>
    <row r="9" spans="1:19" s="21" customFormat="1" ht="15" customHeight="1">
      <c r="A9" s="88" t="s">
        <v>220</v>
      </c>
      <c r="B9" s="604">
        <f t="shared" si="0"/>
        <v>1.4059960105485234</v>
      </c>
      <c r="C9" s="604">
        <f t="shared" si="0"/>
        <v>1.0998289287141909</v>
      </c>
      <c r="D9" s="604">
        <f t="shared" si="0"/>
        <v>1.1017034955696203</v>
      </c>
      <c r="E9" s="605"/>
      <c r="F9" s="604">
        <f t="shared" si="1"/>
        <v>0.98617698973588619</v>
      </c>
      <c r="G9" s="604">
        <f t="shared" si="1"/>
        <v>0.95080639833333969</v>
      </c>
      <c r="H9" s="604">
        <f t="shared" si="1"/>
        <v>0.82682730243917379</v>
      </c>
      <c r="I9" s="762">
        <f>I7-I3</f>
        <v>18800.290200000047</v>
      </c>
      <c r="J9" s="604">
        <f t="shared" si="2"/>
        <v>0</v>
      </c>
      <c r="K9" s="604">
        <f>K7/K5</f>
        <v>0</v>
      </c>
      <c r="L9" s="604">
        <f t="shared" si="2"/>
        <v>0</v>
      </c>
      <c r="M9" s="605"/>
      <c r="N9" s="604">
        <f t="shared" si="3"/>
        <v>0</v>
      </c>
      <c r="O9" s="604">
        <f t="shared" si="3"/>
        <v>0</v>
      </c>
      <c r="P9" s="604">
        <f t="shared" si="3"/>
        <v>0</v>
      </c>
      <c r="Q9" s="605"/>
      <c r="R9" s="633"/>
      <c r="S9" s="19"/>
    </row>
    <row r="10" spans="1:19" ht="15" customHeight="1">
      <c r="A10" s="88" t="s">
        <v>221</v>
      </c>
      <c r="B10" s="436">
        <f>B7-B5</f>
        <v>19244.210900000005</v>
      </c>
      <c r="C10" s="436">
        <f>C7-C5</f>
        <v>9989.5481333333591</v>
      </c>
      <c r="D10" s="436">
        <f>D7-D5</f>
        <v>16069.152300000016</v>
      </c>
      <c r="E10" s="447"/>
      <c r="F10" s="436">
        <f>F7-F5</f>
        <v>-714.65139999999519</v>
      </c>
      <c r="G10" s="436">
        <f>G7-G5</f>
        <v>-5054.3825666666671</v>
      </c>
      <c r="H10" s="436">
        <f>H7-H5</f>
        <v>-29843.502100000012</v>
      </c>
      <c r="I10" s="447"/>
      <c r="J10" s="436">
        <f>J7-J5</f>
        <v>-51700.127999999997</v>
      </c>
      <c r="K10" s="436">
        <f>K7-K5</f>
        <v>-109144.71466666667</v>
      </c>
      <c r="L10" s="436">
        <f>L7-L5</f>
        <v>-172333.76</v>
      </c>
      <c r="M10" s="447"/>
      <c r="N10" s="436">
        <f>N7-N5</f>
        <v>-51700.127999999997</v>
      </c>
      <c r="O10" s="436">
        <f>O7-O5</f>
        <v>-109144.71466666667</v>
      </c>
      <c r="P10" s="436">
        <f>P7-P5</f>
        <v>-172333.76</v>
      </c>
      <c r="Q10" s="447"/>
      <c r="R10" s="89"/>
      <c r="S10" s="38"/>
    </row>
    <row r="11" spans="1:19" ht="15" customHeight="1">
      <c r="A11" s="90" t="s">
        <v>181</v>
      </c>
      <c r="B11" s="181">
        <f>SUMIF(I!A:A,$A$1,I!G:G)</f>
        <v>161231.20310000001</v>
      </c>
      <c r="C11" s="180">
        <f>SUMIF(II!A:A,$A$1,II!G:G)</f>
        <v>105582.71090000001</v>
      </c>
      <c r="D11" s="180">
        <f>SUMIF(III!A:A,$A$1,III!G:G)</f>
        <v>128569.28909999999</v>
      </c>
      <c r="E11" s="470">
        <f>SUM(B11:D11)</f>
        <v>395383.20309999998</v>
      </c>
      <c r="F11" s="180">
        <f>SUMIF(IV!A:A,$A$1,IV!G:G)</f>
        <v>130849.0625</v>
      </c>
      <c r="G11" s="180">
        <f>SUMIF(V!A:A,$A$1,V!G:G)</f>
        <v>96547.9375</v>
      </c>
      <c r="H11" s="180">
        <f>SUMIF(VI!A:A,$A$1,VI!G:G)</f>
        <v>103195.86719999999</v>
      </c>
      <c r="I11" s="470">
        <f>SUM(F11:H11)</f>
        <v>330592.86719999998</v>
      </c>
      <c r="J11" s="180">
        <f>SUMIF(VII!A:A,$A$1,VII!G:G)</f>
        <v>0</v>
      </c>
      <c r="K11" s="180">
        <f>SUMIF(VIII!A:A,$A$1,VIII!G:G)</f>
        <v>0</v>
      </c>
      <c r="L11" s="180">
        <f>SUMIF(IX!A:A,$A$1,IX!G:G)</f>
        <v>0</v>
      </c>
      <c r="M11" s="470">
        <f>SUM(J11:L11)</f>
        <v>0</v>
      </c>
      <c r="N11" s="180">
        <f>SUMIF(X!A:A,$A$1,X!G:G)</f>
        <v>0</v>
      </c>
      <c r="O11" s="180">
        <f>SUMIF(XI!A:A,$A$1,XI!G:G)</f>
        <v>0</v>
      </c>
      <c r="P11" s="180">
        <f>SUMIF(XII!A:A,$A$1,XII!G:G)</f>
        <v>0</v>
      </c>
      <c r="Q11" s="470">
        <f>SUM(N11:P11)</f>
        <v>0</v>
      </c>
      <c r="R11" s="87">
        <f>E11+I11+M11+Q11</f>
        <v>725976.07030000002</v>
      </c>
      <c r="S11" s="18"/>
    </row>
    <row r="12" spans="1:19" customFormat="1">
      <c r="A12" s="88" t="s">
        <v>182</v>
      </c>
      <c r="B12" s="436">
        <f>B11</f>
        <v>161231.20310000001</v>
      </c>
      <c r="C12" s="436">
        <f>C11+B12</f>
        <v>266813.91399999999</v>
      </c>
      <c r="D12" s="436">
        <f>D11+C12</f>
        <v>395383.20309999998</v>
      </c>
      <c r="E12" s="447"/>
      <c r="F12" s="436">
        <f>F11</f>
        <v>130849.0625</v>
      </c>
      <c r="G12" s="436">
        <f>G11+F12</f>
        <v>227397</v>
      </c>
      <c r="H12" s="436">
        <f>H11+G12</f>
        <v>330592.86719999998</v>
      </c>
      <c r="I12" s="447"/>
      <c r="J12" s="436">
        <f>J11</f>
        <v>0</v>
      </c>
      <c r="K12" s="436">
        <f>K11+J12</f>
        <v>0</v>
      </c>
      <c r="L12" s="436">
        <f>L11+K12</f>
        <v>0</v>
      </c>
      <c r="M12" s="447"/>
      <c r="N12" s="436">
        <f>N11</f>
        <v>0</v>
      </c>
      <c r="O12" s="436">
        <f>O11+N12</f>
        <v>0</v>
      </c>
      <c r="P12" s="436">
        <f>P11+O12</f>
        <v>0</v>
      </c>
      <c r="Q12" s="447"/>
      <c r="R12" s="89"/>
    </row>
    <row r="13" spans="1:19" ht="15" customHeight="1">
      <c r="A13" s="95" t="s">
        <v>193</v>
      </c>
      <c r="B13" s="71">
        <f t="shared" ref="B13:D14" si="4">B6/B11</f>
        <v>0.41334561560435318</v>
      </c>
      <c r="C13" s="71">
        <f t="shared" si="4"/>
        <v>0.41116583889493596</v>
      </c>
      <c r="D13" s="71">
        <f t="shared" si="4"/>
        <v>0.49788668777822465</v>
      </c>
      <c r="E13" s="160"/>
      <c r="F13" s="71">
        <f t="shared" ref="F13:H14" si="5">F6/F11</f>
        <v>0.38965106532574506</v>
      </c>
      <c r="G13" s="71">
        <f t="shared" si="5"/>
        <v>0.48374783252102094</v>
      </c>
      <c r="H13" s="71">
        <f t="shared" si="5"/>
        <v>0.4341251933391379</v>
      </c>
      <c r="I13" s="160"/>
      <c r="J13" s="71" t="e">
        <f t="shared" ref="J13:L14" si="6">J6/J11</f>
        <v>#DIV/0!</v>
      </c>
      <c r="K13" s="71" t="e">
        <f t="shared" si="6"/>
        <v>#DIV/0!</v>
      </c>
      <c r="L13" s="71" t="e">
        <f t="shared" si="6"/>
        <v>#DIV/0!</v>
      </c>
      <c r="M13" s="160"/>
      <c r="N13" s="71" t="e">
        <f t="shared" ref="N13:P14" si="7">N6/N11</f>
        <v>#DIV/0!</v>
      </c>
      <c r="O13" s="71" t="e">
        <f t="shared" si="7"/>
        <v>#DIV/0!</v>
      </c>
      <c r="P13" s="71" t="e">
        <f t="shared" si="7"/>
        <v>#DIV/0!</v>
      </c>
      <c r="Q13" s="160"/>
      <c r="R13" s="96"/>
      <c r="S13" s="18"/>
    </row>
    <row r="14" spans="1:19" s="14" customFormat="1" ht="15" customHeight="1">
      <c r="A14" s="95" t="s">
        <v>194</v>
      </c>
      <c r="B14" s="71">
        <f t="shared" si="4"/>
        <v>0.41334561560435318</v>
      </c>
      <c r="C14" s="71">
        <f t="shared" si="4"/>
        <v>0.412483041645272</v>
      </c>
      <c r="D14" s="71">
        <f t="shared" si="4"/>
        <v>0.4402542923806872</v>
      </c>
      <c r="E14" s="160"/>
      <c r="F14" s="71">
        <f t="shared" si="5"/>
        <v>0.38965106532574506</v>
      </c>
      <c r="G14" s="71">
        <f t="shared" si="5"/>
        <v>0.42960255456316487</v>
      </c>
      <c r="H14" s="71">
        <f t="shared" si="5"/>
        <v>0.43101431409225516</v>
      </c>
      <c r="I14" s="160"/>
      <c r="J14" s="71" t="e">
        <f t="shared" si="6"/>
        <v>#DIV/0!</v>
      </c>
      <c r="K14" s="71" t="e">
        <f t="shared" si="6"/>
        <v>#DIV/0!</v>
      </c>
      <c r="L14" s="71" t="e">
        <f t="shared" si="6"/>
        <v>#DIV/0!</v>
      </c>
      <c r="M14" s="160"/>
      <c r="N14" s="71" t="e">
        <f t="shared" si="7"/>
        <v>#DIV/0!</v>
      </c>
      <c r="O14" s="71" t="e">
        <f t="shared" si="7"/>
        <v>#DIV/0!</v>
      </c>
      <c r="P14" s="71" t="e">
        <f t="shared" si="7"/>
        <v>#DIV/0!</v>
      </c>
      <c r="Q14" s="160"/>
      <c r="R14" s="96"/>
      <c r="S14" s="18"/>
    </row>
    <row r="15" spans="1:19" s="54" customFormat="1" ht="15" customHeight="1">
      <c r="A15" s="98"/>
      <c r="B15" s="99"/>
      <c r="C15" s="99"/>
      <c r="D15" s="99"/>
      <c r="E15" s="161"/>
      <c r="F15" s="99"/>
      <c r="G15" s="99"/>
      <c r="H15" s="99"/>
      <c r="I15" s="161"/>
      <c r="J15" s="99"/>
      <c r="K15" s="99"/>
      <c r="L15" s="99"/>
      <c r="M15" s="161"/>
      <c r="N15" s="99"/>
      <c r="O15" s="99"/>
      <c r="P15" s="99"/>
      <c r="Q15" s="161"/>
      <c r="R15" s="97"/>
      <c r="S15" s="53"/>
    </row>
    <row r="16" spans="1:19" s="14" customFormat="1" ht="15" customHeight="1">
      <c r="A16" s="146" t="s">
        <v>26</v>
      </c>
      <c r="B16" s="146" t="s">
        <v>26</v>
      </c>
      <c r="C16" s="147"/>
      <c r="D16" s="147"/>
      <c r="E16" s="162"/>
      <c r="F16" s="147"/>
      <c r="G16" s="375"/>
      <c r="H16" s="147"/>
      <c r="I16" s="162"/>
      <c r="J16" s="147"/>
      <c r="K16" s="147"/>
      <c r="L16" s="147"/>
      <c r="M16" s="162"/>
      <c r="N16" s="147"/>
      <c r="O16" s="147"/>
      <c r="P16" s="147"/>
      <c r="Q16" s="162"/>
      <c r="R16" s="101"/>
      <c r="S16" s="18"/>
    </row>
    <row r="17" spans="1:19" s="14" customFormat="1" ht="15" customHeight="1">
      <c r="A17" s="56" t="s">
        <v>74</v>
      </c>
      <c r="B17" s="100">
        <f>Target!O31</f>
        <v>6100</v>
      </c>
      <c r="C17" s="100">
        <f>Target!O31</f>
        <v>6100</v>
      </c>
      <c r="D17" s="100">
        <f>Target!O31</f>
        <v>6100</v>
      </c>
      <c r="E17" s="163"/>
      <c r="F17" s="100">
        <f>Target!O40</f>
        <v>6800</v>
      </c>
      <c r="G17" s="100">
        <f>Target!O40</f>
        <v>6800</v>
      </c>
      <c r="H17" s="100">
        <f>Target!O40</f>
        <v>6800</v>
      </c>
      <c r="I17" s="163"/>
      <c r="J17" s="100">
        <f>Target!O50</f>
        <v>6800</v>
      </c>
      <c r="K17" s="100">
        <f>Target!O50</f>
        <v>6800</v>
      </c>
      <c r="L17" s="100">
        <f>Target!O50</f>
        <v>6800</v>
      </c>
      <c r="M17" s="163"/>
      <c r="N17" s="100">
        <f>Target!O59</f>
        <v>6800</v>
      </c>
      <c r="O17" s="100">
        <f>Target!O59</f>
        <v>6800</v>
      </c>
      <c r="P17" s="100">
        <f>Target!O59</f>
        <v>6800</v>
      </c>
      <c r="Q17" s="163"/>
      <c r="R17" s="101"/>
      <c r="S17" s="18"/>
    </row>
    <row r="18" spans="1:19" s="14" customFormat="1" ht="15" customHeight="1">
      <c r="A18" s="715" t="s">
        <v>222</v>
      </c>
      <c r="B18" s="435"/>
      <c r="C18" s="435"/>
      <c r="D18" s="435"/>
      <c r="E18" s="716"/>
      <c r="F18" s="435">
        <f>Target!N40</f>
        <v>7000</v>
      </c>
      <c r="G18" s="435">
        <f>Target!N40</f>
        <v>7000</v>
      </c>
      <c r="H18" s="435">
        <f>Target!N40</f>
        <v>7000</v>
      </c>
      <c r="I18" s="716"/>
      <c r="J18" s="435">
        <f>Target!N50</f>
        <v>7000</v>
      </c>
      <c r="K18" s="435">
        <f>Target!N50</f>
        <v>7000</v>
      </c>
      <c r="L18" s="435">
        <f>Target!N50</f>
        <v>7000</v>
      </c>
      <c r="M18" s="716"/>
      <c r="N18" s="435">
        <f>Target!N59</f>
        <v>7000</v>
      </c>
      <c r="O18" s="435">
        <f>Target!N59</f>
        <v>7000</v>
      </c>
      <c r="P18" s="435">
        <f>Target!N59</f>
        <v>7000</v>
      </c>
      <c r="Q18" s="716"/>
      <c r="R18" s="101"/>
      <c r="S18" s="18"/>
    </row>
    <row r="19" spans="1:19" s="14" customFormat="1" ht="15" customHeight="1">
      <c r="A19" s="715" t="s">
        <v>227</v>
      </c>
      <c r="B19" s="435"/>
      <c r="C19" s="435"/>
      <c r="D19" s="435"/>
      <c r="E19" s="716"/>
      <c r="F19" s="744">
        <f>Target!J40</f>
        <v>0.18684520697531398</v>
      </c>
      <c r="G19" s="744">
        <f>Target!J40</f>
        <v>0.18684520697531398</v>
      </c>
      <c r="H19" s="744">
        <f>Target!J40</f>
        <v>0.18684520697531398</v>
      </c>
      <c r="I19" s="716"/>
      <c r="J19" s="744">
        <f>Target!J50</f>
        <v>0.18684520697531398</v>
      </c>
      <c r="K19" s="744">
        <f>Target!J50</f>
        <v>0.18684520697531398</v>
      </c>
      <c r="L19" s="744">
        <f>Target!J50</f>
        <v>0.18684520697531398</v>
      </c>
      <c r="M19" s="716"/>
      <c r="N19" s="744">
        <f>Target!J59</f>
        <v>0.18684520697531398</v>
      </c>
      <c r="O19" s="744">
        <f>Target!J59</f>
        <v>0.18684520697531398</v>
      </c>
      <c r="P19" s="744">
        <f>Target!J59</f>
        <v>0.18684520697531398</v>
      </c>
      <c r="Q19" s="716"/>
      <c r="R19" s="101"/>
      <c r="S19" s="18"/>
    </row>
    <row r="20" spans="1:19" s="14" customFormat="1" ht="15" customHeight="1">
      <c r="A20" s="727" t="s">
        <v>223</v>
      </c>
      <c r="B20" s="728"/>
      <c r="C20" s="728"/>
      <c r="D20" s="728"/>
      <c r="E20" s="729"/>
      <c r="F20" s="728">
        <f>Target!M40</f>
        <v>5231.6657953087915</v>
      </c>
      <c r="G20" s="728">
        <f>Target!M40</f>
        <v>5231.6657953087915</v>
      </c>
      <c r="H20" s="728">
        <f>Target!M40</f>
        <v>5231.6657953087915</v>
      </c>
      <c r="I20" s="729"/>
      <c r="J20" s="728">
        <f>Target!M50</f>
        <v>5231.6657953087915</v>
      </c>
      <c r="K20" s="728">
        <f>Target!M50</f>
        <v>5231.6657953087915</v>
      </c>
      <c r="L20" s="728">
        <f>Target!M50</f>
        <v>5231.6657953087915</v>
      </c>
      <c r="M20" s="729"/>
      <c r="N20" s="728">
        <f>Target!M59</f>
        <v>5231.6657953087915</v>
      </c>
      <c r="O20" s="728">
        <f>Target!M59</f>
        <v>5231.6657953087915</v>
      </c>
      <c r="P20" s="728">
        <f>Target!M59</f>
        <v>5231.6657953087915</v>
      </c>
      <c r="Q20" s="729"/>
      <c r="R20" s="101"/>
      <c r="S20" s="18"/>
    </row>
    <row r="21" spans="1:19" ht="15" customHeight="1">
      <c r="A21" s="17" t="s">
        <v>228</v>
      </c>
      <c r="B21" s="59">
        <f>B5</f>
        <v>47400</v>
      </c>
      <c r="C21" s="59">
        <f>C5</f>
        <v>100066.66666666666</v>
      </c>
      <c r="D21" s="59">
        <f>D5</f>
        <v>158000</v>
      </c>
      <c r="E21" s="164"/>
      <c r="F21" s="59">
        <f>F5</f>
        <v>51700.127999999997</v>
      </c>
      <c r="G21" s="59">
        <f>G5</f>
        <v>102744.71466666667</v>
      </c>
      <c r="H21" s="59">
        <f>H5</f>
        <v>172333.76</v>
      </c>
      <c r="I21" s="164"/>
      <c r="J21" s="59">
        <f>J5</f>
        <v>51700.127999999997</v>
      </c>
      <c r="K21" s="59">
        <f>K5</f>
        <v>109144.71466666667</v>
      </c>
      <c r="L21" s="59">
        <f>L5</f>
        <v>172333.76</v>
      </c>
      <c r="M21" s="164"/>
      <c r="N21" s="59">
        <f>N5</f>
        <v>51700.127999999997</v>
      </c>
      <c r="O21" s="59">
        <f>O5</f>
        <v>109144.71466666667</v>
      </c>
      <c r="P21" s="59">
        <f>P5</f>
        <v>172333.76</v>
      </c>
      <c r="Q21" s="164"/>
      <c r="R21" s="103"/>
      <c r="S21" s="18"/>
    </row>
    <row r="22" spans="1:19" s="738" customFormat="1" ht="15" customHeight="1">
      <c r="A22" s="736" t="s">
        <v>37</v>
      </c>
      <c r="B22" s="739">
        <f>B7</f>
        <v>66644.210900000005</v>
      </c>
      <c r="C22" s="739">
        <f>C7</f>
        <v>110056.21480000002</v>
      </c>
      <c r="D22" s="739">
        <f>D7</f>
        <v>174069.15230000002</v>
      </c>
      <c r="E22" s="740"/>
      <c r="F22" s="739">
        <f>F7</f>
        <v>50985.476600000002</v>
      </c>
      <c r="G22" s="739">
        <f>G7</f>
        <v>97690.3321</v>
      </c>
      <c r="H22" s="739">
        <f>H7</f>
        <v>142490.2579</v>
      </c>
      <c r="I22" s="740"/>
      <c r="J22" s="739">
        <f>J7</f>
        <v>0</v>
      </c>
      <c r="K22" s="739">
        <f>K7</f>
        <v>0</v>
      </c>
      <c r="L22" s="739">
        <f>L7</f>
        <v>0</v>
      </c>
      <c r="M22" s="740"/>
      <c r="N22" s="739">
        <f>N7</f>
        <v>0</v>
      </c>
      <c r="O22" s="739">
        <f>O7</f>
        <v>0</v>
      </c>
      <c r="P22" s="739">
        <f>P7</f>
        <v>0</v>
      </c>
      <c r="Q22" s="740"/>
      <c r="R22" s="741"/>
      <c r="S22" s="737"/>
    </row>
    <row r="23" spans="1:19" ht="15" customHeight="1">
      <c r="A23" s="17" t="s">
        <v>220</v>
      </c>
      <c r="B23" s="732">
        <f>B22/B21</f>
        <v>1.4059960105485234</v>
      </c>
      <c r="C23" s="732">
        <f>C22/C21</f>
        <v>1.0998289287141909</v>
      </c>
      <c r="D23" s="732">
        <f>D22/D21</f>
        <v>1.1017034955696203</v>
      </c>
      <c r="E23" s="733"/>
      <c r="F23" s="732">
        <f>F22/F21</f>
        <v>0.98617698973588619</v>
      </c>
      <c r="G23" s="732">
        <f>G22/G21</f>
        <v>0.95080639833333969</v>
      </c>
      <c r="H23" s="732">
        <f>H22/H21</f>
        <v>0.82682730243917379</v>
      </c>
      <c r="I23" s="733"/>
      <c r="J23" s="732">
        <f>J22/J21</f>
        <v>0</v>
      </c>
      <c r="K23" s="732">
        <f>K22/K21</f>
        <v>0</v>
      </c>
      <c r="L23" s="732">
        <f>L22/L21</f>
        <v>0</v>
      </c>
      <c r="M23" s="733"/>
      <c r="N23" s="732">
        <f>N22/N21</f>
        <v>0</v>
      </c>
      <c r="O23" s="732">
        <f>O22/O21</f>
        <v>0</v>
      </c>
      <c r="P23" s="732">
        <f>P22/P21</f>
        <v>0</v>
      </c>
      <c r="Q23" s="733"/>
      <c r="R23" s="108"/>
      <c r="S23" s="18"/>
    </row>
    <row r="24" spans="1:19" ht="15" customHeight="1">
      <c r="A24" s="734" t="s">
        <v>60</v>
      </c>
      <c r="B24" s="735">
        <f>B17*0.35</f>
        <v>2135</v>
      </c>
      <c r="C24" s="735">
        <f>C17*0.35</f>
        <v>2135</v>
      </c>
      <c r="D24" s="735">
        <f>D17*0.35</f>
        <v>2135</v>
      </c>
      <c r="E24" s="470"/>
      <c r="F24" s="735">
        <f>F20*0.35</f>
        <v>1831.0830283580769</v>
      </c>
      <c r="G24" s="735">
        <f>G20*0.35</f>
        <v>1831.0830283580769</v>
      </c>
      <c r="H24" s="735">
        <f>H20*0.35</f>
        <v>1831.0830283580769</v>
      </c>
      <c r="I24" s="470"/>
      <c r="J24" s="735">
        <f>J20*0.35</f>
        <v>1831.0830283580769</v>
      </c>
      <c r="K24" s="735">
        <f>K20*0.35</f>
        <v>1831.0830283580769</v>
      </c>
      <c r="L24" s="735">
        <f>L20*0.35</f>
        <v>1831.0830283580769</v>
      </c>
      <c r="M24" s="470"/>
      <c r="N24" s="735">
        <f>N20*0.35</f>
        <v>1831.0830283580769</v>
      </c>
      <c r="O24" s="735">
        <f>O20*0.35</f>
        <v>1831.0830283580769</v>
      </c>
      <c r="P24" s="735">
        <f>P20*0.35</f>
        <v>1831.0830283580769</v>
      </c>
      <c r="Q24" s="470"/>
      <c r="R24" s="730"/>
      <c r="S24" s="18"/>
    </row>
    <row r="25" spans="1:19" ht="15" customHeight="1">
      <c r="A25" s="17" t="s">
        <v>53</v>
      </c>
      <c r="B25" s="59">
        <f>IF(B23&lt;80%,0,IF(B23&lt;90%,0.5,IF(B23&lt;95%,0.75,1)))</f>
        <v>1</v>
      </c>
      <c r="C25" s="59">
        <f>IF(C23&lt;80%,0,IF(C23&lt;90%,0.5,IF(C23&lt;95%,0.75,1)))</f>
        <v>1</v>
      </c>
      <c r="D25" s="59">
        <f>IF(D23&lt;80%,0,IF(D23&lt;90%,0.5,IF(D23&lt;95%,0.75,1)))</f>
        <v>1</v>
      </c>
      <c r="E25" s="164"/>
      <c r="F25" s="59">
        <f>IF(F23&lt;80%,0,IF(F23&lt;90%,0.5,IF(F23&lt;95%,0.75,1)))</f>
        <v>1</v>
      </c>
      <c r="G25" s="59">
        <f>IF(G23&lt;80%,0,IF(G23&lt;90%,0.5,IF(G23&lt;95%,0.75,1)))</f>
        <v>1</v>
      </c>
      <c r="H25" s="59">
        <f>IF(H23&lt;80%,0,IF(H23&lt;90%,0.5,IF(H23&lt;95%,0.75,1)))</f>
        <v>0.5</v>
      </c>
      <c r="I25" s="164"/>
      <c r="J25" s="59">
        <f>IF(J23&lt;80%,0,IF(J23&lt;90%,0.5,IF(J23&lt;95%,0.75,1)))</f>
        <v>0</v>
      </c>
      <c r="K25" s="59">
        <f>IF(K23&lt;80%,0,IF(K23&lt;90%,0.5,IF(K23&lt;95%,0.75,1)))</f>
        <v>0</v>
      </c>
      <c r="L25" s="59">
        <f>IF(L23&lt;80%,0,IF(L23&lt;90%,0.5,IF(L23&lt;95%,0.75,1)))</f>
        <v>0</v>
      </c>
      <c r="M25" s="164"/>
      <c r="N25" s="59">
        <f>IF(N23&lt;80%,0,IF(N23&lt;90%,0.5,IF(N23&lt;95%,0.75,1)))</f>
        <v>0</v>
      </c>
      <c r="O25" s="59">
        <f>IF(O23&lt;80%,0,IF(O23&lt;90%,0.5,IF(O23&lt;95%,0.75,1)))</f>
        <v>0</v>
      </c>
      <c r="P25" s="59">
        <f>IF(P23&lt;80%,0,IF(P23&lt;90%,0.5,IF(P23&lt;95%,0.75,1)))</f>
        <v>0</v>
      </c>
      <c r="Q25" s="164"/>
      <c r="R25" s="108"/>
      <c r="S25" s="18"/>
    </row>
    <row r="26" spans="1:19" s="51" customFormat="1" ht="15" customHeight="1">
      <c r="A26" s="45" t="s">
        <v>54</v>
      </c>
      <c r="B26" s="60">
        <f>B25*B24</f>
        <v>2135</v>
      </c>
      <c r="C26" s="60">
        <f>C25*C24</f>
        <v>2135</v>
      </c>
      <c r="D26" s="60">
        <f>D25*D24</f>
        <v>2135</v>
      </c>
      <c r="E26" s="168"/>
      <c r="F26" s="60">
        <f>F25*F24</f>
        <v>1831.0830283580769</v>
      </c>
      <c r="G26" s="60">
        <f>G25*G24</f>
        <v>1831.0830283580769</v>
      </c>
      <c r="H26" s="60">
        <f>H25*H24</f>
        <v>915.54151417903847</v>
      </c>
      <c r="I26" s="168"/>
      <c r="J26" s="60">
        <f>J25*J24</f>
        <v>0</v>
      </c>
      <c r="K26" s="60">
        <f>K25*K24</f>
        <v>0</v>
      </c>
      <c r="L26" s="60">
        <f>L25*L24</f>
        <v>0</v>
      </c>
      <c r="M26" s="168"/>
      <c r="N26" s="60">
        <f>N25*N24</f>
        <v>0</v>
      </c>
      <c r="O26" s="60">
        <f>O25*O24</f>
        <v>0</v>
      </c>
      <c r="P26" s="60">
        <f>P25*P24</f>
        <v>0</v>
      </c>
      <c r="Q26" s="168"/>
      <c r="R26" s="107"/>
      <c r="S26" s="46"/>
    </row>
    <row r="27" spans="1:19" ht="15" customHeight="1">
      <c r="A27" s="17" t="s">
        <v>34</v>
      </c>
      <c r="B27" s="59"/>
      <c r="C27" s="59"/>
      <c r="D27" s="59"/>
      <c r="E27" s="164"/>
      <c r="F27" s="59"/>
      <c r="G27" s="59"/>
      <c r="H27" s="59"/>
      <c r="I27" s="164"/>
      <c r="J27" s="59"/>
      <c r="K27" s="59"/>
      <c r="L27" s="59"/>
      <c r="M27" s="164"/>
      <c r="N27" s="59"/>
      <c r="O27" s="59"/>
      <c r="P27" s="59"/>
      <c r="Q27" s="164"/>
      <c r="R27" s="108"/>
      <c r="S27" s="18"/>
    </row>
    <row r="28" spans="1:19" ht="15" customHeight="1">
      <c r="A28" s="734" t="s">
        <v>59</v>
      </c>
      <c r="B28" s="735">
        <f>B17*0.05</f>
        <v>305</v>
      </c>
      <c r="C28" s="735">
        <f>C17*0.05</f>
        <v>305</v>
      </c>
      <c r="D28" s="735">
        <f>D17*0.05</f>
        <v>305</v>
      </c>
      <c r="E28" s="470"/>
      <c r="F28" s="735">
        <f>F18*0.05</f>
        <v>350</v>
      </c>
      <c r="G28" s="735">
        <f>G18*0.05</f>
        <v>350</v>
      </c>
      <c r="H28" s="735">
        <f>H18*0.05</f>
        <v>350</v>
      </c>
      <c r="I28" s="470"/>
      <c r="J28" s="735">
        <f>J18*0.05</f>
        <v>350</v>
      </c>
      <c r="K28" s="735">
        <f>K18*0.05</f>
        <v>350</v>
      </c>
      <c r="L28" s="735">
        <f>L18*0.05</f>
        <v>350</v>
      </c>
      <c r="M28" s="470"/>
      <c r="N28" s="735">
        <f>N18*0.05</f>
        <v>350</v>
      </c>
      <c r="O28" s="735">
        <f>O18*0.05</f>
        <v>350</v>
      </c>
      <c r="P28" s="735">
        <f>P18*0.05</f>
        <v>350</v>
      </c>
      <c r="Q28" s="470"/>
      <c r="R28" s="730"/>
      <c r="S28" s="18"/>
    </row>
    <row r="29" spans="1:19" ht="15" customHeight="1">
      <c r="A29" s="17" t="s">
        <v>62</v>
      </c>
      <c r="B29" s="59">
        <v>1</v>
      </c>
      <c r="C29" s="59">
        <v>1</v>
      </c>
      <c r="D29" s="59">
        <v>1</v>
      </c>
      <c r="E29" s="164"/>
      <c r="F29" s="59">
        <v>1</v>
      </c>
      <c r="G29" s="59">
        <v>1</v>
      </c>
      <c r="H29" s="59">
        <v>1</v>
      </c>
      <c r="I29" s="164"/>
      <c r="J29" s="59"/>
      <c r="K29" s="59"/>
      <c r="L29" s="59"/>
      <c r="M29" s="164"/>
      <c r="N29" s="59"/>
      <c r="O29" s="59"/>
      <c r="P29" s="59"/>
      <c r="Q29" s="164"/>
      <c r="R29" s="108"/>
      <c r="S29" s="18"/>
    </row>
    <row r="30" spans="1:19" s="19" customFormat="1" ht="15" customHeight="1">
      <c r="A30" s="50" t="s">
        <v>63</v>
      </c>
      <c r="B30" s="60">
        <f>B29*B28</f>
        <v>305</v>
      </c>
      <c r="C30" s="60">
        <f>C29*C28</f>
        <v>305</v>
      </c>
      <c r="D30" s="60">
        <f>D29*D28</f>
        <v>305</v>
      </c>
      <c r="E30" s="168"/>
      <c r="F30" s="60">
        <f>F29*F28</f>
        <v>350</v>
      </c>
      <c r="G30" s="60">
        <f>G29*G28</f>
        <v>350</v>
      </c>
      <c r="H30" s="60">
        <f>H29*H28</f>
        <v>350</v>
      </c>
      <c r="I30" s="168"/>
      <c r="J30" s="60">
        <f>J29*J28</f>
        <v>0</v>
      </c>
      <c r="K30" s="60">
        <f>K29*K28</f>
        <v>0</v>
      </c>
      <c r="L30" s="60">
        <f>L29*L28</f>
        <v>0</v>
      </c>
      <c r="M30" s="168"/>
      <c r="N30" s="60">
        <f>N29*N28</f>
        <v>0</v>
      </c>
      <c r="O30" s="60">
        <f>O29*O28</f>
        <v>0</v>
      </c>
      <c r="P30" s="60">
        <f>P29*P28</f>
        <v>0</v>
      </c>
      <c r="Q30" s="168"/>
      <c r="R30" s="110"/>
      <c r="S30" s="13"/>
    </row>
    <row r="31" spans="1:19" s="37" customFormat="1" ht="15" customHeight="1">
      <c r="A31" s="43" t="s">
        <v>67</v>
      </c>
      <c r="B31" s="63">
        <f>B26+B30</f>
        <v>2440</v>
      </c>
      <c r="C31" s="63">
        <f>C26+C30</f>
        <v>2440</v>
      </c>
      <c r="D31" s="63">
        <f>D26+D30</f>
        <v>2440</v>
      </c>
      <c r="E31" s="170"/>
      <c r="F31" s="63">
        <f>F26+F30</f>
        <v>2181.0830283580772</v>
      </c>
      <c r="G31" s="63">
        <f>G26+G30</f>
        <v>2181.0830283580772</v>
      </c>
      <c r="H31" s="63">
        <f>H26+H30</f>
        <v>1265.5415141790386</v>
      </c>
      <c r="I31" s="170"/>
      <c r="J31" s="63">
        <f>J26+J30</f>
        <v>0</v>
      </c>
      <c r="K31" s="63">
        <f>K26+K30</f>
        <v>0</v>
      </c>
      <c r="L31" s="63">
        <f>L26+L30</f>
        <v>0</v>
      </c>
      <c r="M31" s="170"/>
      <c r="N31" s="63">
        <f>N26+N30</f>
        <v>0</v>
      </c>
      <c r="O31" s="63">
        <f>O26+O30</f>
        <v>0</v>
      </c>
      <c r="P31" s="63">
        <f>P26+P30</f>
        <v>0</v>
      </c>
      <c r="Q31" s="170"/>
      <c r="R31" s="111"/>
      <c r="S31" s="15"/>
    </row>
    <row r="32" spans="1:19" s="11" customFormat="1" ht="15" customHeight="1">
      <c r="A32" s="102" t="s">
        <v>115</v>
      </c>
      <c r="B32" s="764">
        <f>D5</f>
        <v>158000</v>
      </c>
      <c r="C32" s="765"/>
      <c r="D32" s="765"/>
      <c r="E32" s="766"/>
      <c r="F32" s="764">
        <f>H5</f>
        <v>172333.76</v>
      </c>
      <c r="G32" s="765"/>
      <c r="H32" s="765"/>
      <c r="I32" s="766"/>
      <c r="J32" s="764">
        <f>L5</f>
        <v>172333.76</v>
      </c>
      <c r="K32" s="765"/>
      <c r="L32" s="765"/>
      <c r="M32" s="766"/>
      <c r="N32" s="764">
        <f>P5</f>
        <v>172333.76</v>
      </c>
      <c r="O32" s="765"/>
      <c r="P32" s="765"/>
      <c r="Q32" s="766"/>
      <c r="R32" s="730"/>
      <c r="S32" s="15"/>
    </row>
    <row r="33" spans="1:19" s="11" customFormat="1" ht="15" customHeight="1">
      <c r="A33" s="102" t="s">
        <v>69</v>
      </c>
      <c r="B33" s="764">
        <f>D7</f>
        <v>174069.15230000002</v>
      </c>
      <c r="C33" s="765"/>
      <c r="D33" s="765"/>
      <c r="E33" s="766"/>
      <c r="F33" s="764">
        <f>H7</f>
        <v>142490.2579</v>
      </c>
      <c r="G33" s="765"/>
      <c r="H33" s="765"/>
      <c r="I33" s="766"/>
      <c r="J33" s="764">
        <f>L7</f>
        <v>0</v>
      </c>
      <c r="K33" s="765"/>
      <c r="L33" s="765"/>
      <c r="M33" s="766"/>
      <c r="N33" s="764">
        <f>P7</f>
        <v>0</v>
      </c>
      <c r="O33" s="765"/>
      <c r="P33" s="765"/>
      <c r="Q33" s="766"/>
      <c r="R33" s="730"/>
      <c r="S33" s="15"/>
    </row>
    <row r="34" spans="1:19" s="11" customFormat="1" ht="15" customHeight="1">
      <c r="A34" s="102" t="s">
        <v>68</v>
      </c>
      <c r="B34" s="770">
        <f>B33/B32</f>
        <v>1.1017034955696203</v>
      </c>
      <c r="C34" s="771"/>
      <c r="D34" s="771"/>
      <c r="E34" s="766"/>
      <c r="F34" s="770">
        <f>F33/F32</f>
        <v>0.82682730243917379</v>
      </c>
      <c r="G34" s="771"/>
      <c r="H34" s="771"/>
      <c r="I34" s="766"/>
      <c r="J34" s="770">
        <f>J33/J32</f>
        <v>0</v>
      </c>
      <c r="K34" s="771"/>
      <c r="L34" s="771"/>
      <c r="M34" s="766"/>
      <c r="N34" s="770">
        <f>N33/N32</f>
        <v>0</v>
      </c>
      <c r="O34" s="771"/>
      <c r="P34" s="771"/>
      <c r="Q34" s="766"/>
      <c r="R34" s="730"/>
      <c r="S34" s="15"/>
    </row>
    <row r="35" spans="1:19" s="11" customFormat="1" ht="15" customHeight="1">
      <c r="A35" s="102" t="s">
        <v>65</v>
      </c>
      <c r="B35" s="764">
        <f>D17</f>
        <v>6100</v>
      </c>
      <c r="C35" s="765"/>
      <c r="D35" s="765"/>
      <c r="E35" s="766"/>
      <c r="F35" s="764">
        <f>H18</f>
        <v>7000</v>
      </c>
      <c r="G35" s="765"/>
      <c r="H35" s="765"/>
      <c r="I35" s="766"/>
      <c r="J35" s="764">
        <f>L18</f>
        <v>7000</v>
      </c>
      <c r="K35" s="765"/>
      <c r="L35" s="765"/>
      <c r="M35" s="766"/>
      <c r="N35" s="764">
        <f>P18</f>
        <v>7000</v>
      </c>
      <c r="O35" s="765"/>
      <c r="P35" s="765"/>
      <c r="Q35" s="766"/>
      <c r="R35" s="730"/>
      <c r="S35" s="15"/>
    </row>
    <row r="36" spans="1:19" s="11" customFormat="1" ht="15" customHeight="1">
      <c r="A36" s="731" t="s">
        <v>66</v>
      </c>
      <c r="B36" s="764">
        <f>IF(B34&lt;100%,0,IF(B34&lt;105%,0.5,IF(B34&lt;110%,0.7,1)))</f>
        <v>1</v>
      </c>
      <c r="C36" s="765"/>
      <c r="D36" s="765"/>
      <c r="E36" s="766"/>
      <c r="F36" s="764">
        <f>IF(F34&lt;100%,0,IF(F34&lt;105%,0.5,IF(F34&lt;110%,0.7,1)))</f>
        <v>0</v>
      </c>
      <c r="G36" s="765"/>
      <c r="H36" s="765"/>
      <c r="I36" s="766"/>
      <c r="J36" s="764">
        <f>IF(J34&lt;100%,0,IF(J34&lt;105%,0.5,IF(J34&lt;110%,0.7,1)))</f>
        <v>0</v>
      </c>
      <c r="K36" s="765"/>
      <c r="L36" s="765"/>
      <c r="M36" s="766"/>
      <c r="N36" s="764">
        <f>IF(N34&lt;100%,0,IF(N34&lt;105%,0.5,IF(N34&lt;110%,0.7,1)))</f>
        <v>0</v>
      </c>
      <c r="O36" s="765"/>
      <c r="P36" s="765"/>
      <c r="Q36" s="766"/>
      <c r="R36" s="730"/>
      <c r="S36" s="15"/>
    </row>
    <row r="37" spans="1:19" s="11" customFormat="1" ht="15" customHeight="1">
      <c r="A37" s="731" t="s">
        <v>64</v>
      </c>
      <c r="B37" s="764">
        <f>B36*B35</f>
        <v>6100</v>
      </c>
      <c r="C37" s="765"/>
      <c r="D37" s="765"/>
      <c r="E37" s="766"/>
      <c r="F37" s="764">
        <f>F36*F35</f>
        <v>0</v>
      </c>
      <c r="G37" s="765"/>
      <c r="H37" s="765"/>
      <c r="I37" s="766"/>
      <c r="J37" s="764">
        <f>J36*J35</f>
        <v>0</v>
      </c>
      <c r="K37" s="765"/>
      <c r="L37" s="765"/>
      <c r="M37" s="766"/>
      <c r="N37" s="764">
        <f>N36*N35</f>
        <v>0</v>
      </c>
      <c r="O37" s="765"/>
      <c r="P37" s="765"/>
      <c r="Q37" s="766"/>
      <c r="R37" s="730"/>
    </row>
    <row r="38" spans="1:19" s="47" customFormat="1" ht="15" customHeight="1" thickBot="1">
      <c r="A38" s="115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7"/>
    </row>
    <row r="39" spans="1:19" ht="13.8" thickBot="1">
      <c r="A39" s="322" t="s">
        <v>91</v>
      </c>
      <c r="B39" s="323" t="s">
        <v>1</v>
      </c>
      <c r="C39" s="323" t="s">
        <v>2</v>
      </c>
      <c r="D39" s="323" t="s">
        <v>3</v>
      </c>
      <c r="E39" s="289" t="s">
        <v>93</v>
      </c>
      <c r="F39" s="323" t="s">
        <v>4</v>
      </c>
      <c r="G39" s="323" t="s">
        <v>5</v>
      </c>
      <c r="H39" s="621" t="s">
        <v>6</v>
      </c>
      <c r="I39" s="289" t="s">
        <v>93</v>
      </c>
      <c r="J39" s="323" t="s">
        <v>7</v>
      </c>
      <c r="K39" s="323" t="s">
        <v>8</v>
      </c>
      <c r="L39" s="323" t="s">
        <v>9</v>
      </c>
      <c r="M39" s="289" t="s">
        <v>93</v>
      </c>
      <c r="N39" s="323" t="s">
        <v>92</v>
      </c>
      <c r="O39" s="323" t="s">
        <v>11</v>
      </c>
      <c r="P39" s="323" t="s">
        <v>12</v>
      </c>
      <c r="Q39" s="289" t="s">
        <v>93</v>
      </c>
      <c r="R39" s="289" t="s">
        <v>93</v>
      </c>
    </row>
    <row r="40" spans="1:19" ht="13.8" thickTop="1">
      <c r="A40" s="324" t="s">
        <v>94</v>
      </c>
      <c r="B40" s="133"/>
      <c r="C40" s="133"/>
      <c r="D40" s="133"/>
      <c r="E40" s="290">
        <f>SUM(B40:D40)</f>
        <v>0</v>
      </c>
      <c r="F40" s="133"/>
      <c r="G40" s="133"/>
      <c r="H40" s="133"/>
      <c r="I40" s="290">
        <f>SUM(F40:H40)</f>
        <v>0</v>
      </c>
      <c r="J40" s="133"/>
      <c r="K40" s="133"/>
      <c r="L40" s="133"/>
      <c r="M40" s="290">
        <f>SUM(J40:L40)</f>
        <v>0</v>
      </c>
      <c r="N40" s="133"/>
      <c r="O40" s="133"/>
      <c r="P40" s="382"/>
      <c r="Q40" s="290">
        <f>SUM(N40:P40)</f>
        <v>0</v>
      </c>
      <c r="R40" s="290">
        <f>I40+M40+Q40+E40</f>
        <v>0</v>
      </c>
      <c r="S40" s="52"/>
    </row>
    <row r="41" spans="1:19">
      <c r="A41" s="325" t="s">
        <v>95</v>
      </c>
      <c r="B41" s="134"/>
      <c r="C41" s="134"/>
      <c r="D41" s="134"/>
      <c r="E41" s="174"/>
      <c r="F41" s="134"/>
      <c r="G41" s="134"/>
      <c r="H41" s="134"/>
      <c r="I41" s="174"/>
      <c r="J41" s="134"/>
      <c r="K41" s="134"/>
      <c r="L41" s="134"/>
      <c r="M41" s="174"/>
      <c r="N41" s="134"/>
      <c r="O41" s="134"/>
      <c r="P41" s="379"/>
      <c r="Q41" s="174"/>
      <c r="R41" s="174"/>
      <c r="S41" s="52"/>
    </row>
    <row r="42" spans="1:19">
      <c r="A42" s="325" t="s">
        <v>96</v>
      </c>
      <c r="B42" s="134"/>
      <c r="C42" s="134"/>
      <c r="D42" s="134"/>
      <c r="E42" s="174"/>
      <c r="F42" s="134"/>
      <c r="G42" s="134"/>
      <c r="H42" s="134"/>
      <c r="I42" s="174"/>
      <c r="J42" s="134"/>
      <c r="K42" s="134"/>
      <c r="L42" s="134"/>
      <c r="M42" s="174"/>
      <c r="N42" s="134"/>
      <c r="O42" s="134"/>
      <c r="P42" s="379"/>
      <c r="Q42" s="174"/>
      <c r="R42" s="174"/>
      <c r="S42" s="52"/>
    </row>
    <row r="43" spans="1:19">
      <c r="A43" s="325" t="s">
        <v>125</v>
      </c>
      <c r="B43" s="134"/>
      <c r="C43" s="134"/>
      <c r="D43" s="134"/>
      <c r="E43" s="174"/>
      <c r="F43" s="134"/>
      <c r="G43" s="134"/>
      <c r="H43" s="134"/>
      <c r="I43" s="174"/>
      <c r="J43" s="134"/>
      <c r="K43" s="134"/>
      <c r="L43" s="134"/>
      <c r="M43" s="174"/>
      <c r="N43" s="134"/>
      <c r="O43" s="134"/>
      <c r="P43" s="379"/>
      <c r="Q43" s="174"/>
      <c r="R43" s="174"/>
      <c r="S43" s="52"/>
    </row>
    <row r="44" spans="1:19">
      <c r="A44" s="325" t="s">
        <v>97</v>
      </c>
      <c r="B44" s="326"/>
      <c r="C44" s="326"/>
      <c r="D44" s="326"/>
      <c r="E44" s="175"/>
      <c r="F44" s="326"/>
      <c r="G44" s="326"/>
      <c r="H44" s="326"/>
      <c r="I44" s="175"/>
      <c r="J44" s="326"/>
      <c r="K44" s="326"/>
      <c r="L44" s="326"/>
      <c r="M44" s="175"/>
      <c r="N44" s="326"/>
      <c r="O44" s="326"/>
      <c r="P44" s="388"/>
      <c r="Q44" s="175"/>
      <c r="R44" s="175"/>
      <c r="S44" s="52"/>
    </row>
    <row r="45" spans="1:19" ht="13.8" thickBot="1">
      <c r="A45" s="327" t="s">
        <v>98</v>
      </c>
      <c r="B45" s="135"/>
      <c r="C45" s="135"/>
      <c r="D45" s="135"/>
      <c r="E45" s="290">
        <f t="shared" ref="E45:E46" si="8">SUM(B45:D45)</f>
        <v>0</v>
      </c>
      <c r="F45" s="135"/>
      <c r="G45" s="135"/>
      <c r="H45" s="135"/>
      <c r="I45" s="290">
        <f t="shared" ref="I45:I46" si="9">SUM(F45:H45)</f>
        <v>0</v>
      </c>
      <c r="J45" s="135"/>
      <c r="K45" s="135"/>
      <c r="L45" s="135"/>
      <c r="M45" s="290">
        <f t="shared" ref="M45:M46" si="10">SUM(J45:L45)</f>
        <v>0</v>
      </c>
      <c r="N45" s="135"/>
      <c r="O45" s="135"/>
      <c r="P45" s="383"/>
      <c r="Q45" s="290">
        <f t="shared" ref="Q45:Q46" si="11">SUM(N45:P45)</f>
        <v>0</v>
      </c>
      <c r="R45" s="290">
        <f>I45+M45+Q45+E45</f>
        <v>0</v>
      </c>
      <c r="S45" s="52"/>
    </row>
    <row r="46" spans="1:19" ht="13.8" thickTop="1">
      <c r="A46" s="328" t="s">
        <v>126</v>
      </c>
      <c r="B46" s="136"/>
      <c r="C46" s="136"/>
      <c r="D46" s="136"/>
      <c r="E46" s="290">
        <f t="shared" si="8"/>
        <v>0</v>
      </c>
      <c r="F46" s="136"/>
      <c r="G46" s="136"/>
      <c r="H46" s="136"/>
      <c r="I46" s="290">
        <f t="shared" si="9"/>
        <v>0</v>
      </c>
      <c r="J46" s="136"/>
      <c r="K46" s="136"/>
      <c r="L46" s="136"/>
      <c r="M46" s="290">
        <f t="shared" si="10"/>
        <v>0</v>
      </c>
      <c r="N46" s="136"/>
      <c r="O46" s="136"/>
      <c r="P46" s="384"/>
      <c r="Q46" s="290">
        <f t="shared" si="11"/>
        <v>0</v>
      </c>
      <c r="R46" s="290">
        <f>I46+M46+Q46+E46</f>
        <v>0</v>
      </c>
      <c r="S46" s="52"/>
    </row>
    <row r="47" spans="1:19">
      <c r="A47" s="325" t="s">
        <v>99</v>
      </c>
      <c r="B47" s="134"/>
      <c r="C47" s="134"/>
      <c r="D47" s="134"/>
      <c r="E47" s="176"/>
      <c r="F47" s="134"/>
      <c r="G47" s="134"/>
      <c r="H47" s="134"/>
      <c r="I47" s="176"/>
      <c r="J47" s="134"/>
      <c r="K47" s="134"/>
      <c r="L47" s="134"/>
      <c r="M47" s="176"/>
      <c r="N47" s="134"/>
      <c r="O47" s="134"/>
      <c r="P47" s="379"/>
      <c r="Q47" s="176"/>
      <c r="R47" s="176"/>
      <c r="S47" s="52"/>
    </row>
    <row r="48" spans="1:19">
      <c r="A48" s="325" t="s">
        <v>100</v>
      </c>
      <c r="B48" s="134"/>
      <c r="C48" s="134"/>
      <c r="D48" s="134"/>
      <c r="E48" s="290">
        <f t="shared" ref="E48:E52" si="12">SUM(B48:D48)</f>
        <v>0</v>
      </c>
      <c r="F48" s="134"/>
      <c r="G48" s="134"/>
      <c r="H48" s="134"/>
      <c r="I48" s="290">
        <f t="shared" ref="I48:I52" si="13">SUM(F48:H48)</f>
        <v>0</v>
      </c>
      <c r="J48" s="134"/>
      <c r="K48" s="134"/>
      <c r="L48" s="134"/>
      <c r="M48" s="290">
        <f t="shared" ref="M48:M52" si="14">SUM(J48:L48)</f>
        <v>0</v>
      </c>
      <c r="N48" s="134"/>
      <c r="O48" s="134"/>
      <c r="P48" s="379"/>
      <c r="Q48" s="290">
        <f t="shared" ref="Q48:Q52" si="15">SUM(N48:P48)</f>
        <v>0</v>
      </c>
      <c r="R48" s="290">
        <f>I48+M48+Q48+E48</f>
        <v>0</v>
      </c>
      <c r="S48" s="52"/>
    </row>
    <row r="49" spans="1:19" ht="13.8" thickBot="1">
      <c r="A49" s="329" t="s">
        <v>101</v>
      </c>
      <c r="B49" s="137"/>
      <c r="C49" s="137"/>
      <c r="D49" s="137"/>
      <c r="E49" s="290">
        <f t="shared" si="12"/>
        <v>0</v>
      </c>
      <c r="F49" s="137"/>
      <c r="G49" s="137"/>
      <c r="H49" s="137"/>
      <c r="I49" s="290">
        <f t="shared" si="13"/>
        <v>0</v>
      </c>
      <c r="J49" s="137"/>
      <c r="K49" s="137"/>
      <c r="L49" s="137"/>
      <c r="M49" s="290">
        <f t="shared" si="14"/>
        <v>0</v>
      </c>
      <c r="N49" s="137"/>
      <c r="O49" s="137"/>
      <c r="P49" s="385"/>
      <c r="Q49" s="290">
        <f t="shared" si="15"/>
        <v>0</v>
      </c>
      <c r="R49" s="290">
        <f>I49+M49+Q49+E49</f>
        <v>0</v>
      </c>
      <c r="S49" s="52"/>
    </row>
    <row r="50" spans="1:19" ht="13.8" thickTop="1">
      <c r="A50" s="324" t="s">
        <v>173</v>
      </c>
      <c r="B50" s="133"/>
      <c r="C50" s="133"/>
      <c r="D50" s="133"/>
      <c r="E50" s="290">
        <f t="shared" si="12"/>
        <v>0</v>
      </c>
      <c r="F50" s="133"/>
      <c r="G50" s="133"/>
      <c r="H50" s="133"/>
      <c r="I50" s="290">
        <f t="shared" si="13"/>
        <v>0</v>
      </c>
      <c r="J50" s="133"/>
      <c r="K50" s="133"/>
      <c r="L50" s="133"/>
      <c r="M50" s="290">
        <f t="shared" si="14"/>
        <v>0</v>
      </c>
      <c r="N50" s="133"/>
      <c r="O50" s="133"/>
      <c r="P50" s="382"/>
      <c r="Q50" s="290">
        <f t="shared" si="15"/>
        <v>0</v>
      </c>
      <c r="R50" s="290">
        <f>I50+M50+Q50+E50</f>
        <v>0</v>
      </c>
      <c r="S50" s="52"/>
    </row>
    <row r="51" spans="1:19" ht="13.8" thickBot="1">
      <c r="A51" s="327" t="s">
        <v>102</v>
      </c>
      <c r="B51" s="135"/>
      <c r="C51" s="135"/>
      <c r="D51" s="135"/>
      <c r="E51" s="290">
        <f t="shared" si="12"/>
        <v>0</v>
      </c>
      <c r="F51" s="135"/>
      <c r="G51" s="135"/>
      <c r="H51" s="135"/>
      <c r="I51" s="290">
        <f t="shared" si="13"/>
        <v>0</v>
      </c>
      <c r="J51" s="135"/>
      <c r="K51" s="135"/>
      <c r="L51" s="135"/>
      <c r="M51" s="290">
        <f t="shared" si="14"/>
        <v>0</v>
      </c>
      <c r="N51" s="135"/>
      <c r="O51" s="135"/>
      <c r="P51" s="383"/>
      <c r="Q51" s="290">
        <f t="shared" si="15"/>
        <v>0</v>
      </c>
      <c r="R51" s="290">
        <f>I51+M51+Q51+E51</f>
        <v>0</v>
      </c>
      <c r="S51" s="52"/>
    </row>
    <row r="52" spans="1:19" ht="14.4" thickTop="1" thickBot="1">
      <c r="A52" s="327" t="s">
        <v>103</v>
      </c>
      <c r="B52" s="135"/>
      <c r="C52" s="135"/>
      <c r="D52" s="135"/>
      <c r="E52" s="290">
        <f t="shared" si="12"/>
        <v>0</v>
      </c>
      <c r="F52" s="135"/>
      <c r="G52" s="135"/>
      <c r="H52" s="135"/>
      <c r="I52" s="290">
        <f t="shared" si="13"/>
        <v>0</v>
      </c>
      <c r="J52" s="135"/>
      <c r="K52" s="135"/>
      <c r="L52" s="135"/>
      <c r="M52" s="290">
        <f t="shared" si="14"/>
        <v>0</v>
      </c>
      <c r="N52" s="135"/>
      <c r="O52" s="135"/>
      <c r="P52" s="383"/>
      <c r="Q52" s="290">
        <f t="shared" si="15"/>
        <v>0</v>
      </c>
      <c r="R52" s="290">
        <f>I52+M52+Q52+E52</f>
        <v>0</v>
      </c>
      <c r="S52" s="52"/>
    </row>
    <row r="53" spans="1:19" ht="13.8" thickTop="1">
      <c r="A53" s="330" t="s">
        <v>104</v>
      </c>
      <c r="B53" s="139"/>
      <c r="C53" s="139"/>
      <c r="D53" s="139"/>
      <c r="E53" s="132"/>
      <c r="F53" s="139"/>
      <c r="G53" s="139"/>
      <c r="H53" s="139"/>
      <c r="I53" s="132"/>
      <c r="J53" s="139"/>
      <c r="K53" s="139"/>
      <c r="L53" s="172"/>
      <c r="M53" s="132"/>
      <c r="N53" s="139"/>
      <c r="O53" s="139"/>
      <c r="P53" s="386"/>
      <c r="Q53" s="132"/>
      <c r="R53" s="132"/>
      <c r="S53" s="52"/>
    </row>
    <row r="54" spans="1:19">
      <c r="A54" s="331" t="s">
        <v>105</v>
      </c>
      <c r="B54" s="140"/>
      <c r="C54" s="140"/>
      <c r="D54" s="140"/>
      <c r="E54" s="290">
        <f t="shared" ref="E54:E56" si="16">SUM(B54:D54)</f>
        <v>0</v>
      </c>
      <c r="F54" s="140"/>
      <c r="G54" s="140"/>
      <c r="H54" s="140"/>
      <c r="I54" s="290">
        <f t="shared" ref="I54:I56" si="17">SUM(F54:H54)</f>
        <v>0</v>
      </c>
      <c r="J54" s="140"/>
      <c r="K54" s="140"/>
      <c r="L54" s="173"/>
      <c r="M54" s="290">
        <f t="shared" ref="M54:M56" si="18">SUM(J54:L54)</f>
        <v>0</v>
      </c>
      <c r="N54" s="140"/>
      <c r="O54" s="140"/>
      <c r="P54" s="387"/>
      <c r="Q54" s="290">
        <f t="shared" ref="Q54:Q56" si="19">SUM(N54:P54)</f>
        <v>0</v>
      </c>
      <c r="R54" s="290">
        <f>I54+M54+Q54+E54</f>
        <v>0</v>
      </c>
      <c r="S54" s="52"/>
    </row>
    <row r="55" spans="1:19">
      <c r="A55" s="331" t="s">
        <v>106</v>
      </c>
      <c r="B55" s="140"/>
      <c r="C55" s="140"/>
      <c r="D55" s="140"/>
      <c r="E55" s="290">
        <f t="shared" si="16"/>
        <v>0</v>
      </c>
      <c r="F55" s="140"/>
      <c r="G55" s="140"/>
      <c r="H55" s="140"/>
      <c r="I55" s="290">
        <f t="shared" si="17"/>
        <v>0</v>
      </c>
      <c r="J55" s="140"/>
      <c r="K55" s="140"/>
      <c r="L55" s="173"/>
      <c r="M55" s="290">
        <f t="shared" si="18"/>
        <v>0</v>
      </c>
      <c r="N55" s="140"/>
      <c r="O55" s="317"/>
      <c r="P55" s="381"/>
      <c r="Q55" s="290">
        <f t="shared" si="19"/>
        <v>0</v>
      </c>
      <c r="R55" s="290">
        <f>I55+M55+Q55+E55</f>
        <v>0</v>
      </c>
      <c r="S55" s="52"/>
    </row>
    <row r="56" spans="1:19">
      <c r="A56" s="331" t="s">
        <v>107</v>
      </c>
      <c r="B56" s="140"/>
      <c r="C56" s="140"/>
      <c r="D56" s="140"/>
      <c r="E56" s="290">
        <f t="shared" si="16"/>
        <v>0</v>
      </c>
      <c r="F56" s="140"/>
      <c r="G56" s="140"/>
      <c r="H56" s="140"/>
      <c r="I56" s="290">
        <f t="shared" si="17"/>
        <v>0</v>
      </c>
      <c r="J56" s="140"/>
      <c r="K56" s="140"/>
      <c r="L56" s="173"/>
      <c r="M56" s="290">
        <f t="shared" si="18"/>
        <v>0</v>
      </c>
      <c r="N56" s="140"/>
      <c r="O56" s="317"/>
      <c r="P56" s="381"/>
      <c r="Q56" s="290">
        <f t="shared" si="19"/>
        <v>0</v>
      </c>
      <c r="R56" s="290">
        <f>I56+M56+Q56+E56</f>
        <v>0</v>
      </c>
      <c r="S56" s="52"/>
    </row>
    <row r="57" spans="1:19" ht="13.8" thickBot="1">
      <c r="A57" s="332" t="s">
        <v>108</v>
      </c>
      <c r="B57" s="295"/>
      <c r="C57" s="295"/>
      <c r="D57" s="295"/>
      <c r="E57" s="177"/>
      <c r="F57" s="295"/>
      <c r="G57" s="295"/>
      <c r="H57" s="295"/>
      <c r="I57" s="177"/>
      <c r="J57" s="295"/>
      <c r="K57" s="295"/>
      <c r="L57" s="297"/>
      <c r="M57" s="177"/>
      <c r="N57" s="295"/>
      <c r="O57" s="318"/>
      <c r="P57" s="380"/>
      <c r="Q57" s="177"/>
      <c r="R57" s="177"/>
      <c r="S57" s="52"/>
    </row>
    <row r="58" spans="1:19" ht="13.8" thickTop="1">
      <c r="A58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138"/>
      <c r="Q58" s="52"/>
      <c r="R58" s="52"/>
    </row>
  </sheetData>
  <mergeCells count="28">
    <mergeCell ref="B1:D1"/>
    <mergeCell ref="B32:E32"/>
    <mergeCell ref="F1:H1"/>
    <mergeCell ref="J33:M33"/>
    <mergeCell ref="J34:M34"/>
    <mergeCell ref="J1:L1"/>
    <mergeCell ref="B33:E33"/>
    <mergeCell ref="B34:E34"/>
    <mergeCell ref="F33:I33"/>
    <mergeCell ref="F34:I34"/>
    <mergeCell ref="N1:P1"/>
    <mergeCell ref="N32:Q32"/>
    <mergeCell ref="F32:I32"/>
    <mergeCell ref="J32:M32"/>
    <mergeCell ref="N34:Q34"/>
    <mergeCell ref="N33:Q33"/>
    <mergeCell ref="N35:Q35"/>
    <mergeCell ref="N36:Q36"/>
    <mergeCell ref="N37:Q37"/>
    <mergeCell ref="B36:E36"/>
    <mergeCell ref="B35:E35"/>
    <mergeCell ref="B37:E37"/>
    <mergeCell ref="J35:M35"/>
    <mergeCell ref="J36:M36"/>
    <mergeCell ref="J37:M37"/>
    <mergeCell ref="F37:I37"/>
    <mergeCell ref="F35:I35"/>
    <mergeCell ref="F36:I36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4"/>
  <sheetViews>
    <sheetView zoomScale="80" zoomScaleNormal="80" workbookViewId="0">
      <selection activeCell="H9" sqref="H9"/>
    </sheetView>
  </sheetViews>
  <sheetFormatPr defaultColWidth="9.109375" defaultRowHeight="13.2"/>
  <cols>
    <col min="1" max="1" width="39" style="118" customWidth="1"/>
    <col min="2" max="5" width="12" style="119" customWidth="1"/>
    <col min="6" max="6" width="11.44140625" style="119" customWidth="1"/>
    <col min="7" max="7" width="13" style="119" customWidth="1"/>
    <col min="8" max="8" width="12.88671875" style="119" customWidth="1"/>
    <col min="9" max="9" width="11.6640625" style="119" customWidth="1"/>
    <col min="10" max="12" width="13.109375" style="119" customWidth="1"/>
    <col min="13" max="13" width="12.33203125" style="119" customWidth="1"/>
    <col min="14" max="14" width="12.109375" style="119" customWidth="1"/>
    <col min="15" max="15" width="13" style="119" customWidth="1"/>
    <col min="16" max="17" width="12.6640625" style="119" customWidth="1"/>
    <col min="18" max="18" width="13" style="119" customWidth="1"/>
    <col min="19" max="19" width="9.109375" style="119"/>
    <col min="20" max="25" width="7.44140625" style="128" customWidth="1"/>
    <col min="26" max="27" width="9.109375" style="121"/>
    <col min="28" max="16384" width="9.109375" style="12"/>
  </cols>
  <sheetData>
    <row r="1" spans="1:27" ht="15" customHeight="1">
      <c r="A1" s="29" t="s">
        <v>192</v>
      </c>
      <c r="B1" s="767"/>
      <c r="C1" s="768"/>
      <c r="D1" s="768"/>
      <c r="E1" s="76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9"/>
      <c r="T1" s="120"/>
      <c r="U1" s="120"/>
      <c r="V1" s="120"/>
      <c r="W1" s="120"/>
      <c r="X1" s="120"/>
      <c r="Y1" s="120"/>
    </row>
    <row r="2" spans="1:27" ht="15" customHeight="1">
      <c r="A2" s="84" t="s">
        <v>0</v>
      </c>
      <c r="B2" s="153" t="s">
        <v>1</v>
      </c>
      <c r="C2" s="153" t="s">
        <v>2</v>
      </c>
      <c r="D2" s="153" t="s">
        <v>3</v>
      </c>
      <c r="E2" s="508" t="s">
        <v>110</v>
      </c>
      <c r="F2" s="153" t="s">
        <v>4</v>
      </c>
      <c r="G2" s="153" t="s">
        <v>5</v>
      </c>
      <c r="H2" s="153" t="s">
        <v>6</v>
      </c>
      <c r="I2" s="513" t="s">
        <v>116</v>
      </c>
      <c r="J2" s="153" t="s">
        <v>7</v>
      </c>
      <c r="K2" s="153" t="s">
        <v>8</v>
      </c>
      <c r="L2" s="153" t="s">
        <v>9</v>
      </c>
      <c r="M2" s="513" t="s">
        <v>117</v>
      </c>
      <c r="N2" s="153" t="s">
        <v>10</v>
      </c>
      <c r="O2" s="153" t="s">
        <v>11</v>
      </c>
      <c r="P2" s="153" t="s">
        <v>12</v>
      </c>
      <c r="Q2" s="513" t="s">
        <v>118</v>
      </c>
      <c r="R2" s="153" t="s">
        <v>13</v>
      </c>
      <c r="S2" s="122"/>
      <c r="T2" s="121"/>
      <c r="U2" s="121"/>
      <c r="V2" s="121"/>
      <c r="W2" s="121"/>
      <c r="X2" s="121"/>
      <c r="Y2" s="121"/>
    </row>
    <row r="3" spans="1:27" ht="15" customHeight="1">
      <c r="A3" s="85"/>
      <c r="B3" s="153"/>
      <c r="C3" s="153"/>
      <c r="D3" s="153"/>
      <c r="E3" s="508"/>
      <c r="F3" s="153"/>
      <c r="G3" s="153"/>
      <c r="H3" s="153"/>
      <c r="I3" s="757">
        <v>121952.63</v>
      </c>
      <c r="J3" s="153"/>
      <c r="K3" s="153"/>
      <c r="L3" s="153"/>
      <c r="M3" s="508"/>
      <c r="N3" s="153"/>
      <c r="O3" s="153"/>
      <c r="P3" s="153"/>
      <c r="Q3" s="508"/>
      <c r="R3" s="153"/>
      <c r="S3" s="122"/>
      <c r="T3" s="121"/>
      <c r="U3" s="121"/>
      <c r="V3" s="121"/>
      <c r="W3" s="121"/>
      <c r="X3" s="121"/>
      <c r="Y3" s="121"/>
    </row>
    <row r="4" spans="1:27" ht="15" customHeight="1">
      <c r="A4" s="86" t="s">
        <v>216</v>
      </c>
      <c r="B4" s="448">
        <f>Target!C4</f>
        <v>16800</v>
      </c>
      <c r="C4" s="448">
        <f>Target!D4</f>
        <v>18666.666666666668</v>
      </c>
      <c r="D4" s="448">
        <f>Target!E4</f>
        <v>20533.333333333336</v>
      </c>
      <c r="E4" s="509">
        <f>SUM(B4:D4)</f>
        <v>56000.000000000007</v>
      </c>
      <c r="F4" s="448">
        <f>Target!F4</f>
        <v>16800</v>
      </c>
      <c r="G4" s="448">
        <f>Target!G4</f>
        <v>18666.666666666668</v>
      </c>
      <c r="H4" s="448">
        <f>Target!H4</f>
        <v>20533.333333333336</v>
      </c>
      <c r="I4" s="514">
        <f>SUM(F4:H4)</f>
        <v>56000.000000000007</v>
      </c>
      <c r="J4" s="448">
        <f>Target!I4</f>
        <v>16800</v>
      </c>
      <c r="K4" s="448">
        <f>Target!J4</f>
        <v>18666.666666666668</v>
      </c>
      <c r="L4" s="448">
        <f>Target!K4</f>
        <v>20533.333333333336</v>
      </c>
      <c r="M4" s="514">
        <f>SUM(J4:L4)</f>
        <v>56000.000000000007</v>
      </c>
      <c r="N4" s="448">
        <f>Target!L4</f>
        <v>16800</v>
      </c>
      <c r="O4" s="448">
        <f>Target!M4</f>
        <v>18666.666666666668</v>
      </c>
      <c r="P4" s="448">
        <f>Target!N4</f>
        <v>20533.333333333336</v>
      </c>
      <c r="Q4" s="514">
        <f>SUM(N4:P4)</f>
        <v>56000.000000000007</v>
      </c>
      <c r="R4" s="627">
        <f>B4+C4+D4+F4+G4+H4+J4+K4+L4+N4+O4+P4</f>
        <v>224000</v>
      </c>
      <c r="S4" s="122"/>
      <c r="T4" s="121"/>
      <c r="U4" s="121"/>
      <c r="V4" s="121"/>
      <c r="W4" s="121"/>
      <c r="X4" s="121"/>
      <c r="Y4" s="121"/>
    </row>
    <row r="5" spans="1:27" ht="15" customHeight="1">
      <c r="A5" s="88" t="s">
        <v>35</v>
      </c>
      <c r="B5" s="436">
        <f>B4</f>
        <v>16800</v>
      </c>
      <c r="C5" s="436">
        <f>C4+B5</f>
        <v>35466.666666666672</v>
      </c>
      <c r="D5" s="436">
        <f>D4+C5</f>
        <v>56000.000000000007</v>
      </c>
      <c r="E5" s="510"/>
      <c r="F5" s="436">
        <f>F4</f>
        <v>16800</v>
      </c>
      <c r="G5" s="436">
        <f>G4+F5</f>
        <v>35466.666666666672</v>
      </c>
      <c r="H5" s="436">
        <f>H4+G5</f>
        <v>56000.000000000007</v>
      </c>
      <c r="I5" s="510"/>
      <c r="J5" s="436">
        <f>J4</f>
        <v>16800</v>
      </c>
      <c r="K5" s="436">
        <f>K4+J5</f>
        <v>35466.666666666672</v>
      </c>
      <c r="L5" s="436">
        <f>L4+K5</f>
        <v>56000.000000000007</v>
      </c>
      <c r="M5" s="510"/>
      <c r="N5" s="436">
        <f>N4</f>
        <v>16800</v>
      </c>
      <c r="O5" s="436">
        <f>O4+N5</f>
        <v>35466.666666666672</v>
      </c>
      <c r="P5" s="436">
        <f>P4+O5</f>
        <v>56000.000000000007</v>
      </c>
      <c r="Q5" s="510"/>
      <c r="R5" s="449">
        <f>R6/R4</f>
        <v>0.26337974553571425</v>
      </c>
      <c r="S5" s="122"/>
      <c r="T5" s="121"/>
      <c r="U5" s="121"/>
      <c r="V5" s="121"/>
      <c r="W5" s="121"/>
      <c r="X5" s="121"/>
      <c r="Y5" s="121"/>
    </row>
    <row r="6" spans="1:27" ht="15" customHeight="1">
      <c r="A6" s="90" t="s">
        <v>37</v>
      </c>
      <c r="B6" s="181">
        <f>SUMIF(I!A:A,$A$1,I!I:I)</f>
        <v>4526.1787000000004</v>
      </c>
      <c r="C6" s="180">
        <f>SUMIF(II!A:A,$A$1,II!I:I)</f>
        <v>16210.623</v>
      </c>
      <c r="D6" s="180">
        <f>SUMIF(III!A:A,$A$1,III!I:I)</f>
        <v>9987.3593999999994</v>
      </c>
      <c r="E6" s="624">
        <f>SUM(B6:D6)</f>
        <v>30724.161099999998</v>
      </c>
      <c r="F6" s="180">
        <f>SUMIF(IV!A:A,$A$1,IV!I:I)</f>
        <v>12628.626</v>
      </c>
      <c r="G6" s="180">
        <f>SUMIF(V!A:A,$A$1,V!I:I)</f>
        <v>7248.3549999999996</v>
      </c>
      <c r="H6" s="180">
        <f>SUMIF(VI!A:A,$A$1,VI!I:I)</f>
        <v>8395.9208999999992</v>
      </c>
      <c r="I6" s="625">
        <f>SUM(F6:H6)</f>
        <v>28272.901899999997</v>
      </c>
      <c r="J6" s="180">
        <f>SUMIF(VII!A:A,$A$1,VII!I:I)</f>
        <v>0</v>
      </c>
      <c r="K6" s="180">
        <f>SUMIF(VIII!A:A,$A$1,VIII!I:I)</f>
        <v>0</v>
      </c>
      <c r="L6" s="180">
        <f>SUMIF(IX!A:A,$A$1,IX!I:I)</f>
        <v>0</v>
      </c>
      <c r="M6" s="625">
        <f>SUM(J6:L6)</f>
        <v>0</v>
      </c>
      <c r="N6" s="180">
        <f>SUMIF(X!A:A,$A$1,X!I:I)</f>
        <v>0</v>
      </c>
      <c r="O6" s="180">
        <f>SUMIF(XI!A:A,$A$1,XI!I:I)</f>
        <v>0</v>
      </c>
      <c r="P6" s="180">
        <f>SUMIF(XII!A:A,$A$1,XII!I:I)</f>
        <v>0</v>
      </c>
      <c r="Q6" s="625">
        <f>SUM(N6:P6)</f>
        <v>0</v>
      </c>
      <c r="R6" s="450">
        <f>B6+C6+D6+F6+G6+H6+J6+K6+L6+N6+O6+P6</f>
        <v>58997.062999999995</v>
      </c>
      <c r="S6" s="122"/>
      <c r="T6" s="121"/>
      <c r="U6" s="121"/>
      <c r="V6" s="121"/>
      <c r="W6" s="121"/>
      <c r="X6" s="121"/>
      <c r="Y6" s="121"/>
    </row>
    <row r="7" spans="1:27" ht="15" customHeight="1">
      <c r="A7" s="88" t="s">
        <v>38</v>
      </c>
      <c r="B7" s="436">
        <f>B6</f>
        <v>4526.1787000000004</v>
      </c>
      <c r="C7" s="436">
        <f>C6+B7</f>
        <v>20736.8017</v>
      </c>
      <c r="D7" s="436">
        <f>D6+C7</f>
        <v>30724.161099999998</v>
      </c>
      <c r="E7" s="510"/>
      <c r="F7" s="436">
        <f>F6</f>
        <v>12628.626</v>
      </c>
      <c r="G7" s="436">
        <f>G6+F7</f>
        <v>19876.981</v>
      </c>
      <c r="H7" s="436">
        <f>H6+G7</f>
        <v>28272.901899999997</v>
      </c>
      <c r="I7" s="510">
        <f>SUM(E6,I6)</f>
        <v>58997.062999999995</v>
      </c>
      <c r="J7" s="436">
        <f>J6</f>
        <v>0</v>
      </c>
      <c r="K7" s="436">
        <f>K6+J7</f>
        <v>0</v>
      </c>
      <c r="L7" s="436">
        <f>L6+K7</f>
        <v>0</v>
      </c>
      <c r="M7" s="510">
        <f>SUM(E6,I6,M6)/3</f>
        <v>19665.687666666665</v>
      </c>
      <c r="N7" s="436">
        <f>N6</f>
        <v>0</v>
      </c>
      <c r="O7" s="436">
        <f>O6+N7</f>
        <v>0</v>
      </c>
      <c r="P7" s="436">
        <f>P6+O7</f>
        <v>0</v>
      </c>
      <c r="Q7" s="510"/>
      <c r="R7" s="451"/>
      <c r="S7" s="122"/>
      <c r="T7" s="121"/>
      <c r="U7" s="121"/>
      <c r="V7" s="121"/>
      <c r="W7" s="121"/>
      <c r="X7" s="121"/>
      <c r="Y7" s="121"/>
    </row>
    <row r="8" spans="1:27" ht="15" customHeight="1">
      <c r="A8" s="91" t="s">
        <v>39</v>
      </c>
      <c r="B8" s="69">
        <f t="shared" ref="B8:D9" si="0">B6/B4</f>
        <v>0.26941539880952381</v>
      </c>
      <c r="C8" s="69">
        <f t="shared" si="0"/>
        <v>0.86842623214285708</v>
      </c>
      <c r="D8" s="69">
        <f t="shared" si="0"/>
        <v>0.48639737337662331</v>
      </c>
      <c r="E8" s="511"/>
      <c r="F8" s="69">
        <f t="shared" ref="F8:H9" si="1">F6/F4</f>
        <v>0.75170392857142854</v>
      </c>
      <c r="G8" s="69">
        <f t="shared" si="1"/>
        <v>0.3883047321428571</v>
      </c>
      <c r="H8" s="69">
        <f t="shared" si="1"/>
        <v>0.40889225162337656</v>
      </c>
      <c r="I8" s="159">
        <f>I7/I3-1</f>
        <v>-0.51622967868753644</v>
      </c>
      <c r="J8" s="69">
        <f t="shared" ref="J8:L9" si="2">J6/J4</f>
        <v>0</v>
      </c>
      <c r="K8" s="69">
        <f t="shared" si="2"/>
        <v>0</v>
      </c>
      <c r="L8" s="69">
        <f t="shared" si="2"/>
        <v>0</v>
      </c>
      <c r="M8" s="511"/>
      <c r="N8" s="69">
        <f t="shared" ref="N8:P9" si="3">N6/N4</f>
        <v>0</v>
      </c>
      <c r="O8" s="69">
        <f t="shared" si="3"/>
        <v>0</v>
      </c>
      <c r="P8" s="69">
        <f t="shared" si="3"/>
        <v>0</v>
      </c>
      <c r="Q8" s="511"/>
      <c r="R8" s="452"/>
      <c r="S8" s="122"/>
      <c r="T8" s="121"/>
      <c r="U8" s="121"/>
      <c r="V8" s="121"/>
      <c r="W8" s="121"/>
      <c r="X8" s="121"/>
      <c r="Y8" s="121"/>
    </row>
    <row r="9" spans="1:27" s="14" customFormat="1" ht="15" customHeight="1">
      <c r="A9" s="91" t="s">
        <v>40</v>
      </c>
      <c r="B9" s="604">
        <f t="shared" si="0"/>
        <v>0.26941539880952381</v>
      </c>
      <c r="C9" s="604">
        <f t="shared" si="0"/>
        <v>0.58468425845864658</v>
      </c>
      <c r="D9" s="604">
        <f t="shared" si="0"/>
        <v>0.5486457339285713</v>
      </c>
      <c r="E9" s="607"/>
      <c r="F9" s="604">
        <f t="shared" si="1"/>
        <v>0.75170392857142854</v>
      </c>
      <c r="G9" s="604">
        <f t="shared" si="1"/>
        <v>0.56044119360902245</v>
      </c>
      <c r="H9" s="604">
        <f t="shared" si="1"/>
        <v>0.50487324821428559</v>
      </c>
      <c r="I9" s="762">
        <f>I7-I3</f>
        <v>-62955.56700000001</v>
      </c>
      <c r="J9" s="604">
        <f t="shared" si="2"/>
        <v>0</v>
      </c>
      <c r="K9" s="604">
        <f t="shared" si="2"/>
        <v>0</v>
      </c>
      <c r="L9" s="604">
        <f t="shared" si="2"/>
        <v>0</v>
      </c>
      <c r="M9" s="607"/>
      <c r="N9" s="604">
        <f t="shared" si="3"/>
        <v>0</v>
      </c>
      <c r="O9" s="604">
        <f t="shared" si="3"/>
        <v>0</v>
      </c>
      <c r="P9" s="604">
        <f t="shared" si="3"/>
        <v>0</v>
      </c>
      <c r="Q9" s="607"/>
      <c r="R9" s="608"/>
      <c r="S9" s="123"/>
      <c r="T9" s="124"/>
      <c r="U9" s="124"/>
      <c r="V9" s="124"/>
      <c r="W9" s="124"/>
      <c r="X9" s="124"/>
      <c r="Y9" s="124"/>
      <c r="Z9" s="124"/>
      <c r="AA9" s="124"/>
    </row>
    <row r="10" spans="1:27" s="21" customFormat="1" ht="15" customHeight="1">
      <c r="A10" s="88" t="s">
        <v>48</v>
      </c>
      <c r="B10" s="436">
        <f>B7-B5</f>
        <v>-12273.8213</v>
      </c>
      <c r="C10" s="436">
        <f>C7-C5</f>
        <v>-14729.864966666672</v>
      </c>
      <c r="D10" s="436">
        <f>D7-D5</f>
        <v>-25275.83890000001</v>
      </c>
      <c r="E10" s="510"/>
      <c r="F10" s="436">
        <f t="shared" ref="F10:H10" si="4">F7-F5</f>
        <v>-4171.3739999999998</v>
      </c>
      <c r="G10" s="436">
        <f t="shared" si="4"/>
        <v>-15589.685666666672</v>
      </c>
      <c r="H10" s="436">
        <f t="shared" si="4"/>
        <v>-27727.09810000001</v>
      </c>
      <c r="I10" s="510"/>
      <c r="J10" s="436">
        <f t="shared" ref="J10:P10" si="5">J7-J5</f>
        <v>-16800</v>
      </c>
      <c r="K10" s="436">
        <f t="shared" si="5"/>
        <v>-35466.666666666672</v>
      </c>
      <c r="L10" s="436">
        <f t="shared" si="5"/>
        <v>-56000.000000000007</v>
      </c>
      <c r="M10" s="510"/>
      <c r="N10" s="436">
        <f t="shared" si="5"/>
        <v>-16800</v>
      </c>
      <c r="O10" s="436">
        <f t="shared" si="5"/>
        <v>-35466.666666666672</v>
      </c>
      <c r="P10" s="436">
        <f t="shared" si="5"/>
        <v>-56000.000000000007</v>
      </c>
      <c r="Q10" s="510"/>
      <c r="R10" s="453"/>
      <c r="S10" s="125"/>
      <c r="T10" s="126"/>
      <c r="U10" s="126"/>
      <c r="V10" s="126"/>
      <c r="W10" s="126"/>
      <c r="X10" s="126"/>
      <c r="Y10" s="126"/>
      <c r="Z10" s="126"/>
      <c r="AA10" s="126"/>
    </row>
    <row r="11" spans="1:27" ht="15" customHeight="1">
      <c r="A11" s="90" t="s">
        <v>181</v>
      </c>
      <c r="B11" s="181">
        <f>SUMIF(I!A:A,$A$1,I!G:G)</f>
        <v>29044.179700000001</v>
      </c>
      <c r="C11" s="180">
        <f>SUMIF(II!A:A,$A$1,II!G:G)</f>
        <v>60277.550799999997</v>
      </c>
      <c r="D11" s="180">
        <f>SUMIF(III!A:A,$A$1,III!G:G)</f>
        <v>41778.878900000003</v>
      </c>
      <c r="E11" s="624">
        <f>SUM(B11:D11)</f>
        <v>131100.60940000002</v>
      </c>
      <c r="F11" s="180">
        <f>SUMIF(IV!A:A,$A$1,IV!G:G)</f>
        <v>53329.839800000002</v>
      </c>
      <c r="G11" s="180">
        <f>SUMIF(V!A:A,$A$1,V!G:G)</f>
        <v>42500.449200000003</v>
      </c>
      <c r="H11" s="180">
        <f>SUMIF(VI!A:A,$A$1,VI!G:G)</f>
        <v>27933.529299999998</v>
      </c>
      <c r="I11" s="625">
        <f>SUM(F11:H11)</f>
        <v>123763.8183</v>
      </c>
      <c r="J11" s="180">
        <f>SUMIF(VII!A:A,$A$1,VII!G:G)</f>
        <v>0</v>
      </c>
      <c r="K11" s="180">
        <f>SUMIF(VIII!A:A,$A$1,VIII!G:G)</f>
        <v>0</v>
      </c>
      <c r="L11" s="180">
        <f>SUMIF(IX!A:A,$A$1,IX!G:G)</f>
        <v>0</v>
      </c>
      <c r="M11" s="625">
        <f>SUM(J11:L11)</f>
        <v>0</v>
      </c>
      <c r="N11" s="180">
        <f>SUMIF(X!A:A,$A$1,X!G:G)</f>
        <v>0</v>
      </c>
      <c r="O11" s="180">
        <f>SUMIF(XI!A:A,$A$1,XI!G:G)</f>
        <v>0</v>
      </c>
      <c r="P11" s="180">
        <f>SUMIF(XII!A:A,$A$1,XII!G:G)</f>
        <v>0</v>
      </c>
      <c r="Q11" s="626">
        <f>SUM(N11:P11)</f>
        <v>0</v>
      </c>
      <c r="R11" s="450">
        <f>SUM(B11:E11)</f>
        <v>262201.21880000003</v>
      </c>
      <c r="S11" s="122"/>
      <c r="T11" s="121"/>
      <c r="U11" s="121"/>
      <c r="V11" s="121"/>
      <c r="W11" s="121"/>
      <c r="X11" s="121"/>
      <c r="Y11" s="121"/>
    </row>
    <row r="12" spans="1:27" customFormat="1">
      <c r="A12" s="88" t="s">
        <v>182</v>
      </c>
      <c r="B12" s="436">
        <f>B11</f>
        <v>29044.179700000001</v>
      </c>
      <c r="C12" s="436">
        <f>C11+B12</f>
        <v>89321.730500000005</v>
      </c>
      <c r="D12" s="436">
        <f>D11+C12</f>
        <v>131100.60940000002</v>
      </c>
      <c r="E12" s="510"/>
      <c r="F12" s="436">
        <f>F11</f>
        <v>53329.839800000002</v>
      </c>
      <c r="G12" s="436">
        <f>G11+F12</f>
        <v>95830.289000000004</v>
      </c>
      <c r="H12" s="436">
        <f>H11+G12</f>
        <v>123763.8183</v>
      </c>
      <c r="I12" s="510"/>
      <c r="J12" s="436">
        <f>J11</f>
        <v>0</v>
      </c>
      <c r="K12" s="436">
        <f>K11+J12</f>
        <v>0</v>
      </c>
      <c r="L12" s="436">
        <f>L11+K12</f>
        <v>0</v>
      </c>
      <c r="M12" s="510"/>
      <c r="N12" s="436">
        <f>N11</f>
        <v>0</v>
      </c>
      <c r="O12" s="436">
        <f>O11+N12</f>
        <v>0</v>
      </c>
      <c r="P12" s="436">
        <f>P11+O12</f>
        <v>0</v>
      </c>
      <c r="Q12" s="510"/>
      <c r="R12" s="451"/>
      <c r="S12" s="127"/>
      <c r="T12" s="127"/>
      <c r="U12" s="127"/>
      <c r="V12" s="127"/>
      <c r="W12" s="127"/>
      <c r="X12" s="127"/>
      <c r="Y12" s="127"/>
      <c r="Z12" s="127"/>
      <c r="AA12" s="127"/>
    </row>
    <row r="13" spans="1:27" ht="15" customHeight="1">
      <c r="A13" s="95" t="s">
        <v>193</v>
      </c>
      <c r="B13" s="71">
        <f t="shared" ref="B13:D14" si="6">B6/B11</f>
        <v>0.1558377184947661</v>
      </c>
      <c r="C13" s="71">
        <f t="shared" si="6"/>
        <v>0.26893300714534008</v>
      </c>
      <c r="D13" s="71">
        <f t="shared" si="6"/>
        <v>0.23905283394284663</v>
      </c>
      <c r="E13" s="512"/>
      <c r="F13" s="71">
        <f t="shared" ref="F13:H14" si="7">F6/F11</f>
        <v>0.23680224893531368</v>
      </c>
      <c r="G13" s="71">
        <f t="shared" si="7"/>
        <v>0.17054772682261435</v>
      </c>
      <c r="H13" s="71">
        <f t="shared" si="7"/>
        <v>0.30056785198281405</v>
      </c>
      <c r="I13" s="512"/>
      <c r="J13" s="71" t="e">
        <f t="shared" ref="J13:L14" si="8">J6/J11</f>
        <v>#DIV/0!</v>
      </c>
      <c r="K13" s="71" t="e">
        <f t="shared" si="8"/>
        <v>#DIV/0!</v>
      </c>
      <c r="L13" s="71" t="e">
        <f t="shared" si="8"/>
        <v>#DIV/0!</v>
      </c>
      <c r="M13" s="512"/>
      <c r="N13" s="71" t="e">
        <f t="shared" ref="N13:P14" si="9">N6/N11</f>
        <v>#DIV/0!</v>
      </c>
      <c r="O13" s="71" t="e">
        <f t="shared" si="9"/>
        <v>#DIV/0!</v>
      </c>
      <c r="P13" s="71" t="e">
        <f t="shared" si="9"/>
        <v>#DIV/0!</v>
      </c>
      <c r="Q13" s="512"/>
      <c r="R13" s="454"/>
      <c r="S13" s="122"/>
      <c r="T13" s="121"/>
      <c r="U13" s="121"/>
      <c r="V13" s="121"/>
      <c r="W13" s="121"/>
      <c r="X13" s="121"/>
      <c r="Y13" s="121"/>
    </row>
    <row r="14" spans="1:27" ht="15" customHeight="1">
      <c r="A14" s="95" t="s">
        <v>194</v>
      </c>
      <c r="B14" s="71">
        <f t="shared" si="6"/>
        <v>0.1558377184947661</v>
      </c>
      <c r="C14" s="71">
        <f t="shared" si="6"/>
        <v>0.23215853056048885</v>
      </c>
      <c r="D14" s="71">
        <f t="shared" si="6"/>
        <v>0.23435559331580036</v>
      </c>
      <c r="E14" s="512"/>
      <c r="F14" s="71">
        <f t="shared" si="7"/>
        <v>0.23680224893531368</v>
      </c>
      <c r="G14" s="71">
        <f t="shared" si="7"/>
        <v>0.20741856470870079</v>
      </c>
      <c r="H14" s="71">
        <f t="shared" si="7"/>
        <v>0.22844238557239147</v>
      </c>
      <c r="I14" s="512"/>
      <c r="J14" s="71" t="e">
        <f t="shared" si="8"/>
        <v>#DIV/0!</v>
      </c>
      <c r="K14" s="71" t="e">
        <f t="shared" si="8"/>
        <v>#DIV/0!</v>
      </c>
      <c r="L14" s="71" t="e">
        <f t="shared" si="8"/>
        <v>#DIV/0!</v>
      </c>
      <c r="M14" s="512"/>
      <c r="N14" s="71" t="e">
        <f t="shared" si="9"/>
        <v>#DIV/0!</v>
      </c>
      <c r="O14" s="71" t="e">
        <f t="shared" si="9"/>
        <v>#DIV/0!</v>
      </c>
      <c r="P14" s="71" t="e">
        <f t="shared" si="9"/>
        <v>#DIV/0!</v>
      </c>
      <c r="Q14" s="512"/>
      <c r="R14" s="454"/>
      <c r="S14" s="122"/>
      <c r="T14" s="121"/>
      <c r="U14" s="121"/>
      <c r="V14" s="121"/>
      <c r="W14" s="121"/>
      <c r="X14" s="121"/>
      <c r="Y14" s="121"/>
    </row>
    <row r="16" spans="1:27" ht="15.6">
      <c r="A16" s="146" t="s">
        <v>26</v>
      </c>
      <c r="B16" s="146"/>
      <c r="C16" s="147"/>
      <c r="D16" s="147"/>
      <c r="E16" s="162"/>
      <c r="F16" s="147"/>
      <c r="G16" s="375"/>
      <c r="H16" s="147"/>
      <c r="I16" s="162"/>
      <c r="J16" s="147"/>
      <c r="K16" s="147"/>
      <c r="L16" s="147"/>
      <c r="M16" s="162"/>
      <c r="N16" s="147"/>
      <c r="O16" s="147"/>
      <c r="P16" s="147"/>
      <c r="Q16" s="162"/>
    </row>
    <row r="17" spans="1:17">
      <c r="A17" s="56" t="s">
        <v>195</v>
      </c>
      <c r="B17" s="100">
        <v>1400</v>
      </c>
      <c r="C17" s="100">
        <v>1400</v>
      </c>
      <c r="D17" s="100">
        <v>1400</v>
      </c>
      <c r="E17" s="163"/>
      <c r="F17" s="100">
        <v>1400</v>
      </c>
      <c r="G17" s="100">
        <v>1400</v>
      </c>
      <c r="H17" s="100">
        <v>1400</v>
      </c>
      <c r="I17" s="163"/>
      <c r="J17" s="100">
        <v>1400</v>
      </c>
      <c r="K17" s="100">
        <v>1400</v>
      </c>
      <c r="L17" s="100">
        <v>1400</v>
      </c>
      <c r="M17" s="163"/>
      <c r="N17" s="100">
        <v>1400</v>
      </c>
      <c r="O17" s="100">
        <v>1400</v>
      </c>
      <c r="P17" s="100">
        <v>1400</v>
      </c>
      <c r="Q17" s="163"/>
    </row>
    <row r="18" spans="1:17">
      <c r="A18" s="17"/>
      <c r="B18" s="59"/>
      <c r="C18" s="59"/>
      <c r="D18" s="59"/>
      <c r="E18" s="164"/>
      <c r="F18" s="59"/>
      <c r="G18" s="59"/>
      <c r="H18" s="59"/>
      <c r="I18" s="164"/>
      <c r="J18" s="59"/>
      <c r="K18" s="59"/>
      <c r="L18" s="59"/>
      <c r="M18" s="164"/>
      <c r="N18" s="59"/>
      <c r="O18" s="59"/>
      <c r="P18" s="59"/>
      <c r="Q18" s="164"/>
    </row>
    <row r="19" spans="1:17">
      <c r="A19" s="34"/>
      <c r="B19" s="61"/>
      <c r="C19" s="61"/>
      <c r="D19" s="61"/>
      <c r="E19" s="165"/>
      <c r="F19" s="61"/>
      <c r="G19" s="61"/>
      <c r="H19" s="61"/>
      <c r="I19" s="165"/>
      <c r="J19" s="61"/>
      <c r="K19" s="61"/>
      <c r="L19" s="61"/>
      <c r="M19" s="165"/>
      <c r="N19" s="61"/>
      <c r="O19" s="61"/>
      <c r="P19" s="61"/>
      <c r="Q19" s="165"/>
    </row>
    <row r="20" spans="1:17">
      <c r="A20" s="34"/>
      <c r="B20" s="105"/>
      <c r="C20" s="105"/>
      <c r="D20" s="105"/>
      <c r="E20" s="166"/>
      <c r="F20" s="105"/>
      <c r="G20" s="105"/>
      <c r="H20" s="105"/>
      <c r="I20" s="166"/>
      <c r="J20" s="105"/>
      <c r="K20" s="105"/>
      <c r="L20" s="105"/>
      <c r="M20" s="166"/>
      <c r="N20" s="105"/>
      <c r="O20" s="105"/>
      <c r="P20" s="105"/>
      <c r="Q20" s="166"/>
    </row>
    <row r="21" spans="1:17">
      <c r="A21" s="33"/>
      <c r="B21" s="65"/>
      <c r="C21" s="65"/>
      <c r="D21" s="65"/>
      <c r="E21" s="167"/>
      <c r="F21" s="65"/>
      <c r="G21" s="65"/>
      <c r="H21" s="65"/>
      <c r="I21" s="167"/>
      <c r="J21" s="65"/>
      <c r="K21" s="65"/>
      <c r="L21" s="65"/>
      <c r="M21" s="167"/>
      <c r="N21" s="65"/>
      <c r="O21" s="65"/>
      <c r="P21" s="65"/>
      <c r="Q21" s="167"/>
    </row>
    <row r="22" spans="1:17">
      <c r="A22" s="34"/>
      <c r="B22" s="61"/>
      <c r="C22" s="61"/>
      <c r="D22" s="61"/>
      <c r="E22" s="165"/>
      <c r="F22" s="61"/>
      <c r="G22" s="61"/>
      <c r="H22" s="61"/>
      <c r="I22" s="165"/>
      <c r="J22" s="61"/>
      <c r="K22" s="61"/>
      <c r="L22" s="61"/>
      <c r="M22" s="165"/>
      <c r="N22" s="61"/>
      <c r="O22" s="61"/>
      <c r="P22" s="61"/>
      <c r="Q22" s="165"/>
    </row>
    <row r="23" spans="1:17">
      <c r="A23" s="45"/>
      <c r="B23" s="60"/>
      <c r="C23" s="60"/>
      <c r="D23" s="60"/>
      <c r="E23" s="168"/>
      <c r="F23" s="60"/>
      <c r="G23" s="60"/>
      <c r="H23" s="60"/>
      <c r="I23" s="168"/>
      <c r="J23" s="60"/>
      <c r="K23" s="60"/>
      <c r="L23" s="60"/>
      <c r="M23" s="168"/>
      <c r="N23" s="60"/>
      <c r="O23" s="60"/>
      <c r="P23" s="60"/>
      <c r="Q23" s="168"/>
    </row>
    <row r="24" spans="1:17">
      <c r="A24" s="17"/>
      <c r="B24" s="59"/>
      <c r="C24" s="59"/>
      <c r="D24" s="59"/>
      <c r="E24" s="164"/>
      <c r="F24" s="59"/>
      <c r="G24" s="59"/>
      <c r="H24" s="59"/>
      <c r="I24" s="164"/>
      <c r="J24" s="59"/>
      <c r="K24" s="59"/>
      <c r="L24" s="59"/>
      <c r="M24" s="164"/>
      <c r="N24" s="59"/>
      <c r="O24" s="59"/>
      <c r="P24" s="59"/>
      <c r="Q24" s="164"/>
    </row>
    <row r="25" spans="1:17">
      <c r="A25" s="40"/>
      <c r="B25" s="109"/>
      <c r="C25" s="109"/>
      <c r="D25" s="109"/>
      <c r="E25" s="169"/>
      <c r="F25" s="109"/>
      <c r="G25" s="109"/>
      <c r="H25" s="109"/>
      <c r="I25" s="169"/>
      <c r="J25" s="109"/>
      <c r="K25" s="109"/>
      <c r="L25" s="109"/>
      <c r="M25" s="169"/>
      <c r="N25" s="109"/>
      <c r="O25" s="109"/>
      <c r="P25" s="109"/>
      <c r="Q25" s="169"/>
    </row>
    <row r="26" spans="1:17">
      <c r="A26" s="34"/>
      <c r="B26" s="61"/>
      <c r="C26" s="61"/>
      <c r="D26" s="61"/>
      <c r="E26" s="165"/>
      <c r="F26" s="61"/>
      <c r="G26" s="61"/>
      <c r="H26" s="61"/>
      <c r="I26" s="165"/>
      <c r="J26" s="61"/>
      <c r="K26" s="61"/>
      <c r="L26" s="61"/>
      <c r="M26" s="165"/>
      <c r="N26" s="61"/>
      <c r="O26" s="61"/>
      <c r="P26" s="61"/>
      <c r="Q26" s="165"/>
    </row>
    <row r="27" spans="1:17">
      <c r="A27" s="50"/>
      <c r="B27" s="60"/>
      <c r="C27" s="60"/>
      <c r="D27" s="60"/>
      <c r="E27" s="168"/>
      <c r="F27" s="60"/>
      <c r="G27" s="60"/>
      <c r="H27" s="60"/>
      <c r="I27" s="168"/>
      <c r="J27" s="60"/>
      <c r="K27" s="60"/>
      <c r="L27" s="60"/>
      <c r="M27" s="168"/>
      <c r="N27" s="60"/>
      <c r="O27" s="60"/>
      <c r="P27" s="60"/>
      <c r="Q27" s="168"/>
    </row>
    <row r="28" spans="1:17">
      <c r="A28" s="43"/>
      <c r="B28" s="63"/>
      <c r="C28" s="63"/>
      <c r="D28" s="63"/>
      <c r="E28" s="170"/>
      <c r="F28" s="63"/>
      <c r="G28" s="63"/>
      <c r="H28" s="63"/>
      <c r="I28" s="170"/>
      <c r="J28" s="63"/>
      <c r="K28" s="63"/>
      <c r="L28" s="63"/>
      <c r="M28" s="170"/>
      <c r="N28" s="63"/>
      <c r="O28" s="63"/>
      <c r="P28" s="63"/>
      <c r="Q28" s="170"/>
    </row>
    <row r="29" spans="1:17">
      <c r="A29" s="102" t="s">
        <v>115</v>
      </c>
      <c r="B29" s="764">
        <f>D5</f>
        <v>56000.000000000007</v>
      </c>
      <c r="C29" s="765"/>
      <c r="D29" s="765"/>
      <c r="E29" s="769"/>
      <c r="F29" s="764">
        <f>H5</f>
        <v>56000.000000000007</v>
      </c>
      <c r="G29" s="765"/>
      <c r="H29" s="765"/>
      <c r="I29" s="769"/>
      <c r="J29" s="764">
        <f>L5</f>
        <v>56000.000000000007</v>
      </c>
      <c r="K29" s="765"/>
      <c r="L29" s="765"/>
      <c r="M29" s="769"/>
      <c r="N29" s="764">
        <f>P5</f>
        <v>56000.000000000007</v>
      </c>
      <c r="O29" s="765"/>
      <c r="P29" s="765"/>
      <c r="Q29" s="769"/>
    </row>
    <row r="30" spans="1:17">
      <c r="A30" s="104" t="s">
        <v>69</v>
      </c>
      <c r="B30" s="764">
        <f>D7</f>
        <v>30724.161099999998</v>
      </c>
      <c r="C30" s="765"/>
      <c r="D30" s="765"/>
      <c r="E30" s="769"/>
      <c r="F30" s="764">
        <f>H7</f>
        <v>28272.901899999997</v>
      </c>
      <c r="G30" s="765"/>
      <c r="H30" s="765"/>
      <c r="I30" s="769"/>
      <c r="J30" s="764">
        <f>L7</f>
        <v>0</v>
      </c>
      <c r="K30" s="765"/>
      <c r="L30" s="765"/>
      <c r="M30" s="769"/>
      <c r="N30" s="764">
        <f>P7</f>
        <v>0</v>
      </c>
      <c r="O30" s="765"/>
      <c r="P30" s="765"/>
      <c r="Q30" s="769"/>
    </row>
    <row r="31" spans="1:17">
      <c r="A31" s="104" t="s">
        <v>68</v>
      </c>
      <c r="B31" s="772">
        <f>B30/B29</f>
        <v>0.5486457339285713</v>
      </c>
      <c r="C31" s="773"/>
      <c r="D31" s="773"/>
      <c r="E31" s="769"/>
      <c r="F31" s="772">
        <f>F30/F29</f>
        <v>0.50487324821428559</v>
      </c>
      <c r="G31" s="773"/>
      <c r="H31" s="773"/>
      <c r="I31" s="769"/>
      <c r="J31" s="772">
        <f>J30/J29</f>
        <v>0</v>
      </c>
      <c r="K31" s="773"/>
      <c r="L31" s="773"/>
      <c r="M31" s="769"/>
      <c r="N31" s="772">
        <f>N30/N29</f>
        <v>0</v>
      </c>
      <c r="O31" s="773"/>
      <c r="P31" s="773"/>
      <c r="Q31" s="769"/>
    </row>
    <row r="32" spans="1:17">
      <c r="A32" s="104" t="s">
        <v>65</v>
      </c>
      <c r="B32" s="776">
        <f>D17</f>
        <v>1400</v>
      </c>
      <c r="C32" s="777"/>
      <c r="D32" s="777"/>
      <c r="E32" s="769"/>
      <c r="F32" s="776">
        <f>H17</f>
        <v>1400</v>
      </c>
      <c r="G32" s="777"/>
      <c r="H32" s="777"/>
      <c r="I32" s="769"/>
      <c r="J32" s="776">
        <f>L17</f>
        <v>1400</v>
      </c>
      <c r="K32" s="777"/>
      <c r="L32" s="777"/>
      <c r="M32" s="769"/>
      <c r="N32" s="776">
        <f>P17</f>
        <v>1400</v>
      </c>
      <c r="O32" s="777"/>
      <c r="P32" s="777"/>
      <c r="Q32" s="769"/>
    </row>
    <row r="33" spans="1:17">
      <c r="A33" s="67" t="s">
        <v>66</v>
      </c>
      <c r="B33" s="776">
        <f>IF(B31&lt;100%,0,IF(B31&lt;105%,0.5,IF(B31&lt;110%,0.7,1)))</f>
        <v>0</v>
      </c>
      <c r="C33" s="777"/>
      <c r="D33" s="777"/>
      <c r="E33" s="769"/>
      <c r="F33" s="776">
        <f>IF(F31&lt;100%,0,IF(F31&lt;105%,0.5,IF(F31&lt;110%,0.7,1)))</f>
        <v>0</v>
      </c>
      <c r="G33" s="777"/>
      <c r="H33" s="777"/>
      <c r="I33" s="769"/>
      <c r="J33" s="776">
        <f>IF(J31&lt;100%,0,IF(J31&lt;105%,0.5,IF(J31&lt;110%,0.7,1)))</f>
        <v>0</v>
      </c>
      <c r="K33" s="777"/>
      <c r="L33" s="777"/>
      <c r="M33" s="769"/>
      <c r="N33" s="776">
        <f>IF(N31&lt;100%,0,IF(N31&lt;105%,0.5,IF(N31&lt;110%,0.7,1)))</f>
        <v>0</v>
      </c>
      <c r="O33" s="777"/>
      <c r="P33" s="777"/>
      <c r="Q33" s="769"/>
    </row>
    <row r="34" spans="1:17">
      <c r="A34" s="522" t="s">
        <v>196</v>
      </c>
      <c r="B34" s="774">
        <f>B33*B32</f>
        <v>0</v>
      </c>
      <c r="C34" s="775"/>
      <c r="D34" s="775"/>
      <c r="E34" s="769"/>
      <c r="F34" s="774">
        <f>F33*F32</f>
        <v>0</v>
      </c>
      <c r="G34" s="775"/>
      <c r="H34" s="775"/>
      <c r="I34" s="769"/>
      <c r="J34" s="774">
        <f>J33*J32</f>
        <v>0</v>
      </c>
      <c r="K34" s="775"/>
      <c r="L34" s="775"/>
      <c r="M34" s="769"/>
      <c r="N34" s="774">
        <f>N33*N32</f>
        <v>0</v>
      </c>
      <c r="O34" s="775"/>
      <c r="P34" s="775"/>
      <c r="Q34" s="769"/>
    </row>
  </sheetData>
  <mergeCells count="25">
    <mergeCell ref="B34:E34"/>
    <mergeCell ref="F34:I34"/>
    <mergeCell ref="J34:M34"/>
    <mergeCell ref="N34:Q34"/>
    <mergeCell ref="B32:E32"/>
    <mergeCell ref="F32:I32"/>
    <mergeCell ref="J32:M32"/>
    <mergeCell ref="N32:Q32"/>
    <mergeCell ref="B33:E33"/>
    <mergeCell ref="F33:I33"/>
    <mergeCell ref="J33:M33"/>
    <mergeCell ref="N33:Q33"/>
    <mergeCell ref="B30:E30"/>
    <mergeCell ref="F30:I30"/>
    <mergeCell ref="J30:M30"/>
    <mergeCell ref="N30:Q30"/>
    <mergeCell ref="B31:E31"/>
    <mergeCell ref="F31:I31"/>
    <mergeCell ref="J31:M31"/>
    <mergeCell ref="N31:Q31"/>
    <mergeCell ref="B1:E1"/>
    <mergeCell ref="B29:E29"/>
    <mergeCell ref="F29:I29"/>
    <mergeCell ref="J29:M29"/>
    <mergeCell ref="N29:Q29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8"/>
  <sheetViews>
    <sheetView zoomScale="80" zoomScaleNormal="80" workbookViewId="0">
      <selection activeCell="H9" sqref="H9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19" customWidth="1"/>
    <col min="6" max="8" width="11.6640625" style="11" customWidth="1"/>
    <col min="9" max="9" width="11.44140625" style="119" customWidth="1"/>
    <col min="10" max="10" width="12.77734375" style="11" customWidth="1"/>
    <col min="11" max="11" width="12.21875" style="11" customWidth="1"/>
    <col min="12" max="12" width="12.88671875" style="11" customWidth="1"/>
    <col min="13" max="13" width="12.109375" style="119" customWidth="1"/>
    <col min="14" max="16" width="11.6640625" style="11" customWidth="1"/>
    <col min="17" max="17" width="11.44140625" style="119" customWidth="1"/>
    <col min="18" max="18" width="13.44140625" style="119" customWidth="1"/>
    <col min="19" max="19" width="9.109375" style="11"/>
    <col min="20" max="16384" width="9.109375" style="16"/>
  </cols>
  <sheetData>
    <row r="1" spans="1:19" s="11" customFormat="1" ht="15" customHeight="1">
      <c r="A1" s="29" t="s">
        <v>75</v>
      </c>
      <c r="B1" s="778" t="s">
        <v>121</v>
      </c>
      <c r="C1" s="768"/>
      <c r="D1" s="768"/>
      <c r="E1" s="768"/>
      <c r="F1" s="778" t="s">
        <v>136</v>
      </c>
      <c r="G1" s="768"/>
      <c r="H1" s="768"/>
      <c r="I1" s="768"/>
      <c r="J1" s="778" t="s">
        <v>143</v>
      </c>
      <c r="K1" s="768"/>
      <c r="L1" s="768"/>
      <c r="M1" s="768"/>
      <c r="N1" s="778" t="s">
        <v>147</v>
      </c>
      <c r="O1" s="768"/>
      <c r="P1" s="768"/>
      <c r="Q1" s="768"/>
      <c r="R1" s="150"/>
    </row>
    <row r="2" spans="1:19" s="11" customFormat="1" ht="15" customHeight="1">
      <c r="A2" s="84" t="s">
        <v>0</v>
      </c>
      <c r="B2" s="437" t="s">
        <v>1</v>
      </c>
      <c r="C2" s="437" t="s">
        <v>2</v>
      </c>
      <c r="D2" s="437" t="s">
        <v>3</v>
      </c>
      <c r="E2" s="156" t="s">
        <v>110</v>
      </c>
      <c r="F2" s="437" t="s">
        <v>4</v>
      </c>
      <c r="G2" s="437" t="s">
        <v>5</v>
      </c>
      <c r="H2" s="437" t="s">
        <v>6</v>
      </c>
      <c r="I2" s="156" t="s">
        <v>116</v>
      </c>
      <c r="J2" s="437" t="s">
        <v>7</v>
      </c>
      <c r="K2" s="437" t="s">
        <v>8</v>
      </c>
      <c r="L2" s="437" t="s">
        <v>9</v>
      </c>
      <c r="M2" s="156" t="s">
        <v>117</v>
      </c>
      <c r="N2" s="437" t="s">
        <v>10</v>
      </c>
      <c r="O2" s="437" t="s">
        <v>11</v>
      </c>
      <c r="P2" s="437" t="s">
        <v>12</v>
      </c>
      <c r="Q2" s="156" t="s">
        <v>118</v>
      </c>
      <c r="R2" s="85" t="s">
        <v>119</v>
      </c>
    </row>
    <row r="3" spans="1:19" s="11" customFormat="1" ht="15" customHeight="1">
      <c r="A3" s="85"/>
      <c r="B3" s="437"/>
      <c r="C3" s="437"/>
      <c r="D3" s="437"/>
      <c r="E3" s="758"/>
      <c r="F3" s="437"/>
      <c r="G3" s="437"/>
      <c r="H3" s="437"/>
      <c r="I3" s="756">
        <v>422422.12</v>
      </c>
      <c r="J3" s="437"/>
      <c r="K3" s="437"/>
      <c r="L3" s="437"/>
      <c r="M3" s="758"/>
      <c r="N3" s="437"/>
      <c r="O3" s="437"/>
      <c r="P3" s="437"/>
      <c r="Q3" s="758"/>
      <c r="R3" s="631">
        <f>Target!O5</f>
        <v>999001.36000000022</v>
      </c>
    </row>
    <row r="4" spans="1:19" s="11" customFormat="1" ht="15" customHeight="1">
      <c r="A4" s="86" t="s">
        <v>216</v>
      </c>
      <c r="B4" s="435">
        <f>Target!C5-3800</f>
        <v>64000</v>
      </c>
      <c r="C4" s="435">
        <f>Target!D5</f>
        <v>75333.333333333328</v>
      </c>
      <c r="D4" s="435">
        <f>Target!E5+3800</f>
        <v>86666.666666666672</v>
      </c>
      <c r="E4" s="170">
        <f>SUM(B4:D4)</f>
        <v>226000</v>
      </c>
      <c r="F4" s="435">
        <f>Target!F5</f>
        <v>77300.135999999999</v>
      </c>
      <c r="G4" s="435">
        <f>Target!G5</f>
        <v>85889.04</v>
      </c>
      <c r="H4" s="435">
        <f>Target!H5</f>
        <v>94477.944000000003</v>
      </c>
      <c r="I4" s="170">
        <f>SUM(F4:H4)</f>
        <v>257667.12</v>
      </c>
      <c r="J4" s="435">
        <f>Target!I5</f>
        <v>77300.135999999999</v>
      </c>
      <c r="K4" s="435">
        <f>Target!J5</f>
        <v>85889.04</v>
      </c>
      <c r="L4" s="435">
        <f>Target!K5</f>
        <v>94477.944000000003</v>
      </c>
      <c r="M4" s="170">
        <f>SUM(J4:L4)</f>
        <v>257667.12</v>
      </c>
      <c r="N4" s="435">
        <f>Target!L5</f>
        <v>77300.135999999999</v>
      </c>
      <c r="O4" s="435">
        <f>Target!M5</f>
        <v>85889.04</v>
      </c>
      <c r="P4" s="435">
        <f>Target!N5</f>
        <v>94477.944000000003</v>
      </c>
      <c r="Q4" s="170">
        <f>SUM(N4:P4)</f>
        <v>257667.12</v>
      </c>
      <c r="R4" s="473">
        <f>E4+I4+M4+Q4</f>
        <v>999001.36</v>
      </c>
    </row>
    <row r="5" spans="1:19" s="11" customFormat="1" ht="15" customHeight="1">
      <c r="A5" s="88" t="s">
        <v>217</v>
      </c>
      <c r="B5" s="436">
        <f>B4</f>
        <v>64000</v>
      </c>
      <c r="C5" s="436">
        <f>C4+B5</f>
        <v>139333.33333333331</v>
      </c>
      <c r="D5" s="436">
        <f>D4+C5</f>
        <v>226000</v>
      </c>
      <c r="E5" s="447"/>
      <c r="F5" s="436">
        <f>F4</f>
        <v>77300.135999999999</v>
      </c>
      <c r="G5" s="443">
        <f>G4+F5</f>
        <v>163189.17599999998</v>
      </c>
      <c r="H5" s="443">
        <f>H4+G5</f>
        <v>257667.12</v>
      </c>
      <c r="I5" s="447"/>
      <c r="J5" s="443">
        <f>J4</f>
        <v>77300.135999999999</v>
      </c>
      <c r="K5" s="443">
        <f>K4+J5</f>
        <v>163189.17599999998</v>
      </c>
      <c r="L5" s="443">
        <f>L4+K5</f>
        <v>257667.12</v>
      </c>
      <c r="M5" s="447"/>
      <c r="N5" s="443">
        <f>N4</f>
        <v>77300.135999999999</v>
      </c>
      <c r="O5" s="443">
        <f>O4+N5</f>
        <v>163189.17599999998</v>
      </c>
      <c r="P5" s="443">
        <f>P4+O5</f>
        <v>257667.12</v>
      </c>
      <c r="Q5" s="447"/>
      <c r="R5" s="301">
        <f>R6/R4</f>
        <v>0.50090909515878945</v>
      </c>
    </row>
    <row r="6" spans="1:19" s="27" customFormat="1" ht="15" customHeight="1">
      <c r="A6" s="90" t="s">
        <v>37</v>
      </c>
      <c r="B6" s="181">
        <f>SUMIF(I!A:A,$A$1,I!I:I)</f>
        <v>60864.179700000001</v>
      </c>
      <c r="C6" s="180">
        <f>SUMIF(II!A:A,$A$1,II!I:I)</f>
        <v>94166.218800000002</v>
      </c>
      <c r="D6" s="180">
        <f>SUMIF(III!A:A,$A$1,III!I:I)</f>
        <v>85052.257800000007</v>
      </c>
      <c r="E6" s="470">
        <f>SUM(B6:D6)</f>
        <v>240082.65630000003</v>
      </c>
      <c r="F6" s="180">
        <f>SUMIF(IV!A:A,$A$1,IV!I:I)</f>
        <v>86700.593800000002</v>
      </c>
      <c r="G6" s="180">
        <f>SUMIF(V!A:A,$A$1,V!I:I)</f>
        <v>80725.25</v>
      </c>
      <c r="H6" s="180">
        <f>SUMIF(VI!A:A,$A$1,VI!I:I)</f>
        <v>92900.367199999993</v>
      </c>
      <c r="I6" s="470">
        <f>SUM(F6:H6)</f>
        <v>260326.21100000001</v>
      </c>
      <c r="J6" s="180">
        <f>SUMIF(VII!A:A,$A$1,VII!I:I)</f>
        <v>0</v>
      </c>
      <c r="K6" s="180">
        <f>SUMIF(VIII!A:A,$A$1,VIII!I:I)</f>
        <v>0</v>
      </c>
      <c r="L6" s="180">
        <f>SUMIF(IX!A:A,$A$1,IX!I:I)</f>
        <v>0</v>
      </c>
      <c r="M6" s="470">
        <f>SUM(J6:L6)</f>
        <v>0</v>
      </c>
      <c r="N6" s="180">
        <f>SUMIF(X!A:A,$A$1,X!I:I)</f>
        <v>0</v>
      </c>
      <c r="O6" s="180">
        <f>SUMIF(XI!A:A,$A$1,XI!I:I)</f>
        <v>0</v>
      </c>
      <c r="P6" s="180">
        <f>SUMIF(XII!A:A,$A$1,XII!I:I)</f>
        <v>0</v>
      </c>
      <c r="Q6" s="470">
        <f>SUM(N6:P6)</f>
        <v>0</v>
      </c>
      <c r="R6" s="87">
        <f>E6+I6+M6+Q6</f>
        <v>500408.86730000004</v>
      </c>
      <c r="S6" s="11"/>
    </row>
    <row r="7" spans="1:19" s="11" customFormat="1" ht="15" customHeight="1">
      <c r="A7" s="88" t="s">
        <v>218</v>
      </c>
      <c r="B7" s="436">
        <f>B6</f>
        <v>60864.179700000001</v>
      </c>
      <c r="C7" s="436">
        <f>C6+B7</f>
        <v>155030.39850000001</v>
      </c>
      <c r="D7" s="436">
        <f>D6+C7</f>
        <v>240082.65630000003</v>
      </c>
      <c r="E7" s="470"/>
      <c r="F7" s="436">
        <f>F6</f>
        <v>86700.593800000002</v>
      </c>
      <c r="G7" s="439">
        <f>G6+F7</f>
        <v>167425.8438</v>
      </c>
      <c r="H7" s="439">
        <f>H6+G7</f>
        <v>260326.21100000001</v>
      </c>
      <c r="I7" s="447">
        <f>SUM(E6,I6)</f>
        <v>500408.86730000004</v>
      </c>
      <c r="J7" s="439">
        <f>J6</f>
        <v>0</v>
      </c>
      <c r="K7" s="439">
        <f>K6+J7</f>
        <v>0</v>
      </c>
      <c r="L7" s="439">
        <f>L6+K7</f>
        <v>0</v>
      </c>
      <c r="M7" s="493">
        <f>SUM(E6,I6,M6)/3</f>
        <v>166802.95576666668</v>
      </c>
      <c r="N7" s="439">
        <f>N6</f>
        <v>0</v>
      </c>
      <c r="O7" s="439">
        <f>O6+N7</f>
        <v>0</v>
      </c>
      <c r="P7" s="439">
        <f>P6+O7</f>
        <v>0</v>
      </c>
      <c r="Q7" s="470"/>
      <c r="R7" s="629">
        <f>R3-R4</f>
        <v>0</v>
      </c>
    </row>
    <row r="8" spans="1:19" s="11" customFormat="1" ht="15" customHeight="1">
      <c r="A8" s="88" t="s">
        <v>219</v>
      </c>
      <c r="B8" s="69">
        <f t="shared" ref="B8:D9" si="0">B6/B4</f>
        <v>0.95100280781250002</v>
      </c>
      <c r="C8" s="69">
        <f t="shared" si="0"/>
        <v>1.2499940548672568</v>
      </c>
      <c r="D8" s="69">
        <f t="shared" si="0"/>
        <v>0.98137220538461545</v>
      </c>
      <c r="E8" s="470"/>
      <c r="F8" s="69">
        <f t="shared" ref="F8:H9" si="1">F6/F4</f>
        <v>1.1216098481379129</v>
      </c>
      <c r="G8" s="75">
        <f t="shared" si="1"/>
        <v>0.93987835933432262</v>
      </c>
      <c r="H8" s="75">
        <f t="shared" si="1"/>
        <v>0.98330216838757611</v>
      </c>
      <c r="I8" s="159">
        <f>I7/I3-1</f>
        <v>0.18461804817418193</v>
      </c>
      <c r="J8" s="75">
        <f t="shared" ref="J8:L9" si="2">J6/J4</f>
        <v>0</v>
      </c>
      <c r="K8" s="75">
        <f t="shared" si="2"/>
        <v>0</v>
      </c>
      <c r="L8" s="75">
        <f t="shared" si="2"/>
        <v>0</v>
      </c>
      <c r="M8" s="471"/>
      <c r="N8" s="75">
        <f t="shared" ref="N8:P9" si="3">N6/N4</f>
        <v>0</v>
      </c>
      <c r="O8" s="75">
        <f t="shared" si="3"/>
        <v>0</v>
      </c>
      <c r="P8" s="75">
        <f t="shared" si="3"/>
        <v>0</v>
      </c>
      <c r="Q8" s="470">
        <f>Q4*1.05</f>
        <v>270550.47600000002</v>
      </c>
      <c r="R8" s="634">
        <f>R7*100/R3</f>
        <v>0</v>
      </c>
    </row>
    <row r="9" spans="1:19" s="25" customFormat="1" ht="15" customHeight="1">
      <c r="A9" s="88" t="s">
        <v>220</v>
      </c>
      <c r="B9" s="604">
        <f t="shared" si="0"/>
        <v>0.95100280781250002</v>
      </c>
      <c r="C9" s="604">
        <f t="shared" si="0"/>
        <v>1.1126583624401916</v>
      </c>
      <c r="D9" s="604">
        <f t="shared" si="0"/>
        <v>1.0623126384955754</v>
      </c>
      <c r="E9" s="605"/>
      <c r="F9" s="604">
        <f t="shared" si="1"/>
        <v>1.1216098481379129</v>
      </c>
      <c r="G9" s="604">
        <f t="shared" si="1"/>
        <v>1.0259616961360234</v>
      </c>
      <c r="H9" s="604">
        <f t="shared" si="1"/>
        <v>1.010319869294926</v>
      </c>
      <c r="I9" s="762">
        <f>I7-I3</f>
        <v>77986.747300000046</v>
      </c>
      <c r="J9" s="604">
        <f t="shared" si="2"/>
        <v>0</v>
      </c>
      <c r="K9" s="604">
        <f t="shared" si="2"/>
        <v>0</v>
      </c>
      <c r="L9" s="604">
        <f t="shared" si="2"/>
        <v>0</v>
      </c>
      <c r="M9" s="605"/>
      <c r="N9" s="604">
        <f t="shared" si="3"/>
        <v>0</v>
      </c>
      <c r="O9" s="604">
        <f t="shared" si="3"/>
        <v>0</v>
      </c>
      <c r="P9" s="604">
        <f t="shared" si="3"/>
        <v>0</v>
      </c>
      <c r="Q9" s="609">
        <f>Q8-Q6</f>
        <v>270550.47600000002</v>
      </c>
      <c r="R9" s="606"/>
      <c r="S9" s="13"/>
    </row>
    <row r="10" spans="1:19" s="38" customFormat="1" ht="15" customHeight="1">
      <c r="A10" s="88" t="s">
        <v>221</v>
      </c>
      <c r="B10" s="436">
        <f>B7-B5</f>
        <v>-3135.8202999999994</v>
      </c>
      <c r="C10" s="438">
        <f>C7-C5</f>
        <v>15697.065166666696</v>
      </c>
      <c r="D10" s="438">
        <f>D7-D5</f>
        <v>14082.656300000031</v>
      </c>
      <c r="E10" s="470"/>
      <c r="F10" s="436">
        <f>F7-F5</f>
        <v>9400.4578000000038</v>
      </c>
      <c r="G10" s="438">
        <f>G7-G5</f>
        <v>4236.6678000000247</v>
      </c>
      <c r="H10" s="438">
        <f>H7-H5</f>
        <v>2659.0910000000149</v>
      </c>
      <c r="I10" s="470"/>
      <c r="J10" s="438">
        <f>J7-J5</f>
        <v>-77300.135999999999</v>
      </c>
      <c r="K10" s="438">
        <f>K7-K5</f>
        <v>-163189.17599999998</v>
      </c>
      <c r="L10" s="438">
        <f>L7-L5</f>
        <v>-257667.12</v>
      </c>
      <c r="M10" s="470"/>
      <c r="N10" s="438">
        <f>N7-N5</f>
        <v>-77300.135999999999</v>
      </c>
      <c r="O10" s="438">
        <f>O7-O5</f>
        <v>-163189.17599999998</v>
      </c>
      <c r="P10" s="438">
        <f>P7-P5</f>
        <v>-257667.12</v>
      </c>
      <c r="Q10" s="470"/>
      <c r="R10" s="89"/>
    </row>
    <row r="11" spans="1:19" s="11" customFormat="1" ht="15" customHeight="1">
      <c r="A11" s="90" t="s">
        <v>181</v>
      </c>
      <c r="B11" s="181">
        <f>SUMIF(I!A:A,$A$1,I!G:G)</f>
        <v>143664.9063</v>
      </c>
      <c r="C11" s="180">
        <f>SUMIF(II!A:A,$A$1,II!G:G)</f>
        <v>234312.8438</v>
      </c>
      <c r="D11" s="180">
        <f>SUMIF(III!A:A,$A$1,III!G:G)</f>
        <v>177334.0938</v>
      </c>
      <c r="E11" s="470">
        <f>SUM(B11:D11)</f>
        <v>555311.84389999998</v>
      </c>
      <c r="F11" s="180">
        <f>SUMIF(IV!A:A,$A$1,IV!G:G)</f>
        <v>204078.89060000001</v>
      </c>
      <c r="G11" s="180">
        <f>SUMIF(V!A:A,$A$1,V!G:G)</f>
        <v>185067.4063</v>
      </c>
      <c r="H11" s="180">
        <f>SUMIF(VI!A:A,$A$1,VI!G:G)</f>
        <v>189107.29689999999</v>
      </c>
      <c r="I11" s="470">
        <f>SUM(F11:H11)</f>
        <v>578253.59380000003</v>
      </c>
      <c r="J11" s="180">
        <f>SUMIF(VII!A:A,$A$1,VII!G:G)</f>
        <v>0</v>
      </c>
      <c r="K11" s="180">
        <f>SUMIF(VIII!A:A,$A$1,VIII!G:G)</f>
        <v>0</v>
      </c>
      <c r="L11" s="180">
        <f>SUMIF(IX!A:A,$A$1,IX!G:G)</f>
        <v>0</v>
      </c>
      <c r="M11" s="470">
        <f>SUM(J11:L11)</f>
        <v>0</v>
      </c>
      <c r="N11" s="180">
        <f>SUMIF(X!A:A,$A$1,X!G:G)</f>
        <v>0</v>
      </c>
      <c r="O11" s="180">
        <f>SUMIF(XI!A:A,$A$1,XI!G:G)</f>
        <v>0</v>
      </c>
      <c r="P11" s="180">
        <f>SUMIF(XII!A:A,$A$1,XII!G:G)</f>
        <v>0</v>
      </c>
      <c r="Q11" s="470">
        <f>SUM(N11:P11)</f>
        <v>0</v>
      </c>
      <c r="R11" s="87">
        <f>E11+I11+M11+Q11</f>
        <v>1133565.4377000001</v>
      </c>
      <c r="S11" s="13"/>
    </row>
    <row r="12" spans="1:19" customFormat="1" ht="13.2">
      <c r="A12" s="88" t="s">
        <v>182</v>
      </c>
      <c r="B12" s="436">
        <f>B11</f>
        <v>143664.9063</v>
      </c>
      <c r="C12" s="439">
        <f>C11+B12</f>
        <v>377977.7501</v>
      </c>
      <c r="D12" s="439">
        <f>D11+C12</f>
        <v>555311.84389999998</v>
      </c>
      <c r="E12" s="447"/>
      <c r="F12" s="436">
        <f>F11</f>
        <v>204078.89060000001</v>
      </c>
      <c r="G12" s="439">
        <f>G11+F12</f>
        <v>389146.29690000002</v>
      </c>
      <c r="H12" s="439">
        <f>H11+G12</f>
        <v>578253.59380000003</v>
      </c>
      <c r="I12" s="447"/>
      <c r="J12" s="439">
        <f>J11</f>
        <v>0</v>
      </c>
      <c r="K12" s="439">
        <f>K11+J12</f>
        <v>0</v>
      </c>
      <c r="L12" s="439">
        <f>L11+K12</f>
        <v>0</v>
      </c>
      <c r="M12" s="447"/>
      <c r="N12" s="439">
        <f>N11</f>
        <v>0</v>
      </c>
      <c r="O12" s="439">
        <f>O11+N12</f>
        <v>0</v>
      </c>
      <c r="P12" s="439">
        <f>P11+O12</f>
        <v>0</v>
      </c>
      <c r="Q12" s="447"/>
      <c r="R12" s="89"/>
    </row>
    <row r="13" spans="1:19" s="27" customFormat="1" ht="15" customHeight="1">
      <c r="A13" s="95" t="s">
        <v>193</v>
      </c>
      <c r="B13" s="71">
        <f t="shared" ref="B13:D14" si="4">B6/B11</f>
        <v>0.42365377368432527</v>
      </c>
      <c r="C13" s="440">
        <f t="shared" si="4"/>
        <v>0.40188244601894929</v>
      </c>
      <c r="D13" s="440">
        <f t="shared" si="4"/>
        <v>0.4796159383537561</v>
      </c>
      <c r="E13" s="160"/>
      <c r="F13" s="71">
        <f t="shared" ref="F13:H14" si="5">F6/F11</f>
        <v>0.42483861777715876</v>
      </c>
      <c r="G13" s="440">
        <f t="shared" si="5"/>
        <v>0.43619377184733366</v>
      </c>
      <c r="H13" s="440">
        <f t="shared" si="5"/>
        <v>0.49125744338213317</v>
      </c>
      <c r="I13" s="160"/>
      <c r="J13" s="440" t="e">
        <f t="shared" ref="J13:L14" si="6">J6/J11</f>
        <v>#DIV/0!</v>
      </c>
      <c r="K13" s="440" t="e">
        <f t="shared" si="6"/>
        <v>#DIV/0!</v>
      </c>
      <c r="L13" s="440" t="e">
        <f t="shared" si="6"/>
        <v>#DIV/0!</v>
      </c>
      <c r="M13" s="160"/>
      <c r="N13" s="440" t="e">
        <f t="shared" ref="N13:P14" si="7">N6/N11</f>
        <v>#DIV/0!</v>
      </c>
      <c r="O13" s="440" t="e">
        <f t="shared" si="7"/>
        <v>#DIV/0!</v>
      </c>
      <c r="P13" s="440" t="e">
        <f t="shared" si="7"/>
        <v>#DIV/0!</v>
      </c>
      <c r="Q13" s="160"/>
      <c r="R13" s="96"/>
      <c r="S13" s="13"/>
    </row>
    <row r="14" spans="1:19" s="11" customFormat="1" ht="15" customHeight="1">
      <c r="A14" s="95" t="s">
        <v>194</v>
      </c>
      <c r="B14" s="71">
        <f t="shared" si="4"/>
        <v>0.42365377368432527</v>
      </c>
      <c r="C14" s="440">
        <f t="shared" si="4"/>
        <v>0.41015747212364817</v>
      </c>
      <c r="D14" s="440">
        <f t="shared" si="4"/>
        <v>0.43233843999054677</v>
      </c>
      <c r="E14" s="160"/>
      <c r="F14" s="71">
        <f t="shared" si="5"/>
        <v>0.42483861777715876</v>
      </c>
      <c r="G14" s="440">
        <f t="shared" si="5"/>
        <v>0.43023882055088364</v>
      </c>
      <c r="H14" s="440">
        <f t="shared" si="5"/>
        <v>0.45019384884279467</v>
      </c>
      <c r="I14" s="160"/>
      <c r="J14" s="440" t="e">
        <f t="shared" si="6"/>
        <v>#DIV/0!</v>
      </c>
      <c r="K14" s="440" t="e">
        <f t="shared" si="6"/>
        <v>#DIV/0!</v>
      </c>
      <c r="L14" s="440" t="e">
        <f t="shared" si="6"/>
        <v>#DIV/0!</v>
      </c>
      <c r="M14" s="160"/>
      <c r="N14" s="440" t="e">
        <f t="shared" si="7"/>
        <v>#DIV/0!</v>
      </c>
      <c r="O14" s="440" t="e">
        <f t="shared" si="7"/>
        <v>#DIV/0!</v>
      </c>
      <c r="P14" s="440" t="e">
        <f t="shared" si="7"/>
        <v>#DIV/0!</v>
      </c>
      <c r="Q14" s="160"/>
      <c r="R14" s="96"/>
    </row>
    <row r="15" spans="1:19" s="54" customFormat="1" ht="15" customHeight="1">
      <c r="A15" s="98"/>
      <c r="B15" s="79"/>
      <c r="C15" s="79"/>
      <c r="D15" s="79"/>
      <c r="E15" s="161"/>
      <c r="F15" s="79"/>
      <c r="G15" s="79"/>
      <c r="H15" s="79"/>
      <c r="I15" s="161"/>
      <c r="J15" s="79"/>
      <c r="K15" s="79"/>
      <c r="L15" s="79"/>
      <c r="M15" s="161"/>
      <c r="N15" s="79"/>
      <c r="O15" s="79"/>
      <c r="P15" s="79"/>
      <c r="Q15" s="161"/>
      <c r="R15" s="97"/>
      <c r="S15" s="53"/>
    </row>
    <row r="16" spans="1:19" s="11" customFormat="1" ht="15" customHeight="1">
      <c r="A16" s="146" t="s">
        <v>26</v>
      </c>
      <c r="B16" s="742" t="s">
        <v>26</v>
      </c>
      <c r="C16" s="743"/>
      <c r="D16" s="743"/>
      <c r="E16" s="743"/>
      <c r="F16" s="446"/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179"/>
    </row>
    <row r="17" spans="1:19" s="11" customFormat="1" ht="15" customHeight="1">
      <c r="A17" s="56" t="s">
        <v>74</v>
      </c>
      <c r="B17" s="100">
        <f>Target!O33</f>
        <v>6400</v>
      </c>
      <c r="C17" s="100">
        <f>Target!O33</f>
        <v>6400</v>
      </c>
      <c r="D17" s="100">
        <f>Target!O33</f>
        <v>6400</v>
      </c>
      <c r="E17" s="163"/>
      <c r="F17" s="64">
        <f>Target!O42</f>
        <v>6800</v>
      </c>
      <c r="G17" s="64">
        <f>Target!O42</f>
        <v>6800</v>
      </c>
      <c r="H17" s="64">
        <f>Target!O42</f>
        <v>6800</v>
      </c>
      <c r="I17" s="163"/>
      <c r="J17" s="64">
        <f>Target!O52</f>
        <v>6800</v>
      </c>
      <c r="K17" s="64">
        <f>Target!O52</f>
        <v>6800</v>
      </c>
      <c r="L17" s="64">
        <f>Target!O52</f>
        <v>6800</v>
      </c>
      <c r="M17" s="163"/>
      <c r="N17" s="64">
        <f>Target!O61</f>
        <v>6800</v>
      </c>
      <c r="O17" s="64">
        <f>Target!O61</f>
        <v>6800</v>
      </c>
      <c r="P17" s="64">
        <f>Target!O61</f>
        <v>6800</v>
      </c>
      <c r="Q17" s="163"/>
      <c r="R17" s="101"/>
    </row>
    <row r="18" spans="1:19" s="14" customFormat="1" ht="15" customHeight="1">
      <c r="A18" s="715" t="s">
        <v>222</v>
      </c>
      <c r="B18" s="435"/>
      <c r="C18" s="435"/>
      <c r="D18" s="435"/>
      <c r="E18" s="716"/>
      <c r="F18" s="435">
        <f>Target!N40</f>
        <v>7000</v>
      </c>
      <c r="G18" s="435">
        <f>Target!N40</f>
        <v>7000</v>
      </c>
      <c r="H18" s="435">
        <f>Target!N40</f>
        <v>7000</v>
      </c>
      <c r="I18" s="716"/>
      <c r="J18" s="435">
        <f>Target!N50</f>
        <v>7000</v>
      </c>
      <c r="K18" s="435">
        <f>Target!N50</f>
        <v>7000</v>
      </c>
      <c r="L18" s="435">
        <f>Target!N50</f>
        <v>7000</v>
      </c>
      <c r="M18" s="716"/>
      <c r="N18" s="435">
        <f>Target!N59</f>
        <v>7000</v>
      </c>
      <c r="O18" s="435">
        <f>Target!N59</f>
        <v>7000</v>
      </c>
      <c r="P18" s="435">
        <f>Target!N59</f>
        <v>7000</v>
      </c>
      <c r="Q18" s="716"/>
      <c r="R18" s="101"/>
      <c r="S18" s="18"/>
    </row>
    <row r="19" spans="1:19" s="14" customFormat="1" ht="15" customHeight="1">
      <c r="A19" s="715" t="s">
        <v>227</v>
      </c>
      <c r="B19" s="435"/>
      <c r="C19" s="435"/>
      <c r="D19" s="435"/>
      <c r="E19" s="716"/>
      <c r="F19" s="744">
        <f>Target!J42</f>
        <v>0.27936410351130897</v>
      </c>
      <c r="G19" s="744">
        <f>Target!J42</f>
        <v>0.27936410351130897</v>
      </c>
      <c r="H19" s="744">
        <f>Target!J42</f>
        <v>0.27936410351130897</v>
      </c>
      <c r="I19" s="716"/>
      <c r="J19" s="744">
        <f>Target!J52</f>
        <v>0.27936410351130897</v>
      </c>
      <c r="K19" s="744">
        <f>Target!J52</f>
        <v>0.27936410351130897</v>
      </c>
      <c r="L19" s="744">
        <f>Target!J52</f>
        <v>0.27936410351130897</v>
      </c>
      <c r="M19" s="716"/>
      <c r="N19" s="744">
        <f>Target!J61</f>
        <v>0.27936410351130897</v>
      </c>
      <c r="O19" s="744">
        <f>Target!J61</f>
        <v>0.27936410351130897</v>
      </c>
      <c r="P19" s="744">
        <f>Target!J61</f>
        <v>0.27936410351130897</v>
      </c>
      <c r="Q19" s="716"/>
      <c r="R19" s="101"/>
      <c r="S19" s="18"/>
    </row>
    <row r="20" spans="1:19" s="14" customFormat="1" ht="15" customHeight="1">
      <c r="A20" s="727" t="s">
        <v>223</v>
      </c>
      <c r="B20" s="728"/>
      <c r="C20" s="728"/>
      <c r="D20" s="728"/>
      <c r="E20" s="729"/>
      <c r="F20" s="728">
        <f>Target!M42</f>
        <v>7822.1948983166512</v>
      </c>
      <c r="G20" s="728">
        <f>Target!M42</f>
        <v>7822.1948983166512</v>
      </c>
      <c r="H20" s="728">
        <f>Target!M42</f>
        <v>7822.1948983166512</v>
      </c>
      <c r="I20" s="729"/>
      <c r="J20" s="728">
        <f>Target!M52</f>
        <v>7822.1948983166512</v>
      </c>
      <c r="K20" s="728">
        <f>Target!M52</f>
        <v>7822.1948983166512</v>
      </c>
      <c r="L20" s="728">
        <f>Target!M52</f>
        <v>7822.1948983166512</v>
      </c>
      <c r="M20" s="729"/>
      <c r="N20" s="728">
        <f>Target!M61</f>
        <v>7822.1948983166512</v>
      </c>
      <c r="O20" s="728">
        <f>Target!M61</f>
        <v>7822.1948983166512</v>
      </c>
      <c r="P20" s="728">
        <f>Target!M61</f>
        <v>7822.1948983166512</v>
      </c>
      <c r="Q20" s="729"/>
      <c r="R20" s="101"/>
      <c r="S20" s="18"/>
    </row>
    <row r="21" spans="1:19" s="11" customFormat="1" ht="15" customHeight="1">
      <c r="A21" s="17" t="s">
        <v>228</v>
      </c>
      <c r="B21" s="59">
        <f>B5</f>
        <v>64000</v>
      </c>
      <c r="C21" s="59">
        <f>C5</f>
        <v>139333.33333333331</v>
      </c>
      <c r="D21" s="59">
        <f>D5</f>
        <v>226000</v>
      </c>
      <c r="E21" s="164"/>
      <c r="F21" s="59">
        <f>F5</f>
        <v>77300.135999999999</v>
      </c>
      <c r="G21" s="59">
        <f>G5</f>
        <v>163189.17599999998</v>
      </c>
      <c r="H21" s="59">
        <f>H5</f>
        <v>257667.12</v>
      </c>
      <c r="I21" s="164"/>
      <c r="J21" s="59">
        <f>J5</f>
        <v>77300.135999999999</v>
      </c>
      <c r="K21" s="59">
        <f>K5</f>
        <v>163189.17599999998</v>
      </c>
      <c r="L21" s="59">
        <f>L5</f>
        <v>257667.12</v>
      </c>
      <c r="M21" s="164"/>
      <c r="N21" s="59">
        <f>N5</f>
        <v>77300.135999999999</v>
      </c>
      <c r="O21" s="59">
        <f>O5</f>
        <v>163189.17599999998</v>
      </c>
      <c r="P21" s="59">
        <f>P5</f>
        <v>257667.12</v>
      </c>
      <c r="Q21" s="164"/>
      <c r="R21" s="103"/>
    </row>
    <row r="22" spans="1:19" s="11" customFormat="1" ht="15" customHeight="1">
      <c r="A22" s="736" t="s">
        <v>37</v>
      </c>
      <c r="B22" s="739">
        <f>B7</f>
        <v>60864.179700000001</v>
      </c>
      <c r="C22" s="739">
        <f>C7</f>
        <v>155030.39850000001</v>
      </c>
      <c r="D22" s="739">
        <f>D7</f>
        <v>240082.65630000003</v>
      </c>
      <c r="E22" s="740"/>
      <c r="F22" s="739">
        <f>F7</f>
        <v>86700.593800000002</v>
      </c>
      <c r="G22" s="739">
        <f>G7</f>
        <v>167425.8438</v>
      </c>
      <c r="H22" s="739">
        <f>H7</f>
        <v>260326.21100000001</v>
      </c>
      <c r="I22" s="740"/>
      <c r="J22" s="739">
        <f>J7</f>
        <v>0</v>
      </c>
      <c r="K22" s="739">
        <f>K7</f>
        <v>0</v>
      </c>
      <c r="L22" s="739">
        <f>L7</f>
        <v>0</v>
      </c>
      <c r="M22" s="740"/>
      <c r="N22" s="739">
        <f>N7</f>
        <v>0</v>
      </c>
      <c r="O22" s="739">
        <f>O7</f>
        <v>0</v>
      </c>
      <c r="P22" s="739">
        <f>P7</f>
        <v>0</v>
      </c>
      <c r="Q22" s="740"/>
      <c r="R22" s="108"/>
    </row>
    <row r="23" spans="1:19" s="11" customFormat="1" ht="15" customHeight="1">
      <c r="A23" s="17" t="s">
        <v>220</v>
      </c>
      <c r="B23" s="732">
        <f>B22/B21</f>
        <v>0.95100280781250002</v>
      </c>
      <c r="C23" s="732">
        <f>C22/C21</f>
        <v>1.1126583624401916</v>
      </c>
      <c r="D23" s="732">
        <f>D22/D21</f>
        <v>1.0623126384955754</v>
      </c>
      <c r="E23" s="733"/>
      <c r="F23" s="732">
        <f>F22/F21</f>
        <v>1.1216098481379129</v>
      </c>
      <c r="G23" s="732">
        <f>G22/G21</f>
        <v>1.0259616961360234</v>
      </c>
      <c r="H23" s="732">
        <f>H22/H21</f>
        <v>1.010319869294926</v>
      </c>
      <c r="I23" s="733"/>
      <c r="J23" s="732">
        <f>J22/J21</f>
        <v>0</v>
      </c>
      <c r="K23" s="732">
        <f>K22/K21</f>
        <v>0</v>
      </c>
      <c r="L23" s="732">
        <f>L22/L21</f>
        <v>0</v>
      </c>
      <c r="M23" s="733"/>
      <c r="N23" s="732">
        <f>N22/N21</f>
        <v>0</v>
      </c>
      <c r="O23" s="732">
        <f>O22/O21</f>
        <v>0</v>
      </c>
      <c r="P23" s="732">
        <f>P22/P21</f>
        <v>0</v>
      </c>
      <c r="Q23" s="733"/>
      <c r="R23" s="108"/>
    </row>
    <row r="24" spans="1:19" s="15" customFormat="1" ht="15" customHeight="1">
      <c r="A24" s="734" t="s">
        <v>60</v>
      </c>
      <c r="B24" s="735">
        <f>B17*0.35</f>
        <v>2240</v>
      </c>
      <c r="C24" s="735">
        <f>C17*0.35</f>
        <v>2240</v>
      </c>
      <c r="D24" s="735">
        <f>D17*0.35</f>
        <v>2240</v>
      </c>
      <c r="E24" s="470"/>
      <c r="F24" s="735">
        <f>F20*0.35</f>
        <v>2737.7682144108276</v>
      </c>
      <c r="G24" s="735">
        <f>G20*0.35</f>
        <v>2737.7682144108276</v>
      </c>
      <c r="H24" s="735">
        <f>H20*0.35</f>
        <v>2737.7682144108276</v>
      </c>
      <c r="I24" s="470"/>
      <c r="J24" s="735">
        <f>J20*0.35</f>
        <v>2737.7682144108276</v>
      </c>
      <c r="K24" s="735">
        <f>K20*0.35</f>
        <v>2737.7682144108276</v>
      </c>
      <c r="L24" s="735">
        <f>L20*0.35</f>
        <v>2737.7682144108276</v>
      </c>
      <c r="M24" s="470"/>
      <c r="N24" s="735">
        <f>N20*0.35</f>
        <v>2737.7682144108276</v>
      </c>
      <c r="O24" s="735">
        <f>O20*0.35</f>
        <v>2737.7682144108276</v>
      </c>
      <c r="P24" s="735">
        <f>P20*0.35</f>
        <v>2737.7682144108276</v>
      </c>
      <c r="Q24" s="470"/>
      <c r="R24" s="730"/>
      <c r="S24" s="11"/>
    </row>
    <row r="25" spans="1:19" s="11" customFormat="1" ht="15" customHeight="1">
      <c r="A25" s="17" t="s">
        <v>53</v>
      </c>
      <c r="B25" s="59">
        <f>IF(B23&lt;80%,0,IF(B23&lt;90%,0.5,IF(B23&lt;95%,0.75,1)))</f>
        <v>1</v>
      </c>
      <c r="C25" s="59">
        <f>IF(C23&lt;80%,0,IF(C23&lt;90%,0.5,IF(C23&lt;95%,0.75,1)))</f>
        <v>1</v>
      </c>
      <c r="D25" s="59">
        <f>IF(D23&lt;80%,0,IF(D23&lt;90%,0.5,IF(D23&lt;95%,0.75,1)))</f>
        <v>1</v>
      </c>
      <c r="E25" s="164"/>
      <c r="F25" s="59">
        <f>IF(F23&lt;80%,0,IF(F23&lt;90%,0.5,IF(F23&lt;95%,0.75,1)))</f>
        <v>1</v>
      </c>
      <c r="G25" s="59">
        <f>IF(G23&lt;80%,0,IF(G23&lt;90%,0.5,IF(G23&lt;95%,0.75,1)))</f>
        <v>1</v>
      </c>
      <c r="H25" s="59">
        <f>IF(H23&lt;80%,0,IF(H23&lt;90%,0.5,IF(H23&lt;95%,0.75,1)))</f>
        <v>1</v>
      </c>
      <c r="I25" s="164"/>
      <c r="J25" s="59">
        <f>IF(J23&lt;80%,0,IF(J23&lt;90%,0.5,IF(J23&lt;95%,0.75,1)))</f>
        <v>0</v>
      </c>
      <c r="K25" s="59">
        <f>IF(K23&lt;80%,0,IF(K23&lt;90%,0.5,IF(K23&lt;95%,0.75,1)))</f>
        <v>0</v>
      </c>
      <c r="L25" s="59">
        <f>IF(L23&lt;80%,0,IF(L23&lt;90%,0.5,IF(L23&lt;95%,0.75,1)))</f>
        <v>0</v>
      </c>
      <c r="M25" s="164"/>
      <c r="N25" s="59">
        <f>IF(N23&lt;80%,0,IF(N23&lt;90%,0.5,IF(N23&lt;95%,0.75,1)))</f>
        <v>0</v>
      </c>
      <c r="O25" s="59">
        <f>IF(O23&lt;80%,0,IF(O23&lt;90%,0.5,IF(O23&lt;95%,0.75,1)))</f>
        <v>0</v>
      </c>
      <c r="P25" s="59">
        <f>IF(P23&lt;80%,0,IF(P23&lt;90%,0.5,IF(P23&lt;95%,0.75,1)))</f>
        <v>0</v>
      </c>
      <c r="Q25" s="164"/>
      <c r="R25" s="108"/>
    </row>
    <row r="26" spans="1:19" s="11" customFormat="1" ht="15" customHeight="1">
      <c r="A26" s="45" t="s">
        <v>54</v>
      </c>
      <c r="B26" s="60">
        <f>B25*B24</f>
        <v>2240</v>
      </c>
      <c r="C26" s="60">
        <f>C25*C24</f>
        <v>2240</v>
      </c>
      <c r="D26" s="60">
        <f>D25*D24</f>
        <v>2240</v>
      </c>
      <c r="E26" s="168"/>
      <c r="F26" s="60">
        <f>F25*F24</f>
        <v>2737.7682144108276</v>
      </c>
      <c r="G26" s="60">
        <f>G25*G24</f>
        <v>2737.7682144108276</v>
      </c>
      <c r="H26" s="60">
        <f>H25*H24</f>
        <v>2737.7682144108276</v>
      </c>
      <c r="I26" s="168"/>
      <c r="J26" s="60">
        <f>J25*J24</f>
        <v>0</v>
      </c>
      <c r="K26" s="60">
        <f>K25*K24</f>
        <v>0</v>
      </c>
      <c r="L26" s="60">
        <f>L25*L24</f>
        <v>0</v>
      </c>
      <c r="M26" s="168"/>
      <c r="N26" s="60">
        <f>N25*N24</f>
        <v>0</v>
      </c>
      <c r="O26" s="60">
        <f>O25*O24</f>
        <v>0</v>
      </c>
      <c r="P26" s="60">
        <f>P25*P24</f>
        <v>0</v>
      </c>
      <c r="Q26" s="168"/>
      <c r="R26" s="107"/>
      <c r="S26" s="13"/>
    </row>
    <row r="27" spans="1:19" s="11" customFormat="1" ht="15" customHeight="1">
      <c r="A27" s="17" t="s">
        <v>34</v>
      </c>
      <c r="B27" s="59"/>
      <c r="C27" s="59"/>
      <c r="D27" s="59"/>
      <c r="E27" s="164"/>
      <c r="F27" s="59"/>
      <c r="G27" s="59"/>
      <c r="H27" s="59"/>
      <c r="I27" s="164"/>
      <c r="J27" s="59"/>
      <c r="K27" s="59"/>
      <c r="L27" s="59"/>
      <c r="M27" s="164"/>
      <c r="N27" s="59"/>
      <c r="O27" s="59"/>
      <c r="P27" s="59"/>
      <c r="Q27" s="164"/>
      <c r="R27" s="108"/>
      <c r="S27" s="15"/>
    </row>
    <row r="28" spans="1:19" s="15" customFormat="1" ht="15" customHeight="1">
      <c r="A28" s="734" t="s">
        <v>59</v>
      </c>
      <c r="B28" s="735">
        <f>B17*0.05</f>
        <v>320</v>
      </c>
      <c r="C28" s="735">
        <f>C17*0.05</f>
        <v>320</v>
      </c>
      <c r="D28" s="735">
        <f>D17*0.05</f>
        <v>320</v>
      </c>
      <c r="E28" s="470"/>
      <c r="F28" s="735">
        <f>F18*0.05</f>
        <v>350</v>
      </c>
      <c r="G28" s="735">
        <f>G18*0.05</f>
        <v>350</v>
      </c>
      <c r="H28" s="735">
        <f>H18*0.05</f>
        <v>350</v>
      </c>
      <c r="I28" s="470"/>
      <c r="J28" s="735">
        <f>J18*0.05</f>
        <v>350</v>
      </c>
      <c r="K28" s="735">
        <f>K18*0.05</f>
        <v>350</v>
      </c>
      <c r="L28" s="735">
        <f>L18*0.05</f>
        <v>350</v>
      </c>
      <c r="M28" s="470"/>
      <c r="N28" s="735">
        <f>N18*0.05</f>
        <v>350</v>
      </c>
      <c r="O28" s="735">
        <f>O18*0.05</f>
        <v>350</v>
      </c>
      <c r="P28" s="735">
        <f>P18*0.05</f>
        <v>350</v>
      </c>
      <c r="Q28" s="470"/>
      <c r="R28" s="730"/>
    </row>
    <row r="29" spans="1:19" s="11" customFormat="1" ht="15" customHeight="1">
      <c r="A29" s="17" t="s">
        <v>62</v>
      </c>
      <c r="B29" s="59">
        <v>1</v>
      </c>
      <c r="C29" s="59">
        <v>1</v>
      </c>
      <c r="D29" s="59">
        <v>1</v>
      </c>
      <c r="E29" s="164"/>
      <c r="F29" s="59">
        <v>1</v>
      </c>
      <c r="G29" s="59">
        <v>1</v>
      </c>
      <c r="H29" s="59">
        <v>1</v>
      </c>
      <c r="I29" s="164"/>
      <c r="J29" s="59"/>
      <c r="K29" s="59"/>
      <c r="L29" s="59"/>
      <c r="M29" s="164"/>
      <c r="N29" s="59"/>
      <c r="O29" s="59"/>
      <c r="P29" s="59"/>
      <c r="Q29" s="164"/>
      <c r="R29" s="108"/>
    </row>
    <row r="30" spans="1:19" s="19" customFormat="1" ht="15" customHeight="1">
      <c r="A30" s="50" t="s">
        <v>63</v>
      </c>
      <c r="B30" s="60">
        <f>B29*B28</f>
        <v>320</v>
      </c>
      <c r="C30" s="60">
        <f>C29*C28</f>
        <v>320</v>
      </c>
      <c r="D30" s="60">
        <f>D29*D28</f>
        <v>320</v>
      </c>
      <c r="E30" s="168"/>
      <c r="F30" s="60">
        <f>F29*F28</f>
        <v>350</v>
      </c>
      <c r="G30" s="60">
        <f>G29*G28</f>
        <v>350</v>
      </c>
      <c r="H30" s="60">
        <f>H29*H28</f>
        <v>350</v>
      </c>
      <c r="I30" s="168"/>
      <c r="J30" s="60">
        <f>J29*J28</f>
        <v>0</v>
      </c>
      <c r="K30" s="60">
        <f>K29*K28</f>
        <v>0</v>
      </c>
      <c r="L30" s="60">
        <f>L29*L28</f>
        <v>0</v>
      </c>
      <c r="M30" s="168"/>
      <c r="N30" s="60">
        <f>N29*N28</f>
        <v>0</v>
      </c>
      <c r="O30" s="60">
        <f>O29*O28</f>
        <v>0</v>
      </c>
      <c r="P30" s="60">
        <f>P29*P28</f>
        <v>0</v>
      </c>
      <c r="Q30" s="168"/>
      <c r="R30" s="110"/>
      <c r="S30" s="13"/>
    </row>
    <row r="31" spans="1:19" s="37" customFormat="1" ht="15" customHeight="1">
      <c r="A31" s="43" t="s">
        <v>67</v>
      </c>
      <c r="B31" s="63">
        <f>B26+B30</f>
        <v>2560</v>
      </c>
      <c r="C31" s="63">
        <f>C26+C30</f>
        <v>2560</v>
      </c>
      <c r="D31" s="63">
        <f>D26+D30</f>
        <v>2560</v>
      </c>
      <c r="E31" s="170"/>
      <c r="F31" s="63">
        <f>F26+F30</f>
        <v>3087.7682144108276</v>
      </c>
      <c r="G31" s="63">
        <f>G26+G30</f>
        <v>3087.7682144108276</v>
      </c>
      <c r="H31" s="63">
        <f>H26+H30</f>
        <v>3087.7682144108276</v>
      </c>
      <c r="I31" s="170"/>
      <c r="J31" s="63">
        <f>J26+J30</f>
        <v>0</v>
      </c>
      <c r="K31" s="63">
        <f>K26+K30</f>
        <v>0</v>
      </c>
      <c r="L31" s="63">
        <f>L26+L30</f>
        <v>0</v>
      </c>
      <c r="M31" s="170"/>
      <c r="N31" s="63">
        <f>N26+N30</f>
        <v>0</v>
      </c>
      <c r="O31" s="63">
        <f>O26+O30</f>
        <v>0</v>
      </c>
      <c r="P31" s="63">
        <f>P26+P30</f>
        <v>0</v>
      </c>
      <c r="Q31" s="170"/>
      <c r="R31" s="111"/>
      <c r="S31" s="15"/>
    </row>
    <row r="32" spans="1:19" s="11" customFormat="1" ht="15" customHeight="1">
      <c r="A32" s="102" t="s">
        <v>115</v>
      </c>
      <c r="B32" s="764">
        <f>D5</f>
        <v>226000</v>
      </c>
      <c r="C32" s="765"/>
      <c r="D32" s="765"/>
      <c r="E32" s="766"/>
      <c r="F32" s="764">
        <f>H5</f>
        <v>257667.12</v>
      </c>
      <c r="G32" s="765"/>
      <c r="H32" s="765"/>
      <c r="I32" s="766"/>
      <c r="J32" s="764">
        <f>L5</f>
        <v>257667.12</v>
      </c>
      <c r="K32" s="765"/>
      <c r="L32" s="765"/>
      <c r="M32" s="766"/>
      <c r="N32" s="764">
        <f>P5</f>
        <v>257667.12</v>
      </c>
      <c r="O32" s="765"/>
      <c r="P32" s="765"/>
      <c r="Q32" s="766"/>
      <c r="R32" s="730"/>
    </row>
    <row r="33" spans="1:19" s="11" customFormat="1" ht="15" customHeight="1">
      <c r="A33" s="102" t="s">
        <v>69</v>
      </c>
      <c r="B33" s="764">
        <f>D7</f>
        <v>240082.65630000003</v>
      </c>
      <c r="C33" s="765"/>
      <c r="D33" s="765"/>
      <c r="E33" s="766"/>
      <c r="F33" s="764">
        <f>H7</f>
        <v>260326.21100000001</v>
      </c>
      <c r="G33" s="765"/>
      <c r="H33" s="765"/>
      <c r="I33" s="766"/>
      <c r="J33" s="764">
        <f>L7</f>
        <v>0</v>
      </c>
      <c r="K33" s="765"/>
      <c r="L33" s="765"/>
      <c r="M33" s="766"/>
      <c r="N33" s="764">
        <f>P7</f>
        <v>0</v>
      </c>
      <c r="O33" s="765"/>
      <c r="P33" s="765"/>
      <c r="Q33" s="766"/>
      <c r="R33" s="730"/>
    </row>
    <row r="34" spans="1:19" s="11" customFormat="1" ht="15" customHeight="1">
      <c r="A34" s="102" t="s">
        <v>68</v>
      </c>
      <c r="B34" s="770">
        <f>B33/B32</f>
        <v>1.0623126384955754</v>
      </c>
      <c r="C34" s="771"/>
      <c r="D34" s="771"/>
      <c r="E34" s="766"/>
      <c r="F34" s="770">
        <f>F33/F32</f>
        <v>1.010319869294926</v>
      </c>
      <c r="G34" s="771"/>
      <c r="H34" s="771"/>
      <c r="I34" s="766"/>
      <c r="J34" s="770">
        <f>J33/J32</f>
        <v>0</v>
      </c>
      <c r="K34" s="771"/>
      <c r="L34" s="771"/>
      <c r="M34" s="766"/>
      <c r="N34" s="770">
        <f>N33/N32</f>
        <v>0</v>
      </c>
      <c r="O34" s="771"/>
      <c r="P34" s="771"/>
      <c r="Q34" s="766"/>
      <c r="R34" s="730"/>
    </row>
    <row r="35" spans="1:19" s="11" customFormat="1" ht="15" customHeight="1">
      <c r="A35" s="102" t="s">
        <v>65</v>
      </c>
      <c r="B35" s="764">
        <f>D17</f>
        <v>6400</v>
      </c>
      <c r="C35" s="765"/>
      <c r="D35" s="765"/>
      <c r="E35" s="766"/>
      <c r="F35" s="764">
        <f>H18</f>
        <v>7000</v>
      </c>
      <c r="G35" s="765"/>
      <c r="H35" s="765"/>
      <c r="I35" s="766"/>
      <c r="J35" s="764">
        <f>L18</f>
        <v>7000</v>
      </c>
      <c r="K35" s="765"/>
      <c r="L35" s="765"/>
      <c r="M35" s="766"/>
      <c r="N35" s="764">
        <f>P18</f>
        <v>7000</v>
      </c>
      <c r="O35" s="765"/>
      <c r="P35" s="765"/>
      <c r="Q35" s="766"/>
      <c r="R35" s="730"/>
    </row>
    <row r="36" spans="1:19" s="11" customFormat="1" ht="15" customHeight="1">
      <c r="A36" s="731" t="s">
        <v>66</v>
      </c>
      <c r="B36" s="764">
        <f>IF(B34&lt;100%,0,IF(B34&lt;105%,0.5,IF(B34&lt;110%,0.7,1)))</f>
        <v>0.7</v>
      </c>
      <c r="C36" s="765"/>
      <c r="D36" s="765"/>
      <c r="E36" s="766"/>
      <c r="F36" s="764">
        <f>IF(F34&lt;100%,0,IF(F34&lt;105%,0.5,IF(F34&lt;110%,0.7,1)))</f>
        <v>0.5</v>
      </c>
      <c r="G36" s="765"/>
      <c r="H36" s="765"/>
      <c r="I36" s="766"/>
      <c r="J36" s="764">
        <f>IF(J34&lt;100%,0,IF(J34&lt;105%,0.5,IF(J34&lt;110%,0.7,1)))</f>
        <v>0</v>
      </c>
      <c r="K36" s="765"/>
      <c r="L36" s="765"/>
      <c r="M36" s="766"/>
      <c r="N36" s="764">
        <f>IF(N34&lt;100%,0,IF(N34&lt;105%,0.5,IF(N34&lt;110%,0.7,1)))</f>
        <v>0</v>
      </c>
      <c r="O36" s="765"/>
      <c r="P36" s="765"/>
      <c r="Q36" s="766"/>
      <c r="R36" s="730"/>
    </row>
    <row r="37" spans="1:19" s="11" customFormat="1" ht="15" customHeight="1">
      <c r="A37" s="731" t="s">
        <v>64</v>
      </c>
      <c r="B37" s="764">
        <f>B36*B35</f>
        <v>4480</v>
      </c>
      <c r="C37" s="765"/>
      <c r="D37" s="765"/>
      <c r="E37" s="766"/>
      <c r="F37" s="764">
        <f>F36*F35</f>
        <v>3500</v>
      </c>
      <c r="G37" s="765"/>
      <c r="H37" s="765"/>
      <c r="I37" s="766"/>
      <c r="J37" s="764">
        <f>J36*J35</f>
        <v>0</v>
      </c>
      <c r="K37" s="765"/>
      <c r="L37" s="765"/>
      <c r="M37" s="766"/>
      <c r="N37" s="764">
        <f>N36*N35</f>
        <v>0</v>
      </c>
      <c r="O37" s="765"/>
      <c r="P37" s="765"/>
      <c r="Q37" s="766"/>
      <c r="R37" s="730"/>
    </row>
    <row r="38" spans="1:19" s="11" customFormat="1" ht="15" customHeight="1" thickBot="1">
      <c r="A38" s="48"/>
      <c r="B38" s="49"/>
      <c r="C38" s="49"/>
      <c r="D38" s="49"/>
      <c r="E38" s="116"/>
      <c r="F38" s="49"/>
      <c r="G38" s="49"/>
      <c r="H38" s="49"/>
      <c r="I38" s="116"/>
      <c r="J38" s="49"/>
      <c r="K38" s="49"/>
      <c r="L38" s="49"/>
      <c r="M38" s="116"/>
      <c r="N38" s="49"/>
      <c r="O38" s="49"/>
      <c r="P38" s="49"/>
      <c r="Q38" s="116"/>
      <c r="R38" s="117"/>
    </row>
    <row r="39" spans="1:19" ht="13.5" customHeight="1" thickBot="1">
      <c r="A39" s="280" t="s">
        <v>91</v>
      </c>
      <c r="B39" s="291" t="s">
        <v>1</v>
      </c>
      <c r="C39" s="291" t="s">
        <v>2</v>
      </c>
      <c r="D39" s="291" t="s">
        <v>3</v>
      </c>
      <c r="E39" s="289" t="s">
        <v>93</v>
      </c>
      <c r="F39" s="291" t="s">
        <v>4</v>
      </c>
      <c r="G39" s="291" t="s">
        <v>5</v>
      </c>
      <c r="H39" s="291" t="s">
        <v>6</v>
      </c>
      <c r="I39" s="289" t="s">
        <v>93</v>
      </c>
      <c r="J39" s="291" t="s">
        <v>7</v>
      </c>
      <c r="K39" s="291" t="s">
        <v>8</v>
      </c>
      <c r="L39" s="291" t="s">
        <v>9</v>
      </c>
      <c r="M39" s="289" t="s">
        <v>93</v>
      </c>
      <c r="N39" s="291" t="s">
        <v>92</v>
      </c>
      <c r="O39" s="291" t="s">
        <v>11</v>
      </c>
      <c r="P39" s="291" t="s">
        <v>12</v>
      </c>
      <c r="Q39" s="289" t="s">
        <v>93</v>
      </c>
      <c r="R39" s="289" t="s">
        <v>93</v>
      </c>
    </row>
    <row r="40" spans="1:19" ht="13.5" customHeight="1" thickTop="1">
      <c r="A40" s="281" t="s">
        <v>94</v>
      </c>
      <c r="B40" s="133"/>
      <c r="C40" s="133"/>
      <c r="D40" s="133"/>
      <c r="E40" s="290">
        <f>SUM(B40:D40)</f>
        <v>0</v>
      </c>
      <c r="F40" s="133"/>
      <c r="G40" s="694"/>
      <c r="H40" s="133"/>
      <c r="I40" s="290">
        <f>SUM(F40:H40)</f>
        <v>0</v>
      </c>
      <c r="J40" s="133"/>
      <c r="K40" s="133"/>
      <c r="L40" s="133"/>
      <c r="M40" s="290">
        <f>SUM(J40:L40)</f>
        <v>0</v>
      </c>
      <c r="N40" s="133"/>
      <c r="O40" s="133"/>
      <c r="P40" s="393"/>
      <c r="Q40" s="290">
        <f>SUM(N40:P40)</f>
        <v>0</v>
      </c>
      <c r="R40" s="290">
        <f>I40+M40+Q40+E40</f>
        <v>0</v>
      </c>
      <c r="S40" s="52"/>
    </row>
    <row r="41" spans="1:19" ht="13.5" customHeight="1">
      <c r="A41" s="282" t="s">
        <v>95</v>
      </c>
      <c r="B41" s="134"/>
      <c r="C41" s="134"/>
      <c r="D41" s="134"/>
      <c r="E41" s="174"/>
      <c r="F41" s="134"/>
      <c r="G41" s="693"/>
      <c r="H41" s="134"/>
      <c r="I41" s="174"/>
      <c r="J41" s="134"/>
      <c r="K41" s="134"/>
      <c r="L41" s="134"/>
      <c r="M41" s="174"/>
      <c r="N41" s="134"/>
      <c r="O41" s="134"/>
      <c r="P41" s="390"/>
      <c r="Q41" s="174"/>
      <c r="R41" s="174"/>
      <c r="S41" s="52"/>
    </row>
    <row r="42" spans="1:19" ht="13.5" customHeight="1">
      <c r="A42" s="282" t="s">
        <v>96</v>
      </c>
      <c r="B42" s="134"/>
      <c r="C42" s="134"/>
      <c r="D42" s="134"/>
      <c r="E42" s="174"/>
      <c r="F42" s="134"/>
      <c r="G42" s="693"/>
      <c r="H42" s="134"/>
      <c r="I42" s="174"/>
      <c r="J42" s="134"/>
      <c r="K42" s="134"/>
      <c r="L42" s="134"/>
      <c r="M42" s="174"/>
      <c r="N42" s="134"/>
      <c r="O42" s="134"/>
      <c r="P42" s="390"/>
      <c r="Q42" s="174"/>
      <c r="R42" s="174"/>
      <c r="S42" s="52"/>
    </row>
    <row r="43" spans="1:19" ht="13.5" customHeight="1">
      <c r="A43" s="282" t="s">
        <v>125</v>
      </c>
      <c r="B43" s="134"/>
      <c r="C43" s="134"/>
      <c r="D43" s="134"/>
      <c r="E43" s="174"/>
      <c r="F43" s="134"/>
      <c r="G43" s="693"/>
      <c r="H43" s="134"/>
      <c r="I43" s="174"/>
      <c r="J43" s="134"/>
      <c r="K43" s="134"/>
      <c r="L43" s="134"/>
      <c r="M43" s="174"/>
      <c r="N43" s="134"/>
      <c r="O43" s="134"/>
      <c r="P43" s="390"/>
      <c r="Q43" s="174"/>
      <c r="R43" s="174"/>
      <c r="S43" s="52"/>
    </row>
    <row r="44" spans="1:19" ht="13.5" customHeight="1">
      <c r="A44" s="282" t="s">
        <v>97</v>
      </c>
      <c r="B44" s="333"/>
      <c r="C44" s="333"/>
      <c r="D44" s="333"/>
      <c r="E44" s="175"/>
      <c r="F44" s="333"/>
      <c r="G44" s="701"/>
      <c r="H44" s="333"/>
      <c r="I44" s="175"/>
      <c r="J44" s="333"/>
      <c r="K44" s="333"/>
      <c r="L44" s="333"/>
      <c r="M44" s="175"/>
      <c r="N44" s="333"/>
      <c r="O44" s="333"/>
      <c r="P44" s="399"/>
      <c r="Q44" s="175"/>
      <c r="R44" s="175"/>
      <c r="S44" s="52"/>
    </row>
    <row r="45" spans="1:19" ht="13.5" customHeight="1" thickBot="1">
      <c r="A45" s="283" t="s">
        <v>98</v>
      </c>
      <c r="B45" s="135"/>
      <c r="C45" s="135"/>
      <c r="D45" s="135"/>
      <c r="E45" s="290">
        <f t="shared" ref="E45:E46" si="8">SUM(B45:D45)</f>
        <v>0</v>
      </c>
      <c r="F45" s="135"/>
      <c r="G45" s="695"/>
      <c r="H45" s="135"/>
      <c r="I45" s="290">
        <f t="shared" ref="I45:I46" si="9">SUM(F45:H45)</f>
        <v>0</v>
      </c>
      <c r="J45" s="135"/>
      <c r="K45" s="135"/>
      <c r="L45" s="135"/>
      <c r="M45" s="290">
        <f t="shared" ref="M45:M46" si="10">SUM(J45:L45)</f>
        <v>0</v>
      </c>
      <c r="N45" s="135"/>
      <c r="O45" s="135"/>
      <c r="P45" s="394"/>
      <c r="Q45" s="290">
        <f t="shared" ref="Q45:Q46" si="11">SUM(N45:P45)</f>
        <v>0</v>
      </c>
      <c r="R45" s="290">
        <f>I45+M45+Q45+E45</f>
        <v>0</v>
      </c>
      <c r="S45" s="52"/>
    </row>
    <row r="46" spans="1:19" ht="13.5" customHeight="1" thickTop="1">
      <c r="A46" s="284" t="s">
        <v>126</v>
      </c>
      <c r="B46" s="136"/>
      <c r="C46" s="136"/>
      <c r="D46" s="136"/>
      <c r="E46" s="290">
        <f t="shared" si="8"/>
        <v>0</v>
      </c>
      <c r="F46" s="136"/>
      <c r="G46" s="696"/>
      <c r="H46" s="136"/>
      <c r="I46" s="290">
        <f t="shared" si="9"/>
        <v>0</v>
      </c>
      <c r="J46" s="136"/>
      <c r="K46" s="136"/>
      <c r="L46" s="136"/>
      <c r="M46" s="290">
        <f t="shared" si="10"/>
        <v>0</v>
      </c>
      <c r="N46" s="136"/>
      <c r="O46" s="136"/>
      <c r="P46" s="395"/>
      <c r="Q46" s="290">
        <f t="shared" si="11"/>
        <v>0</v>
      </c>
      <c r="R46" s="290">
        <f>I46+M46+Q46+E46</f>
        <v>0</v>
      </c>
      <c r="S46" s="52"/>
    </row>
    <row r="47" spans="1:19" ht="13.5" customHeight="1">
      <c r="A47" s="282" t="s">
        <v>99</v>
      </c>
      <c r="B47" s="134"/>
      <c r="C47" s="134"/>
      <c r="D47" s="134"/>
      <c r="E47" s="176"/>
      <c r="F47" s="134"/>
      <c r="G47" s="693"/>
      <c r="H47" s="134"/>
      <c r="I47" s="176"/>
      <c r="J47" s="134"/>
      <c r="K47" s="134"/>
      <c r="L47" s="134"/>
      <c r="M47" s="176"/>
      <c r="N47" s="134"/>
      <c r="O47" s="134"/>
      <c r="P47" s="390"/>
      <c r="Q47" s="176"/>
      <c r="R47" s="176"/>
      <c r="S47" s="52"/>
    </row>
    <row r="48" spans="1:19" ht="13.5" customHeight="1">
      <c r="A48" s="282" t="s">
        <v>100</v>
      </c>
      <c r="B48" s="134"/>
      <c r="C48" s="134"/>
      <c r="D48" s="134"/>
      <c r="E48" s="290">
        <f t="shared" ref="E48:E52" si="12">SUM(B48:D48)</f>
        <v>0</v>
      </c>
      <c r="F48" s="134"/>
      <c r="G48" s="693"/>
      <c r="H48" s="134"/>
      <c r="I48" s="290">
        <f t="shared" ref="I48:I52" si="13">SUM(F48:H48)</f>
        <v>0</v>
      </c>
      <c r="J48" s="134"/>
      <c r="K48" s="134"/>
      <c r="L48" s="134"/>
      <c r="M48" s="290">
        <f t="shared" ref="M48:M52" si="14">SUM(J48:L48)</f>
        <v>0</v>
      </c>
      <c r="N48" s="134"/>
      <c r="O48" s="134"/>
      <c r="P48" s="390"/>
      <c r="Q48" s="290">
        <f t="shared" ref="Q48:Q52" si="15">SUM(N48:P48)</f>
        <v>0</v>
      </c>
      <c r="R48" s="290">
        <f>I48+M48+Q48+E48</f>
        <v>0</v>
      </c>
      <c r="S48" s="52"/>
    </row>
    <row r="49" spans="1:19" ht="13.5" customHeight="1" thickBot="1">
      <c r="A49" s="285" t="s">
        <v>101</v>
      </c>
      <c r="B49" s="137"/>
      <c r="C49" s="137"/>
      <c r="D49" s="137"/>
      <c r="E49" s="290">
        <f t="shared" si="12"/>
        <v>0</v>
      </c>
      <c r="F49" s="137"/>
      <c r="G49" s="697"/>
      <c r="H49" s="137"/>
      <c r="I49" s="290">
        <f t="shared" si="13"/>
        <v>0</v>
      </c>
      <c r="J49" s="137"/>
      <c r="K49" s="137"/>
      <c r="L49" s="137"/>
      <c r="M49" s="290">
        <f t="shared" si="14"/>
        <v>0</v>
      </c>
      <c r="N49" s="137"/>
      <c r="O49" s="137"/>
      <c r="P49" s="396"/>
      <c r="Q49" s="290">
        <f t="shared" si="15"/>
        <v>0</v>
      </c>
      <c r="R49" s="290">
        <f>I49+M49+Q49+E49</f>
        <v>0</v>
      </c>
      <c r="S49" s="52"/>
    </row>
    <row r="50" spans="1:19" ht="13.5" customHeight="1" thickTop="1">
      <c r="A50" s="281" t="s">
        <v>173</v>
      </c>
      <c r="B50" s="133"/>
      <c r="C50" s="133"/>
      <c r="D50" s="133"/>
      <c r="E50" s="290">
        <f t="shared" si="12"/>
        <v>0</v>
      </c>
      <c r="F50" s="133"/>
      <c r="G50" s="694"/>
      <c r="H50" s="133"/>
      <c r="I50" s="290">
        <f t="shared" si="13"/>
        <v>0</v>
      </c>
      <c r="J50" s="133"/>
      <c r="K50" s="133"/>
      <c r="L50" s="133"/>
      <c r="M50" s="290">
        <f t="shared" si="14"/>
        <v>0</v>
      </c>
      <c r="N50" s="133"/>
      <c r="O50" s="133"/>
      <c r="P50" s="393"/>
      <c r="Q50" s="290">
        <f t="shared" si="15"/>
        <v>0</v>
      </c>
      <c r="R50" s="290">
        <f>I50+M50+Q50+E50</f>
        <v>0</v>
      </c>
      <c r="S50" s="52"/>
    </row>
    <row r="51" spans="1:19" ht="13.5" customHeight="1" thickBot="1">
      <c r="A51" s="283" t="s">
        <v>102</v>
      </c>
      <c r="B51" s="135"/>
      <c r="C51" s="135"/>
      <c r="D51" s="135"/>
      <c r="E51" s="290">
        <f t="shared" si="12"/>
        <v>0</v>
      </c>
      <c r="F51" s="135"/>
      <c r="G51" s="695"/>
      <c r="H51" s="135"/>
      <c r="I51" s="290">
        <f t="shared" si="13"/>
        <v>0</v>
      </c>
      <c r="J51" s="135"/>
      <c r="K51" s="135"/>
      <c r="L51" s="135"/>
      <c r="M51" s="290">
        <f t="shared" si="14"/>
        <v>0</v>
      </c>
      <c r="N51" s="135"/>
      <c r="O51" s="135"/>
      <c r="P51" s="394"/>
      <c r="Q51" s="290">
        <f t="shared" si="15"/>
        <v>0</v>
      </c>
      <c r="R51" s="290">
        <f>I51+M51+Q51+E51</f>
        <v>0</v>
      </c>
      <c r="S51" s="52"/>
    </row>
    <row r="52" spans="1:19" ht="13.5" customHeight="1" thickTop="1" thickBot="1">
      <c r="A52" s="283" t="s">
        <v>103</v>
      </c>
      <c r="B52" s="135"/>
      <c r="C52" s="135"/>
      <c r="D52" s="135"/>
      <c r="E52" s="290">
        <f t="shared" si="12"/>
        <v>0</v>
      </c>
      <c r="F52" s="135"/>
      <c r="G52" s="695"/>
      <c r="H52" s="135"/>
      <c r="I52" s="290">
        <f t="shared" si="13"/>
        <v>0</v>
      </c>
      <c r="J52" s="135"/>
      <c r="K52" s="135"/>
      <c r="L52" s="135"/>
      <c r="M52" s="290">
        <f t="shared" si="14"/>
        <v>0</v>
      </c>
      <c r="N52" s="135"/>
      <c r="O52" s="135"/>
      <c r="P52" s="394"/>
      <c r="Q52" s="290">
        <f t="shared" si="15"/>
        <v>0</v>
      </c>
      <c r="R52" s="290">
        <f>I52+M52+Q52+E52</f>
        <v>0</v>
      </c>
      <c r="S52" s="52"/>
    </row>
    <row r="53" spans="1:19" ht="13.5" customHeight="1" thickTop="1">
      <c r="A53" s="286" t="s">
        <v>104</v>
      </c>
      <c r="B53" s="139"/>
      <c r="C53" s="139"/>
      <c r="D53" s="139"/>
      <c r="E53" s="132"/>
      <c r="F53" s="139"/>
      <c r="G53" s="698"/>
      <c r="H53" s="139"/>
      <c r="I53" s="132"/>
      <c r="J53" s="139"/>
      <c r="K53" s="139"/>
      <c r="L53" s="172"/>
      <c r="M53" s="132"/>
      <c r="N53" s="139"/>
      <c r="O53" s="139"/>
      <c r="P53" s="397"/>
      <c r="Q53" s="132"/>
      <c r="R53" s="132"/>
      <c r="S53" s="52"/>
    </row>
    <row r="54" spans="1:19" ht="13.5" customHeight="1">
      <c r="A54" s="287" t="s">
        <v>105</v>
      </c>
      <c r="B54" s="140"/>
      <c r="C54" s="140"/>
      <c r="D54" s="140"/>
      <c r="E54" s="290">
        <f t="shared" ref="E54:E56" si="16">SUM(B54:D54)</f>
        <v>0</v>
      </c>
      <c r="F54" s="140"/>
      <c r="G54" s="699"/>
      <c r="H54" s="140"/>
      <c r="I54" s="290">
        <f t="shared" ref="I54:I56" si="17">SUM(F54:H54)</f>
        <v>0</v>
      </c>
      <c r="J54" s="140"/>
      <c r="K54" s="140"/>
      <c r="L54" s="173"/>
      <c r="M54" s="290">
        <f t="shared" ref="M54:M56" si="18">SUM(J54:L54)</f>
        <v>0</v>
      </c>
      <c r="N54" s="140"/>
      <c r="O54" s="140"/>
      <c r="P54" s="398"/>
      <c r="Q54" s="290">
        <f t="shared" ref="Q54:Q56" si="19">SUM(N54:P54)</f>
        <v>0</v>
      </c>
      <c r="R54" s="290">
        <f>I54+M54+Q54+E54</f>
        <v>0</v>
      </c>
      <c r="S54" s="52"/>
    </row>
    <row r="55" spans="1:19" ht="13.5" customHeight="1">
      <c r="A55" s="287" t="s">
        <v>106</v>
      </c>
      <c r="B55" s="140"/>
      <c r="C55" s="140"/>
      <c r="D55" s="140"/>
      <c r="E55" s="290">
        <f t="shared" si="16"/>
        <v>0</v>
      </c>
      <c r="F55" s="140"/>
      <c r="G55" s="699"/>
      <c r="H55" s="140"/>
      <c r="I55" s="290">
        <f t="shared" si="17"/>
        <v>0</v>
      </c>
      <c r="J55" s="140"/>
      <c r="K55" s="140"/>
      <c r="L55" s="173"/>
      <c r="M55" s="290">
        <f t="shared" si="18"/>
        <v>0</v>
      </c>
      <c r="N55" s="140"/>
      <c r="O55" s="317"/>
      <c r="P55" s="392"/>
      <c r="Q55" s="290">
        <f t="shared" si="19"/>
        <v>0</v>
      </c>
      <c r="R55" s="290">
        <f>I55+M55+Q55+E55</f>
        <v>0</v>
      </c>
      <c r="S55" s="52"/>
    </row>
    <row r="56" spans="1:19" ht="13.5" customHeight="1">
      <c r="A56" s="287" t="s">
        <v>107</v>
      </c>
      <c r="B56" s="140"/>
      <c r="C56" s="140"/>
      <c r="D56" s="140"/>
      <c r="E56" s="290">
        <f t="shared" si="16"/>
        <v>0</v>
      </c>
      <c r="F56" s="140"/>
      <c r="G56" s="699"/>
      <c r="H56" s="140"/>
      <c r="I56" s="290">
        <f t="shared" si="17"/>
        <v>0</v>
      </c>
      <c r="J56" s="140"/>
      <c r="K56" s="140"/>
      <c r="L56" s="173"/>
      <c r="M56" s="290">
        <f t="shared" si="18"/>
        <v>0</v>
      </c>
      <c r="N56" s="140"/>
      <c r="O56" s="317"/>
      <c r="P56" s="392"/>
      <c r="Q56" s="290">
        <f t="shared" si="19"/>
        <v>0</v>
      </c>
      <c r="R56" s="290">
        <f>I56+M56+Q56+E56</f>
        <v>0</v>
      </c>
      <c r="S56" s="52"/>
    </row>
    <row r="57" spans="1:19" ht="13.5" customHeight="1" thickBot="1">
      <c r="A57" s="288" t="s">
        <v>108</v>
      </c>
      <c r="B57" s="295"/>
      <c r="C57" s="295"/>
      <c r="D57" s="295"/>
      <c r="E57" s="177"/>
      <c r="F57" s="295"/>
      <c r="G57" s="700"/>
      <c r="H57" s="295"/>
      <c r="I57" s="177"/>
      <c r="J57" s="295"/>
      <c r="K57" s="295"/>
      <c r="L57" s="297"/>
      <c r="M57" s="177"/>
      <c r="N57" s="295"/>
      <c r="O57" s="318"/>
      <c r="P57" s="391"/>
      <c r="Q57" s="177"/>
      <c r="R57" s="177"/>
      <c r="S57" s="52"/>
    </row>
    <row r="58" spans="1:19" ht="13.8" thickTop="1">
      <c r="A58"/>
      <c r="B58" s="389"/>
      <c r="C58" s="389"/>
      <c r="D58" s="389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138"/>
      <c r="Q58" s="52"/>
      <c r="R58" s="52"/>
      <c r="S58" s="12"/>
    </row>
  </sheetData>
  <mergeCells count="28">
    <mergeCell ref="F37:I37"/>
    <mergeCell ref="J36:M36"/>
    <mergeCell ref="B35:E35"/>
    <mergeCell ref="N36:Q36"/>
    <mergeCell ref="B36:E36"/>
    <mergeCell ref="F36:I36"/>
    <mergeCell ref="F35:I35"/>
    <mergeCell ref="N35:Q35"/>
    <mergeCell ref="J35:M35"/>
    <mergeCell ref="J37:M37"/>
    <mergeCell ref="N37:Q37"/>
    <mergeCell ref="B37:E37"/>
    <mergeCell ref="N1:Q1"/>
    <mergeCell ref="B1:E1"/>
    <mergeCell ref="B32:E32"/>
    <mergeCell ref="F32:I32"/>
    <mergeCell ref="J32:M32"/>
    <mergeCell ref="J1:M1"/>
    <mergeCell ref="F1:I1"/>
    <mergeCell ref="N32:Q32"/>
    <mergeCell ref="B34:E34"/>
    <mergeCell ref="F34:I34"/>
    <mergeCell ref="J34:M34"/>
    <mergeCell ref="N34:Q34"/>
    <mergeCell ref="B33:E33"/>
    <mergeCell ref="F33:I33"/>
    <mergeCell ref="J33:M33"/>
    <mergeCell ref="N33:Q33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8"/>
  <sheetViews>
    <sheetView zoomScale="80" zoomScaleNormal="80" workbookViewId="0">
      <selection activeCell="H9" sqref="H9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19" customWidth="1"/>
    <col min="6" max="8" width="11.6640625" style="11" customWidth="1"/>
    <col min="9" max="9" width="12.5546875" style="119" customWidth="1"/>
    <col min="10" max="12" width="11.6640625" style="11" customWidth="1"/>
    <col min="13" max="13" width="11.44140625" style="119" customWidth="1"/>
    <col min="14" max="16" width="12.6640625" style="11" customWidth="1"/>
    <col min="17" max="17" width="11.44140625" style="119" customWidth="1"/>
    <col min="18" max="18" width="13.33203125" style="119" customWidth="1"/>
    <col min="19" max="19" width="9.109375" style="11"/>
    <col min="20" max="16384" width="9.109375" style="12"/>
  </cols>
  <sheetData>
    <row r="1" spans="1:19" s="18" customFormat="1" ht="15" customHeight="1">
      <c r="A1" s="29" t="s">
        <v>24</v>
      </c>
      <c r="B1" s="778" t="s">
        <v>123</v>
      </c>
      <c r="C1" s="768"/>
      <c r="D1" s="768"/>
      <c r="E1" s="769"/>
      <c r="F1" s="778" t="s">
        <v>137</v>
      </c>
      <c r="G1" s="768"/>
      <c r="H1" s="768"/>
      <c r="I1" s="769"/>
      <c r="J1" s="778" t="s">
        <v>144</v>
      </c>
      <c r="K1" s="768"/>
      <c r="L1" s="768"/>
      <c r="M1" s="769"/>
      <c r="N1" s="778" t="s">
        <v>148</v>
      </c>
      <c r="O1" s="768"/>
      <c r="P1" s="768"/>
      <c r="Q1" s="769"/>
      <c r="R1" s="150"/>
      <c r="S1" s="11"/>
    </row>
    <row r="2" spans="1:19" s="18" customFormat="1" ht="15" customHeight="1">
      <c r="A2" s="84" t="s">
        <v>0</v>
      </c>
      <c r="B2" s="437" t="s">
        <v>1</v>
      </c>
      <c r="C2" s="437" t="s">
        <v>2</v>
      </c>
      <c r="D2" s="437" t="s">
        <v>3</v>
      </c>
      <c r="E2" s="156" t="s">
        <v>110</v>
      </c>
      <c r="F2" s="437" t="s">
        <v>4</v>
      </c>
      <c r="G2" s="437" t="s">
        <v>5</v>
      </c>
      <c r="H2" s="437" t="s">
        <v>6</v>
      </c>
      <c r="I2" s="156" t="s">
        <v>116</v>
      </c>
      <c r="J2" s="437" t="s">
        <v>7</v>
      </c>
      <c r="K2" s="437" t="s">
        <v>8</v>
      </c>
      <c r="L2" s="437" t="s">
        <v>9</v>
      </c>
      <c r="M2" s="156" t="s">
        <v>117</v>
      </c>
      <c r="N2" s="437" t="s">
        <v>10</v>
      </c>
      <c r="O2" s="437" t="s">
        <v>11</v>
      </c>
      <c r="P2" s="437" t="s">
        <v>12</v>
      </c>
      <c r="Q2" s="156" t="s">
        <v>118</v>
      </c>
      <c r="R2" s="85" t="s">
        <v>119</v>
      </c>
      <c r="S2" s="11"/>
    </row>
    <row r="3" spans="1:19" s="18" customFormat="1" ht="15" customHeight="1">
      <c r="A3" s="85"/>
      <c r="B3" s="441"/>
      <c r="C3" s="441"/>
      <c r="D3" s="441"/>
      <c r="E3" s="759"/>
      <c r="F3" s="441"/>
      <c r="G3" s="441"/>
      <c r="H3" s="441"/>
      <c r="I3" s="756">
        <v>468248.65</v>
      </c>
      <c r="J3" s="441"/>
      <c r="K3" s="441"/>
      <c r="L3" s="441"/>
      <c r="M3" s="760"/>
      <c r="N3" s="441"/>
      <c r="O3" s="441"/>
      <c r="P3" s="441"/>
      <c r="Q3" s="759"/>
      <c r="R3" s="632">
        <f>Target!O6</f>
        <v>930001.30000000028</v>
      </c>
      <c r="S3" s="11"/>
    </row>
    <row r="4" spans="1:19" s="18" customFormat="1" ht="15" customHeight="1">
      <c r="A4" s="86" t="s">
        <v>216</v>
      </c>
      <c r="B4" s="442">
        <f>Target!C6</f>
        <v>67800</v>
      </c>
      <c r="C4" s="442">
        <f>Target!D6</f>
        <v>75333.333333333328</v>
      </c>
      <c r="D4" s="442">
        <f>Target!E6</f>
        <v>82866.666666666672</v>
      </c>
      <c r="E4" s="170">
        <f>SUM(B4:D4)</f>
        <v>226000</v>
      </c>
      <c r="F4" s="442">
        <f>Target!F6</f>
        <v>70400.130000000019</v>
      </c>
      <c r="G4" s="442">
        <f>Target!G6</f>
        <v>78222.366666666683</v>
      </c>
      <c r="H4" s="442">
        <f>Target!H6</f>
        <v>86044.603333333362</v>
      </c>
      <c r="I4" s="170">
        <f>SUM(F4:H4)</f>
        <v>234667.10000000006</v>
      </c>
      <c r="J4" s="442">
        <f>Target!I6</f>
        <v>70400.130000000019</v>
      </c>
      <c r="K4" s="442">
        <f>Target!J6</f>
        <v>78222.366666666683</v>
      </c>
      <c r="L4" s="442">
        <f>Target!K6</f>
        <v>86044.603333333362</v>
      </c>
      <c r="M4" s="157">
        <f>SUM(J4:L4)</f>
        <v>234667.10000000006</v>
      </c>
      <c r="N4" s="442">
        <f>Target!L6</f>
        <v>70400.130000000019</v>
      </c>
      <c r="O4" s="442">
        <f>Target!M6</f>
        <v>78222.366666666683</v>
      </c>
      <c r="P4" s="442">
        <f>Target!N6</f>
        <v>86044.603333333362</v>
      </c>
      <c r="Q4" s="170">
        <f>SUM(N4:P4)</f>
        <v>234667.10000000006</v>
      </c>
      <c r="R4" s="473">
        <f>E4+I4+M4+Q4</f>
        <v>930001.30000000028</v>
      </c>
      <c r="S4" s="11"/>
    </row>
    <row r="5" spans="1:19" s="18" customFormat="1" ht="15" customHeight="1">
      <c r="A5" s="88" t="s">
        <v>217</v>
      </c>
      <c r="B5" s="443">
        <f>B4</f>
        <v>67800</v>
      </c>
      <c r="C5" s="443">
        <f>C4+B5</f>
        <v>143133.33333333331</v>
      </c>
      <c r="D5" s="443">
        <f>D4+C5</f>
        <v>226000</v>
      </c>
      <c r="E5" s="447"/>
      <c r="F5" s="443">
        <f>F4</f>
        <v>70400.130000000019</v>
      </c>
      <c r="G5" s="443">
        <f>G4+F5</f>
        <v>148622.4966666667</v>
      </c>
      <c r="H5" s="443">
        <f>H4+G5</f>
        <v>234667.10000000006</v>
      </c>
      <c r="I5" s="447"/>
      <c r="J5" s="443">
        <f>J4</f>
        <v>70400.130000000019</v>
      </c>
      <c r="K5" s="443">
        <f>K4+J5</f>
        <v>148622.4966666667</v>
      </c>
      <c r="L5" s="443">
        <f>L4+K5</f>
        <v>234667.10000000006</v>
      </c>
      <c r="M5" s="158"/>
      <c r="N5" s="443">
        <f>N4</f>
        <v>70400.130000000019</v>
      </c>
      <c r="O5" s="443">
        <f>O4+N5</f>
        <v>148622.4966666667</v>
      </c>
      <c r="P5" s="443">
        <f>P4+O5</f>
        <v>234667.10000000006</v>
      </c>
      <c r="Q5" s="447"/>
      <c r="R5" s="301">
        <f>R6/R4</f>
        <v>0.51094959662959594</v>
      </c>
      <c r="S5" s="11"/>
    </row>
    <row r="6" spans="1:19" s="18" customFormat="1" ht="15" customHeight="1">
      <c r="A6" s="90" t="s">
        <v>37</v>
      </c>
      <c r="B6" s="181">
        <f>SUMIF(I!A:A,$A$1,I!I:I)</f>
        <v>74516.640599999999</v>
      </c>
      <c r="C6" s="180">
        <f>SUMIF(II!A:A,$A$1,II!I:I)</f>
        <v>79292.468800000002</v>
      </c>
      <c r="D6" s="180">
        <f>SUMIF(III!A:A,$A$1,III!I:I)</f>
        <v>61748.9375</v>
      </c>
      <c r="E6" s="470">
        <f>SUM(B6:D6)</f>
        <v>215558.04690000002</v>
      </c>
      <c r="F6" s="180">
        <f>SUMIF(IV!A:A,$A$1,IV!I:I)</f>
        <v>98031.679699999993</v>
      </c>
      <c r="G6" s="180">
        <f>SUMIF(V!A:A,$A$1,V!I:I)</f>
        <v>87473.929699999993</v>
      </c>
      <c r="H6" s="180">
        <f>SUMIF(VI!A:A,$A$1,VI!I:I)</f>
        <v>74120.132800000007</v>
      </c>
      <c r="I6" s="470">
        <f>SUM(F6:H6)</f>
        <v>259625.74219999998</v>
      </c>
      <c r="J6" s="180">
        <f>SUMIF(VII!A:A,$A$1,VII!I:I)</f>
        <v>0</v>
      </c>
      <c r="K6" s="180">
        <f>SUMIF(VIII!A:A,$A$1,VIII!I:I)</f>
        <v>0</v>
      </c>
      <c r="L6" s="180">
        <f>SUMIF(IX!A:A,$A$1,IX!I:I)</f>
        <v>0</v>
      </c>
      <c r="M6" s="474">
        <f>SUM(J6:L6)</f>
        <v>0</v>
      </c>
      <c r="N6" s="180">
        <f>SUMIF(X!A:A,$A$1,X!I:I)</f>
        <v>0</v>
      </c>
      <c r="O6" s="180">
        <f>SUMIF(XI!A:A,$A$1,XI!I:I)</f>
        <v>0</v>
      </c>
      <c r="P6" s="180">
        <f>SUMIF(XII!A:A,$A$1,XII!I:I)</f>
        <v>0</v>
      </c>
      <c r="Q6" s="470">
        <f>SUM(N6:P6)</f>
        <v>0</v>
      </c>
      <c r="R6" s="87">
        <f>E6+I6+M6+Q6</f>
        <v>475183.78909999999</v>
      </c>
      <c r="S6" s="11"/>
    </row>
    <row r="7" spans="1:19" s="18" customFormat="1" ht="15" customHeight="1">
      <c r="A7" s="88" t="s">
        <v>218</v>
      </c>
      <c r="B7" s="439">
        <f>B6</f>
        <v>74516.640599999999</v>
      </c>
      <c r="C7" s="439">
        <f>C6+B7</f>
        <v>153809.10940000002</v>
      </c>
      <c r="D7" s="439">
        <f>D6+C7</f>
        <v>215558.04690000002</v>
      </c>
      <c r="E7" s="470"/>
      <c r="F7" s="439">
        <f>F6</f>
        <v>98031.679699999993</v>
      </c>
      <c r="G7" s="439">
        <f>G6+F7</f>
        <v>185505.60939999999</v>
      </c>
      <c r="H7" s="439">
        <f>H6+G7</f>
        <v>259625.74219999998</v>
      </c>
      <c r="I7" s="447">
        <f>SUM(E6,I6)</f>
        <v>475183.78909999999</v>
      </c>
      <c r="J7" s="439">
        <f>J6</f>
        <v>0</v>
      </c>
      <c r="K7" s="439">
        <f>K6+J7</f>
        <v>0</v>
      </c>
      <c r="L7" s="439">
        <f>L6+K7</f>
        <v>0</v>
      </c>
      <c r="M7" s="494">
        <f>SUM(E6,I6,M6)/3</f>
        <v>158394.59636666666</v>
      </c>
      <c r="N7" s="439">
        <f>N6</f>
        <v>0</v>
      </c>
      <c r="O7" s="439">
        <f>O6+N7</f>
        <v>0</v>
      </c>
      <c r="P7" s="439">
        <f>P6+O7</f>
        <v>0</v>
      </c>
      <c r="Q7" s="470"/>
      <c r="R7" s="629">
        <f>R3-R4</f>
        <v>0</v>
      </c>
      <c r="S7" s="11"/>
    </row>
    <row r="8" spans="1:19" s="18" customFormat="1" ht="15" customHeight="1">
      <c r="A8" s="88" t="s">
        <v>219</v>
      </c>
      <c r="B8" s="75">
        <f t="shared" ref="B8:D9" si="0">B6/B4</f>
        <v>1.0990654955752213</v>
      </c>
      <c r="C8" s="75">
        <f t="shared" si="0"/>
        <v>1.0525548955752213</v>
      </c>
      <c r="D8" s="75">
        <f t="shared" si="0"/>
        <v>0.74516014682220433</v>
      </c>
      <c r="E8" s="472"/>
      <c r="F8" s="75">
        <f t="shared" ref="F8:H9" si="1">F6/F4</f>
        <v>1.3924928789193993</v>
      </c>
      <c r="G8" s="75">
        <f t="shared" si="1"/>
        <v>1.1182726044682016</v>
      </c>
      <c r="H8" s="75">
        <f t="shared" si="1"/>
        <v>0.86141524196307317</v>
      </c>
      <c r="I8" s="159">
        <f>I7/I3-1</f>
        <v>1.4810804259659749E-2</v>
      </c>
      <c r="J8" s="75">
        <f t="shared" ref="J8:L9" si="2">J6/J4</f>
        <v>0</v>
      </c>
      <c r="K8" s="75">
        <f t="shared" si="2"/>
        <v>0</v>
      </c>
      <c r="L8" s="75">
        <f t="shared" si="2"/>
        <v>0</v>
      </c>
      <c r="M8" s="471"/>
      <c r="N8" s="75">
        <f t="shared" ref="N8:P9" si="3">N6/N4</f>
        <v>0</v>
      </c>
      <c r="O8" s="75">
        <f t="shared" si="3"/>
        <v>0</v>
      </c>
      <c r="P8" s="75">
        <f t="shared" si="3"/>
        <v>0</v>
      </c>
      <c r="Q8" s="470"/>
      <c r="R8" s="634">
        <f>R7*100/R3</f>
        <v>0</v>
      </c>
      <c r="S8" s="11"/>
    </row>
    <row r="9" spans="1:19" s="19" customFormat="1" ht="15" customHeight="1">
      <c r="A9" s="88" t="s">
        <v>220</v>
      </c>
      <c r="B9" s="610">
        <f t="shared" si="0"/>
        <v>1.0990654955752213</v>
      </c>
      <c r="C9" s="610">
        <f t="shared" si="0"/>
        <v>1.0745862324173268</v>
      </c>
      <c r="D9" s="610">
        <f t="shared" si="0"/>
        <v>0.95379666769911509</v>
      </c>
      <c r="E9" s="611"/>
      <c r="F9" s="610">
        <f t="shared" si="1"/>
        <v>1.3924928789193993</v>
      </c>
      <c r="G9" s="610">
        <f t="shared" si="1"/>
        <v>1.2481664186819268</v>
      </c>
      <c r="H9" s="610">
        <f t="shared" si="1"/>
        <v>1.1063576538850137</v>
      </c>
      <c r="I9" s="762">
        <f>I7-I3</f>
        <v>6935.1390999999712</v>
      </c>
      <c r="J9" s="610">
        <f t="shared" si="2"/>
        <v>0</v>
      </c>
      <c r="K9" s="610">
        <f t="shared" si="2"/>
        <v>0</v>
      </c>
      <c r="L9" s="610">
        <f t="shared" si="2"/>
        <v>0</v>
      </c>
      <c r="M9" s="611"/>
      <c r="N9" s="610">
        <f t="shared" si="3"/>
        <v>0</v>
      </c>
      <c r="O9" s="610">
        <f t="shared" si="3"/>
        <v>0</v>
      </c>
      <c r="P9" s="610">
        <f t="shared" si="3"/>
        <v>0</v>
      </c>
      <c r="Q9" s="611"/>
      <c r="R9" s="603"/>
      <c r="S9" s="13"/>
    </row>
    <row r="10" spans="1:19" s="38" customFormat="1" ht="15" customHeight="1">
      <c r="A10" s="88" t="s">
        <v>221</v>
      </c>
      <c r="B10" s="438">
        <f>B7-B5</f>
        <v>6716.6405999999988</v>
      </c>
      <c r="C10" s="438">
        <f>C7-C5</f>
        <v>10675.776066666702</v>
      </c>
      <c r="D10" s="438">
        <f>D7-D5</f>
        <v>-10441.953099999984</v>
      </c>
      <c r="E10" s="470"/>
      <c r="F10" s="438">
        <f>F7-F5</f>
        <v>27631.549699999974</v>
      </c>
      <c r="G10" s="438">
        <f>G7-G5</f>
        <v>36883.112733333284</v>
      </c>
      <c r="H10" s="438">
        <f>H7-H5</f>
        <v>24958.642199999915</v>
      </c>
      <c r="I10" s="470"/>
      <c r="J10" s="438">
        <f>J7-J5</f>
        <v>-70400.130000000019</v>
      </c>
      <c r="K10" s="438">
        <f>K7-K5</f>
        <v>-148622.4966666667</v>
      </c>
      <c r="L10" s="438">
        <f>L7-L5</f>
        <v>-234667.10000000006</v>
      </c>
      <c r="M10" s="474"/>
      <c r="N10" s="438">
        <f>N7-N5</f>
        <v>-70400.130000000019</v>
      </c>
      <c r="O10" s="438">
        <f>O7-O5</f>
        <v>-148622.4966666667</v>
      </c>
      <c r="P10" s="438">
        <f>P7-P5</f>
        <v>-234667.10000000006</v>
      </c>
      <c r="Q10" s="470"/>
      <c r="R10" s="89"/>
    </row>
    <row r="11" spans="1:19" s="19" customFormat="1" ht="15" customHeight="1">
      <c r="A11" s="90" t="s">
        <v>181</v>
      </c>
      <c r="B11" s="181">
        <f>SUMIF(I!A:A,$A$1,I!G:G)</f>
        <v>234790.6875</v>
      </c>
      <c r="C11" s="180">
        <f>SUMIF(II!A:A,$A$1,II!G:G)</f>
        <v>265468.9375</v>
      </c>
      <c r="D11" s="180">
        <f>SUMIF(III!A:A,$A$1,III!G:G)</f>
        <v>199307.95310000001</v>
      </c>
      <c r="E11" s="470">
        <f>SUM(B11:D11)</f>
        <v>699567.57810000004</v>
      </c>
      <c r="F11" s="180">
        <f>SUMIF(IV!A:A,$A$1,IV!G:G)</f>
        <v>312540.21879999997</v>
      </c>
      <c r="G11" s="180">
        <f>SUMIF(V!A:A,$A$1,V!G:G)</f>
        <v>295717.25</v>
      </c>
      <c r="H11" s="180">
        <f>SUMIF(VI!A:A,$A$1,VI!G:G)</f>
        <v>247289.07810000001</v>
      </c>
      <c r="I11" s="470">
        <f>SUM(F11:H11)</f>
        <v>855546.54689999996</v>
      </c>
      <c r="J11" s="180">
        <f>SUMIF(VII!A:A,$A$1,VII!G:G)</f>
        <v>0</v>
      </c>
      <c r="K11" s="180">
        <f>SUMIF(VIII!A:A,$A$1,VIII!G:G)</f>
        <v>0</v>
      </c>
      <c r="L11" s="180">
        <f>SUMIF(IX!A:A,$A$1,IX!G:G)</f>
        <v>0</v>
      </c>
      <c r="M11" s="474">
        <f>SUM(J11:L11)</f>
        <v>0</v>
      </c>
      <c r="N11" s="180">
        <f>SUMIF(X!A:A,$A$1,X!G:G)</f>
        <v>0</v>
      </c>
      <c r="O11" s="180">
        <f>SUMIF(XI!A:A,$A$1,XI!G:G)</f>
        <v>0</v>
      </c>
      <c r="P11" s="180">
        <f>SUMIF(XII!A:A,$A$1,XII!G:G)</f>
        <v>0</v>
      </c>
      <c r="Q11" s="470">
        <f>SUM(N11:P11)</f>
        <v>0</v>
      </c>
      <c r="R11" s="87">
        <f>E11+I11+M11+Q11</f>
        <v>1555114.125</v>
      </c>
      <c r="S11" s="13"/>
    </row>
    <row r="12" spans="1:19" customFormat="1">
      <c r="A12" s="88" t="s">
        <v>182</v>
      </c>
      <c r="B12" s="439">
        <f>B11</f>
        <v>234790.6875</v>
      </c>
      <c r="C12" s="439">
        <f>C11+B12</f>
        <v>500259.625</v>
      </c>
      <c r="D12" s="439">
        <f>D11+C12</f>
        <v>699567.57810000004</v>
      </c>
      <c r="E12" s="447"/>
      <c r="F12" s="439">
        <f>F11</f>
        <v>312540.21879999997</v>
      </c>
      <c r="G12" s="439">
        <f>G11+F12</f>
        <v>608257.46879999992</v>
      </c>
      <c r="H12" s="439">
        <f>H11+G12</f>
        <v>855546.54689999996</v>
      </c>
      <c r="I12" s="447"/>
      <c r="J12" s="439">
        <f>J11</f>
        <v>0</v>
      </c>
      <c r="K12" s="439">
        <f>K11+J12</f>
        <v>0</v>
      </c>
      <c r="L12" s="439">
        <f>L11+K12</f>
        <v>0</v>
      </c>
      <c r="M12" s="158"/>
      <c r="N12" s="439">
        <f>N11</f>
        <v>0</v>
      </c>
      <c r="O12" s="439">
        <f>O11+N12</f>
        <v>0</v>
      </c>
      <c r="P12" s="439">
        <f>P11+O12</f>
        <v>0</v>
      </c>
      <c r="Q12" s="447"/>
      <c r="R12" s="89"/>
    </row>
    <row r="13" spans="1:19" s="18" customFormat="1" ht="15" customHeight="1">
      <c r="A13" s="95" t="s">
        <v>193</v>
      </c>
      <c r="B13" s="440">
        <f t="shared" ref="B13:D14" si="4">B6/B11</f>
        <v>0.31737477066674546</v>
      </c>
      <c r="C13" s="440">
        <f t="shared" si="4"/>
        <v>0.29868831188583034</v>
      </c>
      <c r="D13" s="440">
        <f t="shared" si="4"/>
        <v>0.30981672602406551</v>
      </c>
      <c r="E13" s="160"/>
      <c r="F13" s="440">
        <f t="shared" ref="F13:H14" si="5">F6/F11</f>
        <v>0.31366100681823672</v>
      </c>
      <c r="G13" s="440">
        <f t="shared" si="5"/>
        <v>0.29580259420104843</v>
      </c>
      <c r="H13" s="440">
        <f t="shared" si="5"/>
        <v>0.2997307174643068</v>
      </c>
      <c r="I13" s="160"/>
      <c r="J13" s="440" t="e">
        <f t="shared" ref="J13:L14" si="6">J6/J11</f>
        <v>#DIV/0!</v>
      </c>
      <c r="K13" s="440" t="e">
        <f t="shared" si="6"/>
        <v>#DIV/0!</v>
      </c>
      <c r="L13" s="440" t="e">
        <f t="shared" si="6"/>
        <v>#DIV/0!</v>
      </c>
      <c r="M13" s="160"/>
      <c r="N13" s="440" t="e">
        <f t="shared" ref="N13:P14" si="7">N6/N11</f>
        <v>#DIV/0!</v>
      </c>
      <c r="O13" s="440" t="e">
        <f t="shared" si="7"/>
        <v>#DIV/0!</v>
      </c>
      <c r="P13" s="440" t="e">
        <f t="shared" si="7"/>
        <v>#DIV/0!</v>
      </c>
      <c r="Q13" s="160"/>
      <c r="R13" s="96"/>
      <c r="S13" s="11"/>
    </row>
    <row r="14" spans="1:19" s="19" customFormat="1" ht="15" customHeight="1">
      <c r="A14" s="95" t="s">
        <v>194</v>
      </c>
      <c r="B14" s="440">
        <f t="shared" si="4"/>
        <v>0.31737477066674546</v>
      </c>
      <c r="C14" s="440">
        <f t="shared" si="4"/>
        <v>0.30745857093704099</v>
      </c>
      <c r="D14" s="440">
        <f t="shared" si="4"/>
        <v>0.30813041319817563</v>
      </c>
      <c r="E14" s="160"/>
      <c r="F14" s="440">
        <f t="shared" si="5"/>
        <v>0.31366100681823672</v>
      </c>
      <c r="G14" s="440">
        <f t="shared" si="5"/>
        <v>0.30497876132285645</v>
      </c>
      <c r="H14" s="440">
        <f t="shared" si="5"/>
        <v>0.30346185504544637</v>
      </c>
      <c r="I14" s="160"/>
      <c r="J14" s="440" t="e">
        <f t="shared" si="6"/>
        <v>#DIV/0!</v>
      </c>
      <c r="K14" s="440" t="e">
        <f t="shared" si="6"/>
        <v>#DIV/0!</v>
      </c>
      <c r="L14" s="440" t="e">
        <f t="shared" si="6"/>
        <v>#DIV/0!</v>
      </c>
      <c r="M14" s="160"/>
      <c r="N14" s="440" t="e">
        <f t="shared" si="7"/>
        <v>#DIV/0!</v>
      </c>
      <c r="O14" s="440" t="e">
        <f t="shared" si="7"/>
        <v>#DIV/0!</v>
      </c>
      <c r="P14" s="440" t="e">
        <f t="shared" si="7"/>
        <v>#DIV/0!</v>
      </c>
      <c r="Q14" s="160"/>
      <c r="R14" s="96"/>
      <c r="S14" s="13"/>
    </row>
    <row r="15" spans="1:19" s="54" customFormat="1" ht="15" customHeight="1">
      <c r="A15" s="98"/>
      <c r="B15" s="79"/>
      <c r="C15" s="79"/>
      <c r="D15" s="79"/>
      <c r="E15" s="161"/>
      <c r="F15" s="79"/>
      <c r="G15" s="79"/>
      <c r="H15" s="79"/>
      <c r="I15" s="161"/>
      <c r="J15" s="79"/>
      <c r="K15" s="79"/>
      <c r="L15" s="79"/>
      <c r="M15" s="161"/>
      <c r="N15" s="79"/>
      <c r="O15" s="79"/>
      <c r="P15" s="79"/>
      <c r="Q15" s="161"/>
      <c r="R15" s="97"/>
      <c r="S15" s="53"/>
    </row>
    <row r="16" spans="1:19" s="18" customFormat="1" ht="15" customHeight="1">
      <c r="A16" s="146" t="s">
        <v>26</v>
      </c>
      <c r="B16" s="445" t="s">
        <v>26</v>
      </c>
      <c r="C16" s="446"/>
      <c r="D16" s="446"/>
      <c r="E16" s="446"/>
      <c r="F16" s="446"/>
      <c r="G16" s="446"/>
      <c r="H16" s="446"/>
      <c r="I16" s="446"/>
      <c r="J16" s="446"/>
      <c r="K16" s="446"/>
      <c r="L16" s="446"/>
      <c r="M16" s="152"/>
      <c r="N16" s="446"/>
      <c r="O16" s="446"/>
      <c r="P16" s="446"/>
      <c r="Q16" s="446"/>
      <c r="R16" s="179"/>
      <c r="S16" s="11"/>
    </row>
    <row r="17" spans="1:19" s="18" customFormat="1" ht="15" customHeight="1">
      <c r="A17" s="56" t="s">
        <v>74</v>
      </c>
      <c r="B17" s="100">
        <f>Target!O34</f>
        <v>7200</v>
      </c>
      <c r="C17" s="100">
        <f>Target!O34</f>
        <v>7200</v>
      </c>
      <c r="D17" s="100">
        <f>Target!O34</f>
        <v>7200</v>
      </c>
      <c r="E17" s="163"/>
      <c r="F17" s="64">
        <f>Target!O43</f>
        <v>7500</v>
      </c>
      <c r="G17" s="64">
        <f>Target!O43</f>
        <v>7500</v>
      </c>
      <c r="H17" s="64">
        <f>Target!O43</f>
        <v>7500</v>
      </c>
      <c r="I17" s="163"/>
      <c r="J17" s="64">
        <f>Target!O53</f>
        <v>7500</v>
      </c>
      <c r="K17" s="64">
        <f>Target!O53</f>
        <v>7500</v>
      </c>
      <c r="L17" s="64">
        <f>Target!O53</f>
        <v>7500</v>
      </c>
      <c r="M17" s="163"/>
      <c r="N17" s="64">
        <f>Target!O62</f>
        <v>7500</v>
      </c>
      <c r="O17" s="64">
        <f>Target!O62</f>
        <v>7500</v>
      </c>
      <c r="P17" s="64">
        <f>Target!O62</f>
        <v>7500</v>
      </c>
      <c r="Q17" s="163"/>
      <c r="R17" s="101"/>
      <c r="S17" s="11"/>
    </row>
    <row r="18" spans="1:19" s="14" customFormat="1" ht="15" customHeight="1">
      <c r="A18" s="715" t="s">
        <v>222</v>
      </c>
      <c r="B18" s="435"/>
      <c r="C18" s="435"/>
      <c r="D18" s="435"/>
      <c r="E18" s="716"/>
      <c r="F18" s="435">
        <f>Target!N40</f>
        <v>7000</v>
      </c>
      <c r="G18" s="435">
        <f>Target!N40</f>
        <v>7000</v>
      </c>
      <c r="H18" s="435">
        <f>Target!N40</f>
        <v>7000</v>
      </c>
      <c r="I18" s="716"/>
      <c r="J18" s="435">
        <f>Target!N50</f>
        <v>7000</v>
      </c>
      <c r="K18" s="435">
        <f>Target!N50</f>
        <v>7000</v>
      </c>
      <c r="L18" s="435">
        <f>Target!N50</f>
        <v>7000</v>
      </c>
      <c r="M18" s="716"/>
      <c r="N18" s="435">
        <f>Target!N59</f>
        <v>7000</v>
      </c>
      <c r="O18" s="435">
        <f>Target!N59</f>
        <v>7000</v>
      </c>
      <c r="P18" s="435">
        <f>Target!N59</f>
        <v>7000</v>
      </c>
      <c r="Q18" s="716"/>
      <c r="R18" s="101"/>
      <c r="S18" s="18"/>
    </row>
    <row r="19" spans="1:19" s="14" customFormat="1" ht="15" customHeight="1">
      <c r="A19" s="715" t="s">
        <v>227</v>
      </c>
      <c r="B19" s="435"/>
      <c r="C19" s="435"/>
      <c r="D19" s="435"/>
      <c r="E19" s="716"/>
      <c r="F19" s="744">
        <f>Target!J43</f>
        <v>0.25442735578795889</v>
      </c>
      <c r="G19" s="744">
        <f>Target!J43</f>
        <v>0.25442735578795889</v>
      </c>
      <c r="H19" s="744">
        <f>Target!J43</f>
        <v>0.25442735578795889</v>
      </c>
      <c r="I19" s="716"/>
      <c r="J19" s="744">
        <f>Target!J53</f>
        <v>0.25442735578795889</v>
      </c>
      <c r="K19" s="744">
        <f>Target!J53</f>
        <v>0.25442735578795889</v>
      </c>
      <c r="L19" s="744">
        <f>Target!J53</f>
        <v>0.25442735578795889</v>
      </c>
      <c r="M19" s="716"/>
      <c r="N19" s="744">
        <f>Target!J62</f>
        <v>0.25442735578795889</v>
      </c>
      <c r="O19" s="744">
        <f>Target!J62</f>
        <v>0.25442735578795889</v>
      </c>
      <c r="P19" s="744">
        <f>Target!J62</f>
        <v>0.25442735578795889</v>
      </c>
      <c r="Q19" s="716"/>
      <c r="R19" s="101"/>
      <c r="S19" s="18"/>
    </row>
    <row r="20" spans="1:19" s="14" customFormat="1" ht="15" customHeight="1">
      <c r="A20" s="727" t="s">
        <v>223</v>
      </c>
      <c r="B20" s="728"/>
      <c r="C20" s="728"/>
      <c r="D20" s="728"/>
      <c r="E20" s="729"/>
      <c r="F20" s="728">
        <f>Target!M43</f>
        <v>7123.965962062849</v>
      </c>
      <c r="G20" s="728">
        <f>Target!M43</f>
        <v>7123.965962062849</v>
      </c>
      <c r="H20" s="728">
        <f>Target!M43</f>
        <v>7123.965962062849</v>
      </c>
      <c r="I20" s="729"/>
      <c r="J20" s="728">
        <f>Target!M53</f>
        <v>7123.965962062849</v>
      </c>
      <c r="K20" s="728">
        <f>Target!M53</f>
        <v>7123.965962062849</v>
      </c>
      <c r="L20" s="728">
        <f>Target!M53</f>
        <v>7123.965962062849</v>
      </c>
      <c r="M20" s="729"/>
      <c r="N20" s="728">
        <f>Target!M62</f>
        <v>7123.965962062849</v>
      </c>
      <c r="O20" s="728">
        <f>Target!M62</f>
        <v>7123.965962062849</v>
      </c>
      <c r="P20" s="728">
        <f>Target!M62</f>
        <v>7123.965962062849</v>
      </c>
      <c r="Q20" s="729"/>
      <c r="R20" s="101"/>
      <c r="S20" s="18"/>
    </row>
    <row r="21" spans="1:19" s="18" customFormat="1" ht="15" customHeight="1">
      <c r="A21" s="17" t="s">
        <v>228</v>
      </c>
      <c r="B21" s="59">
        <f>B5</f>
        <v>67800</v>
      </c>
      <c r="C21" s="59">
        <f>C5</f>
        <v>143133.33333333331</v>
      </c>
      <c r="D21" s="59">
        <f>D5</f>
        <v>226000</v>
      </c>
      <c r="E21" s="164"/>
      <c r="F21" s="59">
        <f>F5</f>
        <v>70400.130000000019</v>
      </c>
      <c r="G21" s="59">
        <f>G5</f>
        <v>148622.4966666667</v>
      </c>
      <c r="H21" s="59">
        <f>H5</f>
        <v>234667.10000000006</v>
      </c>
      <c r="I21" s="164"/>
      <c r="J21" s="59">
        <f>J5</f>
        <v>70400.130000000019</v>
      </c>
      <c r="K21" s="59">
        <f>K5</f>
        <v>148622.4966666667</v>
      </c>
      <c r="L21" s="59">
        <f>L5</f>
        <v>234667.10000000006</v>
      </c>
      <c r="M21" s="164"/>
      <c r="N21" s="59">
        <f>N5</f>
        <v>70400.130000000019</v>
      </c>
      <c r="O21" s="59">
        <f>O5</f>
        <v>148622.4966666667</v>
      </c>
      <c r="P21" s="59">
        <f>P5</f>
        <v>234667.10000000006</v>
      </c>
      <c r="Q21" s="164"/>
      <c r="R21" s="103"/>
      <c r="S21" s="11"/>
    </row>
    <row r="22" spans="1:19" s="37" customFormat="1" ht="15" customHeight="1">
      <c r="A22" s="736" t="s">
        <v>37</v>
      </c>
      <c r="B22" s="739">
        <f>B7</f>
        <v>74516.640599999999</v>
      </c>
      <c r="C22" s="739">
        <f>C7</f>
        <v>153809.10940000002</v>
      </c>
      <c r="D22" s="739">
        <f>D7</f>
        <v>215558.04690000002</v>
      </c>
      <c r="E22" s="740"/>
      <c r="F22" s="739">
        <f>F7</f>
        <v>98031.679699999993</v>
      </c>
      <c r="G22" s="739">
        <f>G7</f>
        <v>185505.60939999999</v>
      </c>
      <c r="H22" s="739">
        <f>H7</f>
        <v>259625.74219999998</v>
      </c>
      <c r="I22" s="740"/>
      <c r="J22" s="739">
        <f>J7</f>
        <v>0</v>
      </c>
      <c r="K22" s="739">
        <f>K7</f>
        <v>0</v>
      </c>
      <c r="L22" s="739">
        <f>L7</f>
        <v>0</v>
      </c>
      <c r="M22" s="740"/>
      <c r="N22" s="739">
        <f>N7</f>
        <v>0</v>
      </c>
      <c r="O22" s="739">
        <f>O7</f>
        <v>0</v>
      </c>
      <c r="P22" s="739">
        <f>P7</f>
        <v>0</v>
      </c>
      <c r="Q22" s="740"/>
      <c r="R22" s="108"/>
      <c r="S22" s="15"/>
    </row>
    <row r="23" spans="1:19" s="18" customFormat="1" ht="15" customHeight="1">
      <c r="A23" s="17" t="s">
        <v>220</v>
      </c>
      <c r="B23" s="732">
        <f>B22/B21</f>
        <v>1.0990654955752213</v>
      </c>
      <c r="C23" s="732">
        <f>C22/C21</f>
        <v>1.0745862324173268</v>
      </c>
      <c r="D23" s="732">
        <f>D22/D21</f>
        <v>0.95379666769911509</v>
      </c>
      <c r="E23" s="733"/>
      <c r="F23" s="732">
        <f>F22/F21</f>
        <v>1.3924928789193993</v>
      </c>
      <c r="G23" s="732">
        <f>G22/G21</f>
        <v>1.2481664186819268</v>
      </c>
      <c r="H23" s="732">
        <f>H22/H21</f>
        <v>1.1063576538850137</v>
      </c>
      <c r="I23" s="733"/>
      <c r="J23" s="732">
        <f>J22/J21</f>
        <v>0</v>
      </c>
      <c r="K23" s="732">
        <f>K22/K21</f>
        <v>0</v>
      </c>
      <c r="L23" s="732">
        <f>L22/L21</f>
        <v>0</v>
      </c>
      <c r="M23" s="733"/>
      <c r="N23" s="732">
        <f>N22/N21</f>
        <v>0</v>
      </c>
      <c r="O23" s="732">
        <f>O22/O21</f>
        <v>0</v>
      </c>
      <c r="P23" s="732">
        <f>P22/P21</f>
        <v>0</v>
      </c>
      <c r="Q23" s="733"/>
      <c r="R23" s="108"/>
      <c r="S23" s="11"/>
    </row>
    <row r="24" spans="1:19" s="18" customFormat="1" ht="15" customHeight="1">
      <c r="A24" s="734" t="s">
        <v>60</v>
      </c>
      <c r="B24" s="735">
        <f>B17*0.35</f>
        <v>2520</v>
      </c>
      <c r="C24" s="735">
        <f>C17*0.35</f>
        <v>2520</v>
      </c>
      <c r="D24" s="735">
        <f>D17*0.35</f>
        <v>2520</v>
      </c>
      <c r="E24" s="470"/>
      <c r="F24" s="735">
        <f>F20*0.35</f>
        <v>2493.3880867219968</v>
      </c>
      <c r="G24" s="735">
        <f>G20*0.35</f>
        <v>2493.3880867219968</v>
      </c>
      <c r="H24" s="735">
        <f>H20*0.35</f>
        <v>2493.3880867219968</v>
      </c>
      <c r="I24" s="470"/>
      <c r="J24" s="735">
        <f>J20*0.35</f>
        <v>2493.3880867219968</v>
      </c>
      <c r="K24" s="735">
        <f>K20*0.35</f>
        <v>2493.3880867219968</v>
      </c>
      <c r="L24" s="735">
        <f>L20*0.35</f>
        <v>2493.3880867219968</v>
      </c>
      <c r="M24" s="470"/>
      <c r="N24" s="735">
        <f>N20*0.35</f>
        <v>2493.3880867219968</v>
      </c>
      <c r="O24" s="735">
        <f>O20*0.35</f>
        <v>2493.3880867219968</v>
      </c>
      <c r="P24" s="735">
        <f>P20*0.35</f>
        <v>2493.3880867219968</v>
      </c>
      <c r="Q24" s="470"/>
      <c r="R24" s="730"/>
      <c r="S24" s="11"/>
    </row>
    <row r="25" spans="1:19" s="18" customFormat="1" ht="15" customHeight="1">
      <c r="A25" s="17" t="s">
        <v>53</v>
      </c>
      <c r="B25" s="59">
        <f>IF(B23&lt;80%,0,IF(B23&lt;90%,0.5,IF(B23&lt;95%,0.75,1)))</f>
        <v>1</v>
      </c>
      <c r="C25" s="59">
        <f>IF(C23&lt;80%,0,IF(C23&lt;90%,0.5,IF(C23&lt;95%,0.75,1)))</f>
        <v>1</v>
      </c>
      <c r="D25" s="59">
        <f>IF(D23&lt;80%,0,IF(D23&lt;90%,0.5,IF(D23&lt;95%,0.75,1)))</f>
        <v>1</v>
      </c>
      <c r="E25" s="164"/>
      <c r="F25" s="59">
        <f>IF(F23&lt;80%,0,IF(F23&lt;90%,0.5,IF(F23&lt;95%,0.75,1)))</f>
        <v>1</v>
      </c>
      <c r="G25" s="59">
        <f>IF(G23&lt;80%,0,IF(G23&lt;90%,0.5,IF(G23&lt;95%,0.75,1)))</f>
        <v>1</v>
      </c>
      <c r="H25" s="59">
        <f>IF(H23&lt;80%,0,IF(H23&lt;90%,0.5,IF(H23&lt;95%,0.75,1)))</f>
        <v>1</v>
      </c>
      <c r="I25" s="164"/>
      <c r="J25" s="59">
        <f>IF(J23&lt;80%,0,IF(J23&lt;90%,0.5,IF(J23&lt;95%,0.75,1)))</f>
        <v>0</v>
      </c>
      <c r="K25" s="59">
        <f>IF(K23&lt;80%,0,IF(K23&lt;90%,0.5,IF(K23&lt;95%,0.75,1)))</f>
        <v>0</v>
      </c>
      <c r="L25" s="59">
        <f>IF(L23&lt;80%,0,IF(L23&lt;90%,0.5,IF(L23&lt;95%,0.75,1)))</f>
        <v>0</v>
      </c>
      <c r="M25" s="164"/>
      <c r="N25" s="59">
        <f>IF(N23&lt;80%,0,IF(N23&lt;90%,0.5,IF(N23&lt;95%,0.75,1)))</f>
        <v>0</v>
      </c>
      <c r="O25" s="59">
        <f>IF(O23&lt;80%,0,IF(O23&lt;90%,0.5,IF(O23&lt;95%,0.75,1)))</f>
        <v>0</v>
      </c>
      <c r="P25" s="59">
        <f>IF(P23&lt;80%,0,IF(P23&lt;90%,0.5,IF(P23&lt;95%,0.75,1)))</f>
        <v>0</v>
      </c>
      <c r="Q25" s="164"/>
      <c r="R25" s="108"/>
      <c r="S25" s="11"/>
    </row>
    <row r="26" spans="1:19" s="18" customFormat="1" ht="15" customHeight="1">
      <c r="A26" s="45" t="s">
        <v>54</v>
      </c>
      <c r="B26" s="60">
        <f>B25*B24</f>
        <v>2520</v>
      </c>
      <c r="C26" s="60">
        <f>C25*C24</f>
        <v>2520</v>
      </c>
      <c r="D26" s="60">
        <f>D25*D24</f>
        <v>2520</v>
      </c>
      <c r="E26" s="168"/>
      <c r="F26" s="60">
        <f>F25*F24</f>
        <v>2493.3880867219968</v>
      </c>
      <c r="G26" s="60">
        <f>G25*G24</f>
        <v>2493.3880867219968</v>
      </c>
      <c r="H26" s="60">
        <f>H25*H24</f>
        <v>2493.3880867219968</v>
      </c>
      <c r="I26" s="168"/>
      <c r="J26" s="60">
        <f>J25*J24</f>
        <v>0</v>
      </c>
      <c r="K26" s="60">
        <f>K25*K24</f>
        <v>0</v>
      </c>
      <c r="L26" s="60">
        <f>L25*L24</f>
        <v>0</v>
      </c>
      <c r="M26" s="168"/>
      <c r="N26" s="60">
        <f>N25*N24</f>
        <v>0</v>
      </c>
      <c r="O26" s="60">
        <f>O25*O24</f>
        <v>0</v>
      </c>
      <c r="P26" s="60">
        <f>P25*P24</f>
        <v>0</v>
      </c>
      <c r="Q26" s="168"/>
      <c r="R26" s="107"/>
      <c r="S26" s="11"/>
    </row>
    <row r="27" spans="1:19" s="31" customFormat="1" ht="15" customHeight="1">
      <c r="A27" s="17" t="s">
        <v>34</v>
      </c>
      <c r="B27" s="59"/>
      <c r="C27" s="59"/>
      <c r="D27" s="59"/>
      <c r="E27" s="164"/>
      <c r="F27" s="59"/>
      <c r="G27" s="59"/>
      <c r="H27" s="59"/>
      <c r="I27" s="164"/>
      <c r="J27" s="59"/>
      <c r="K27" s="59"/>
      <c r="L27" s="59"/>
      <c r="M27" s="164"/>
      <c r="N27" s="59"/>
      <c r="O27" s="59"/>
      <c r="P27" s="59"/>
      <c r="Q27" s="164"/>
      <c r="R27" s="108"/>
      <c r="S27" s="30"/>
    </row>
    <row r="28" spans="1:19" s="37" customFormat="1" ht="15" customHeight="1">
      <c r="A28" s="734" t="s">
        <v>59</v>
      </c>
      <c r="B28" s="735">
        <f>B17*0.05</f>
        <v>360</v>
      </c>
      <c r="C28" s="735">
        <f>C17*0.05</f>
        <v>360</v>
      </c>
      <c r="D28" s="735">
        <f>D17*0.05</f>
        <v>360</v>
      </c>
      <c r="E28" s="470"/>
      <c r="F28" s="735">
        <f>F18*0.05</f>
        <v>350</v>
      </c>
      <c r="G28" s="735">
        <f>G18*0.05</f>
        <v>350</v>
      </c>
      <c r="H28" s="735">
        <f>H18*0.05</f>
        <v>350</v>
      </c>
      <c r="I28" s="470"/>
      <c r="J28" s="735">
        <f>J18*0.05</f>
        <v>350</v>
      </c>
      <c r="K28" s="735">
        <f>K18*0.05</f>
        <v>350</v>
      </c>
      <c r="L28" s="735">
        <f>L18*0.05</f>
        <v>350</v>
      </c>
      <c r="M28" s="470"/>
      <c r="N28" s="735">
        <f>N18*0.05</f>
        <v>350</v>
      </c>
      <c r="O28" s="735">
        <f>O18*0.05</f>
        <v>350</v>
      </c>
      <c r="P28" s="735">
        <f>P18*0.05</f>
        <v>350</v>
      </c>
      <c r="Q28" s="470"/>
      <c r="R28" s="730"/>
      <c r="S28" s="15"/>
    </row>
    <row r="29" spans="1:19" s="37" customFormat="1" ht="15" customHeight="1">
      <c r="A29" s="17" t="s">
        <v>62</v>
      </c>
      <c r="B29" s="59">
        <v>1</v>
      </c>
      <c r="C29" s="59">
        <v>1</v>
      </c>
      <c r="D29" s="59">
        <v>1</v>
      </c>
      <c r="E29" s="164"/>
      <c r="F29" s="59">
        <v>1</v>
      </c>
      <c r="G29" s="59">
        <v>1</v>
      </c>
      <c r="H29" s="59">
        <v>1</v>
      </c>
      <c r="I29" s="164"/>
      <c r="J29" s="59"/>
      <c r="K29" s="59"/>
      <c r="L29" s="59"/>
      <c r="M29" s="164"/>
      <c r="N29" s="59"/>
      <c r="O29" s="59"/>
      <c r="P29" s="59"/>
      <c r="Q29" s="164"/>
      <c r="R29" s="108"/>
      <c r="S29" s="15"/>
    </row>
    <row r="30" spans="1:19" s="19" customFormat="1" ht="15" customHeight="1">
      <c r="A30" s="50" t="s">
        <v>63</v>
      </c>
      <c r="B30" s="60">
        <f>B29*B28</f>
        <v>360</v>
      </c>
      <c r="C30" s="60">
        <f>C29*C28</f>
        <v>360</v>
      </c>
      <c r="D30" s="60">
        <f>D29*D28</f>
        <v>360</v>
      </c>
      <c r="E30" s="168"/>
      <c r="F30" s="60">
        <f>F29*F28</f>
        <v>350</v>
      </c>
      <c r="G30" s="60">
        <f>G29*G28</f>
        <v>350</v>
      </c>
      <c r="H30" s="60">
        <f>H29*H28</f>
        <v>350</v>
      </c>
      <c r="I30" s="168"/>
      <c r="J30" s="60">
        <f>J29*J28</f>
        <v>0</v>
      </c>
      <c r="K30" s="60">
        <f>K29*K28</f>
        <v>0</v>
      </c>
      <c r="L30" s="60">
        <f>L29*L28</f>
        <v>0</v>
      </c>
      <c r="M30" s="168"/>
      <c r="N30" s="60">
        <f>N29*N28</f>
        <v>0</v>
      </c>
      <c r="O30" s="60">
        <f>O29*O28</f>
        <v>0</v>
      </c>
      <c r="P30" s="60">
        <f>P29*P28</f>
        <v>0</v>
      </c>
      <c r="Q30" s="168"/>
      <c r="R30" s="110"/>
      <c r="S30" s="13"/>
    </row>
    <row r="31" spans="1:19" s="37" customFormat="1" ht="15" customHeight="1">
      <c r="A31" s="43" t="s">
        <v>67</v>
      </c>
      <c r="B31" s="63">
        <f>B26+B30</f>
        <v>2880</v>
      </c>
      <c r="C31" s="63">
        <f>C26+C30</f>
        <v>2880</v>
      </c>
      <c r="D31" s="63">
        <f>D26+D30</f>
        <v>2880</v>
      </c>
      <c r="E31" s="170"/>
      <c r="F31" s="63">
        <f>F26+F30</f>
        <v>2843.3880867219968</v>
      </c>
      <c r="G31" s="63">
        <f>G26+G30</f>
        <v>2843.3880867219968</v>
      </c>
      <c r="H31" s="63">
        <f>H26+H30</f>
        <v>2843.3880867219968</v>
      </c>
      <c r="I31" s="170"/>
      <c r="J31" s="63">
        <f>J26+J30</f>
        <v>0</v>
      </c>
      <c r="K31" s="63">
        <f>K26+K30</f>
        <v>0</v>
      </c>
      <c r="L31" s="63">
        <f>L26+L30</f>
        <v>0</v>
      </c>
      <c r="M31" s="170"/>
      <c r="N31" s="63">
        <f>N26+N30</f>
        <v>0</v>
      </c>
      <c r="O31" s="63">
        <f>O26+O30</f>
        <v>0</v>
      </c>
      <c r="P31" s="63">
        <f>P26+P30</f>
        <v>0</v>
      </c>
      <c r="Q31" s="170"/>
      <c r="R31" s="111"/>
      <c r="S31" s="15"/>
    </row>
    <row r="32" spans="1:19" s="37" customFormat="1" ht="15" customHeight="1">
      <c r="A32" s="102" t="s">
        <v>115</v>
      </c>
      <c r="B32" s="764">
        <f>D5</f>
        <v>226000</v>
      </c>
      <c r="C32" s="765"/>
      <c r="D32" s="765"/>
      <c r="E32" s="766"/>
      <c r="F32" s="764">
        <f>H5</f>
        <v>234667.10000000006</v>
      </c>
      <c r="G32" s="765"/>
      <c r="H32" s="765"/>
      <c r="I32" s="766"/>
      <c r="J32" s="764">
        <f>L5</f>
        <v>234667.10000000006</v>
      </c>
      <c r="K32" s="765"/>
      <c r="L32" s="765"/>
      <c r="M32" s="766"/>
      <c r="N32" s="764">
        <f>P5</f>
        <v>234667.10000000006</v>
      </c>
      <c r="O32" s="765"/>
      <c r="P32" s="765"/>
      <c r="Q32" s="766"/>
      <c r="R32" s="730"/>
      <c r="S32" s="15"/>
    </row>
    <row r="33" spans="1:19" s="37" customFormat="1" ht="15" customHeight="1">
      <c r="A33" s="102" t="s">
        <v>69</v>
      </c>
      <c r="B33" s="764">
        <f>D7</f>
        <v>215558.04690000002</v>
      </c>
      <c r="C33" s="765"/>
      <c r="D33" s="765"/>
      <c r="E33" s="766"/>
      <c r="F33" s="764">
        <f>H7</f>
        <v>259625.74219999998</v>
      </c>
      <c r="G33" s="765"/>
      <c r="H33" s="765"/>
      <c r="I33" s="766"/>
      <c r="J33" s="764">
        <f>L7</f>
        <v>0</v>
      </c>
      <c r="K33" s="765"/>
      <c r="L33" s="765"/>
      <c r="M33" s="766"/>
      <c r="N33" s="764">
        <f>P7</f>
        <v>0</v>
      </c>
      <c r="O33" s="765"/>
      <c r="P33" s="765"/>
      <c r="Q33" s="766"/>
      <c r="R33" s="730"/>
      <c r="S33" s="15"/>
    </row>
    <row r="34" spans="1:19" s="18" customFormat="1" ht="15" customHeight="1">
      <c r="A34" s="102" t="s">
        <v>68</v>
      </c>
      <c r="B34" s="770">
        <f>B33/B32</f>
        <v>0.95379666769911509</v>
      </c>
      <c r="C34" s="771"/>
      <c r="D34" s="771"/>
      <c r="E34" s="766"/>
      <c r="F34" s="770">
        <f>F33/F32</f>
        <v>1.1063576538850137</v>
      </c>
      <c r="G34" s="771"/>
      <c r="H34" s="771"/>
      <c r="I34" s="766"/>
      <c r="J34" s="770">
        <f>J33/J32</f>
        <v>0</v>
      </c>
      <c r="K34" s="771"/>
      <c r="L34" s="771"/>
      <c r="M34" s="766"/>
      <c r="N34" s="770">
        <f>N33/N32</f>
        <v>0</v>
      </c>
      <c r="O34" s="771"/>
      <c r="P34" s="771"/>
      <c r="Q34" s="766"/>
      <c r="R34" s="730"/>
      <c r="S34" s="11"/>
    </row>
    <row r="35" spans="1:19" s="18" customFormat="1" ht="15" customHeight="1">
      <c r="A35" s="102" t="s">
        <v>65</v>
      </c>
      <c r="B35" s="764">
        <f>D17</f>
        <v>7200</v>
      </c>
      <c r="C35" s="765"/>
      <c r="D35" s="765"/>
      <c r="E35" s="766"/>
      <c r="F35" s="764">
        <f>H18</f>
        <v>7000</v>
      </c>
      <c r="G35" s="765"/>
      <c r="H35" s="765"/>
      <c r="I35" s="766"/>
      <c r="J35" s="764">
        <f>L18</f>
        <v>7000</v>
      </c>
      <c r="K35" s="765"/>
      <c r="L35" s="765"/>
      <c r="M35" s="766"/>
      <c r="N35" s="764">
        <f>P18</f>
        <v>7000</v>
      </c>
      <c r="O35" s="765"/>
      <c r="P35" s="765"/>
      <c r="Q35" s="766"/>
      <c r="R35" s="730"/>
      <c r="S35" s="11"/>
    </row>
    <row r="36" spans="1:19" s="18" customFormat="1" ht="15" customHeight="1">
      <c r="A36" s="731" t="s">
        <v>66</v>
      </c>
      <c r="B36" s="764">
        <f>IF(B34&lt;100%,0,IF(B34&lt;105%,0.5,IF(B34&lt;110%,0.7,1)))</f>
        <v>0</v>
      </c>
      <c r="C36" s="765"/>
      <c r="D36" s="765"/>
      <c r="E36" s="766"/>
      <c r="F36" s="764">
        <f>IF(F34&lt;100%,0,IF(F34&lt;105%,0.5,IF(F34&lt;110%,0.7,1)))</f>
        <v>1</v>
      </c>
      <c r="G36" s="765"/>
      <c r="H36" s="765"/>
      <c r="I36" s="766"/>
      <c r="J36" s="764">
        <f>IF(J34&lt;100%,0,IF(J34&lt;105%,0.5,IF(J34&lt;110%,0.7,1)))</f>
        <v>0</v>
      </c>
      <c r="K36" s="765"/>
      <c r="L36" s="765"/>
      <c r="M36" s="766"/>
      <c r="N36" s="764">
        <f>IF(N34&lt;100%,0,IF(N34&lt;105%,0.5,IF(N34&lt;110%,0.7,1)))</f>
        <v>0</v>
      </c>
      <c r="O36" s="765"/>
      <c r="P36" s="765"/>
      <c r="Q36" s="766"/>
      <c r="R36" s="730"/>
      <c r="S36" s="11"/>
    </row>
    <row r="37" spans="1:19" s="18" customFormat="1" ht="15" customHeight="1">
      <c r="A37" s="731" t="s">
        <v>64</v>
      </c>
      <c r="B37" s="764">
        <f>B36*B35</f>
        <v>0</v>
      </c>
      <c r="C37" s="765"/>
      <c r="D37" s="765"/>
      <c r="E37" s="766"/>
      <c r="F37" s="764">
        <f>F36*F35</f>
        <v>7000</v>
      </c>
      <c r="G37" s="765"/>
      <c r="H37" s="765"/>
      <c r="I37" s="766"/>
      <c r="J37" s="764">
        <f>J36*J35</f>
        <v>0</v>
      </c>
      <c r="K37" s="765"/>
      <c r="L37" s="765"/>
      <c r="M37" s="766"/>
      <c r="N37" s="764">
        <f>N36*N35</f>
        <v>0</v>
      </c>
      <c r="O37" s="765"/>
      <c r="P37" s="765"/>
      <c r="Q37" s="766"/>
      <c r="R37" s="730"/>
      <c r="S37" s="11"/>
    </row>
    <row r="38" spans="1:19" s="18" customFormat="1" ht="15" customHeight="1" thickBot="1">
      <c r="A38" s="48"/>
      <c r="B38" s="49"/>
      <c r="C38" s="49"/>
      <c r="D38" s="49"/>
      <c r="E38" s="116"/>
      <c r="F38" s="49"/>
      <c r="G38" s="49"/>
      <c r="H38" s="49"/>
      <c r="I38" s="116"/>
      <c r="J38" s="49"/>
      <c r="K38" s="49"/>
      <c r="L38" s="49"/>
      <c r="M38" s="116"/>
      <c r="N38" s="49"/>
      <c r="O38" s="49"/>
      <c r="P38" s="49"/>
      <c r="Q38" s="116"/>
      <c r="R38" s="117"/>
      <c r="S38" s="11"/>
    </row>
    <row r="39" spans="1:19" ht="13.8" thickBot="1">
      <c r="A39" s="280" t="s">
        <v>91</v>
      </c>
      <c r="B39" s="291" t="s">
        <v>1</v>
      </c>
      <c r="C39" s="291" t="s">
        <v>2</v>
      </c>
      <c r="D39" s="291" t="s">
        <v>3</v>
      </c>
      <c r="E39" s="289" t="s">
        <v>93</v>
      </c>
      <c r="F39" s="291" t="s">
        <v>4</v>
      </c>
      <c r="G39" s="291" t="s">
        <v>5</v>
      </c>
      <c r="H39" s="291" t="s">
        <v>6</v>
      </c>
      <c r="I39" s="289" t="s">
        <v>93</v>
      </c>
      <c r="J39" s="291" t="s">
        <v>7</v>
      </c>
      <c r="K39" s="291" t="s">
        <v>8</v>
      </c>
      <c r="L39" s="291" t="s">
        <v>9</v>
      </c>
      <c r="M39" s="289" t="s">
        <v>93</v>
      </c>
      <c r="N39" s="291" t="s">
        <v>92</v>
      </c>
      <c r="O39" s="291" t="s">
        <v>11</v>
      </c>
      <c r="P39" s="291" t="s">
        <v>12</v>
      </c>
      <c r="Q39" s="289" t="s">
        <v>93</v>
      </c>
      <c r="R39" s="289" t="s">
        <v>93</v>
      </c>
    </row>
    <row r="40" spans="1:19" ht="13.8" thickTop="1">
      <c r="A40" s="281" t="s">
        <v>94</v>
      </c>
      <c r="B40" s="133"/>
      <c r="C40" s="133"/>
      <c r="D40" s="133"/>
      <c r="E40" s="290">
        <f>SUM(B40:D40)</f>
        <v>0</v>
      </c>
      <c r="F40" s="133"/>
      <c r="G40" s="133"/>
      <c r="H40" s="133"/>
      <c r="I40" s="290">
        <f>SUM(F40:H40)</f>
        <v>0</v>
      </c>
      <c r="J40" s="133"/>
      <c r="K40" s="133"/>
      <c r="L40" s="133"/>
      <c r="M40" s="290">
        <f>SUM(J40:L40)</f>
        <v>0</v>
      </c>
      <c r="N40" s="133"/>
      <c r="O40" s="133"/>
      <c r="P40" s="403"/>
      <c r="Q40" s="290">
        <f>SUM(N40:P40)</f>
        <v>0</v>
      </c>
      <c r="R40" s="290">
        <f>I40+M40+Q40+E40</f>
        <v>0</v>
      </c>
      <c r="S40" s="52"/>
    </row>
    <row r="41" spans="1:19">
      <c r="A41" s="282" t="s">
        <v>95</v>
      </c>
      <c r="B41" s="134"/>
      <c r="C41" s="134"/>
      <c r="D41" s="134"/>
      <c r="E41" s="174"/>
      <c r="F41" s="134"/>
      <c r="G41" s="134"/>
      <c r="H41" s="134"/>
      <c r="I41" s="174"/>
      <c r="J41" s="134"/>
      <c r="K41" s="134"/>
      <c r="L41" s="134"/>
      <c r="M41" s="174"/>
      <c r="N41" s="134"/>
      <c r="O41" s="134"/>
      <c r="P41" s="400"/>
      <c r="Q41" s="174"/>
      <c r="R41" s="174"/>
      <c r="S41" s="52"/>
    </row>
    <row r="42" spans="1:19">
      <c r="A42" s="282" t="s">
        <v>96</v>
      </c>
      <c r="B42" s="134"/>
      <c r="C42" s="134"/>
      <c r="D42" s="134"/>
      <c r="E42" s="174"/>
      <c r="F42" s="134"/>
      <c r="G42" s="134"/>
      <c r="H42" s="134"/>
      <c r="I42" s="174"/>
      <c r="J42" s="134"/>
      <c r="K42" s="134"/>
      <c r="L42" s="134"/>
      <c r="M42" s="174"/>
      <c r="N42" s="134"/>
      <c r="O42" s="134"/>
      <c r="P42" s="400"/>
      <c r="Q42" s="174"/>
      <c r="R42" s="174"/>
      <c r="S42" s="52"/>
    </row>
    <row r="43" spans="1:19">
      <c r="A43" s="282" t="s">
        <v>125</v>
      </c>
      <c r="B43" s="134"/>
      <c r="C43" s="134"/>
      <c r="D43" s="134"/>
      <c r="E43" s="174"/>
      <c r="F43" s="134"/>
      <c r="G43" s="134"/>
      <c r="H43" s="134"/>
      <c r="I43" s="174"/>
      <c r="J43" s="134"/>
      <c r="K43" s="134"/>
      <c r="L43" s="134"/>
      <c r="M43" s="174"/>
      <c r="N43" s="134"/>
      <c r="O43" s="134"/>
      <c r="P43" s="400"/>
      <c r="Q43" s="174"/>
      <c r="R43" s="174"/>
      <c r="S43" s="52"/>
    </row>
    <row r="44" spans="1:19">
      <c r="A44" s="282" t="s">
        <v>97</v>
      </c>
      <c r="B44" s="516"/>
      <c r="C44" s="516"/>
      <c r="D44" s="516"/>
      <c r="E44" s="175"/>
      <c r="F44" s="516"/>
      <c r="G44" s="516"/>
      <c r="H44" s="516"/>
      <c r="I44" s="175"/>
      <c r="J44" s="516"/>
      <c r="K44" s="516"/>
      <c r="L44" s="516"/>
      <c r="M44" s="175"/>
      <c r="N44" s="516"/>
      <c r="O44" s="516"/>
      <c r="P44" s="409"/>
      <c r="Q44" s="175"/>
      <c r="R44" s="175"/>
      <c r="S44" s="52"/>
    </row>
    <row r="45" spans="1:19" ht="13.8" thickBot="1">
      <c r="A45" s="283" t="s">
        <v>98</v>
      </c>
      <c r="B45" s="135"/>
      <c r="C45" s="135"/>
      <c r="D45" s="135"/>
      <c r="E45" s="290">
        <f t="shared" ref="E45:E46" si="8">SUM(B45:D45)</f>
        <v>0</v>
      </c>
      <c r="F45" s="135"/>
      <c r="G45" s="135"/>
      <c r="H45" s="135"/>
      <c r="I45" s="290">
        <f t="shared" ref="I45:I46" si="9">SUM(F45:H45)</f>
        <v>0</v>
      </c>
      <c r="J45" s="135"/>
      <c r="K45" s="135"/>
      <c r="L45" s="135"/>
      <c r="M45" s="290">
        <f t="shared" ref="M45:M46" si="10">SUM(J45:L45)</f>
        <v>0</v>
      </c>
      <c r="N45" s="135"/>
      <c r="O45" s="135"/>
      <c r="P45" s="404"/>
      <c r="Q45" s="290">
        <f t="shared" ref="Q45:Q46" si="11">SUM(N45:P45)</f>
        <v>0</v>
      </c>
      <c r="R45" s="290">
        <f>I45+M45+Q45+E45</f>
        <v>0</v>
      </c>
      <c r="S45" s="52"/>
    </row>
    <row r="46" spans="1:19" ht="13.8" thickTop="1">
      <c r="A46" s="284" t="s">
        <v>126</v>
      </c>
      <c r="B46" s="136"/>
      <c r="C46" s="136"/>
      <c r="D46" s="136"/>
      <c r="E46" s="290">
        <f t="shared" si="8"/>
        <v>0</v>
      </c>
      <c r="F46" s="136"/>
      <c r="G46" s="136"/>
      <c r="H46" s="136"/>
      <c r="I46" s="290">
        <f t="shared" si="9"/>
        <v>0</v>
      </c>
      <c r="J46" s="136"/>
      <c r="K46" s="136"/>
      <c r="L46" s="136"/>
      <c r="M46" s="290">
        <f t="shared" si="10"/>
        <v>0</v>
      </c>
      <c r="N46" s="136"/>
      <c r="O46" s="136"/>
      <c r="P46" s="405"/>
      <c r="Q46" s="290">
        <f t="shared" si="11"/>
        <v>0</v>
      </c>
      <c r="R46" s="290">
        <f>I46+M46+Q46+E46</f>
        <v>0</v>
      </c>
      <c r="S46" s="52"/>
    </row>
    <row r="47" spans="1:19">
      <c r="A47" s="282" t="s">
        <v>99</v>
      </c>
      <c r="B47" s="134"/>
      <c r="C47" s="134"/>
      <c r="D47" s="134"/>
      <c r="E47" s="176"/>
      <c r="F47" s="134"/>
      <c r="G47" s="134"/>
      <c r="H47" s="134"/>
      <c r="I47" s="176"/>
      <c r="J47" s="134"/>
      <c r="K47" s="134"/>
      <c r="L47" s="134"/>
      <c r="M47" s="176"/>
      <c r="N47" s="134"/>
      <c r="O47" s="134"/>
      <c r="P47" s="400"/>
      <c r="Q47" s="176"/>
      <c r="R47" s="176"/>
      <c r="S47" s="52"/>
    </row>
    <row r="48" spans="1:19">
      <c r="A48" s="282" t="s">
        <v>100</v>
      </c>
      <c r="B48" s="134"/>
      <c r="C48" s="134"/>
      <c r="D48" s="134"/>
      <c r="E48" s="290">
        <f t="shared" ref="E48:E52" si="12">SUM(B48:D48)</f>
        <v>0</v>
      </c>
      <c r="F48" s="134"/>
      <c r="G48" s="134"/>
      <c r="H48" s="134"/>
      <c r="I48" s="290">
        <f t="shared" ref="I48:I52" si="13">SUM(F48:H48)</f>
        <v>0</v>
      </c>
      <c r="J48" s="134"/>
      <c r="K48" s="134"/>
      <c r="L48" s="134"/>
      <c r="M48" s="290">
        <f t="shared" ref="M48:M52" si="14">SUM(J48:L48)</f>
        <v>0</v>
      </c>
      <c r="N48" s="134"/>
      <c r="O48" s="134"/>
      <c r="P48" s="400"/>
      <c r="Q48" s="290">
        <f t="shared" ref="Q48:Q52" si="15">SUM(N48:P48)</f>
        <v>0</v>
      </c>
      <c r="R48" s="290">
        <f>I48+M48+Q48+E48</f>
        <v>0</v>
      </c>
      <c r="S48" s="52"/>
    </row>
    <row r="49" spans="1:19" ht="13.8" thickBot="1">
      <c r="A49" s="285" t="s">
        <v>101</v>
      </c>
      <c r="B49" s="137"/>
      <c r="C49" s="137"/>
      <c r="D49" s="137"/>
      <c r="E49" s="290">
        <f t="shared" si="12"/>
        <v>0</v>
      </c>
      <c r="F49" s="137"/>
      <c r="G49" s="137"/>
      <c r="H49" s="137"/>
      <c r="I49" s="290">
        <f t="shared" si="13"/>
        <v>0</v>
      </c>
      <c r="J49" s="137"/>
      <c r="K49" s="137"/>
      <c r="L49" s="137"/>
      <c r="M49" s="290">
        <f t="shared" si="14"/>
        <v>0</v>
      </c>
      <c r="N49" s="137"/>
      <c r="O49" s="137"/>
      <c r="P49" s="406"/>
      <c r="Q49" s="290">
        <f t="shared" si="15"/>
        <v>0</v>
      </c>
      <c r="R49" s="290">
        <f>I49+M49+Q49+E49</f>
        <v>0</v>
      </c>
      <c r="S49" s="52"/>
    </row>
    <row r="50" spans="1:19" ht="13.8" thickTop="1">
      <c r="A50" s="281" t="s">
        <v>173</v>
      </c>
      <c r="B50" s="133"/>
      <c r="C50" s="133"/>
      <c r="D50" s="133"/>
      <c r="E50" s="290">
        <f t="shared" si="12"/>
        <v>0</v>
      </c>
      <c r="F50" s="133"/>
      <c r="G50" s="133"/>
      <c r="H50" s="133"/>
      <c r="I50" s="290">
        <f t="shared" si="13"/>
        <v>0</v>
      </c>
      <c r="J50" s="133"/>
      <c r="K50" s="133"/>
      <c r="L50" s="133"/>
      <c r="M50" s="290">
        <f t="shared" si="14"/>
        <v>0</v>
      </c>
      <c r="N50" s="133"/>
      <c r="O50" s="133"/>
      <c r="P50" s="403"/>
      <c r="Q50" s="290">
        <f t="shared" si="15"/>
        <v>0</v>
      </c>
      <c r="R50" s="290">
        <f>I50+M50+Q50+E50</f>
        <v>0</v>
      </c>
      <c r="S50" s="52"/>
    </row>
    <row r="51" spans="1:19" ht="13.8" thickBot="1">
      <c r="A51" s="283" t="s">
        <v>102</v>
      </c>
      <c r="B51" s="135"/>
      <c r="C51" s="135"/>
      <c r="D51" s="135"/>
      <c r="E51" s="290">
        <f t="shared" si="12"/>
        <v>0</v>
      </c>
      <c r="F51" s="135"/>
      <c r="G51" s="135"/>
      <c r="H51" s="135"/>
      <c r="I51" s="290">
        <f t="shared" si="13"/>
        <v>0</v>
      </c>
      <c r="J51" s="135"/>
      <c r="K51" s="135"/>
      <c r="L51" s="135"/>
      <c r="M51" s="290">
        <f t="shared" si="14"/>
        <v>0</v>
      </c>
      <c r="N51" s="135"/>
      <c r="O51" s="135"/>
      <c r="P51" s="404"/>
      <c r="Q51" s="290">
        <f t="shared" si="15"/>
        <v>0</v>
      </c>
      <c r="R51" s="290">
        <f>I51+M51+Q51+E51</f>
        <v>0</v>
      </c>
      <c r="S51" s="52"/>
    </row>
    <row r="52" spans="1:19" ht="14.4" thickTop="1" thickBot="1">
      <c r="A52" s="283" t="s">
        <v>103</v>
      </c>
      <c r="B52" s="135"/>
      <c r="C52" s="135"/>
      <c r="D52" s="135"/>
      <c r="E52" s="290">
        <f t="shared" si="12"/>
        <v>0</v>
      </c>
      <c r="F52" s="135"/>
      <c r="G52" s="135"/>
      <c r="H52" s="135"/>
      <c r="I52" s="290">
        <f t="shared" si="13"/>
        <v>0</v>
      </c>
      <c r="J52" s="135"/>
      <c r="K52" s="135"/>
      <c r="L52" s="135"/>
      <c r="M52" s="290">
        <f t="shared" si="14"/>
        <v>0</v>
      </c>
      <c r="N52" s="135"/>
      <c r="O52" s="135"/>
      <c r="P52" s="404"/>
      <c r="Q52" s="290">
        <f t="shared" si="15"/>
        <v>0</v>
      </c>
      <c r="R52" s="290">
        <f>I52+M52+Q52+E52</f>
        <v>0</v>
      </c>
      <c r="S52" s="52"/>
    </row>
    <row r="53" spans="1:19" ht="13.8" thickTop="1">
      <c r="A53" s="286" t="s">
        <v>104</v>
      </c>
      <c r="B53" s="139"/>
      <c r="C53" s="139"/>
      <c r="D53" s="139"/>
      <c r="E53" s="132"/>
      <c r="F53" s="139"/>
      <c r="G53" s="139"/>
      <c r="H53" s="139"/>
      <c r="I53" s="132"/>
      <c r="J53" s="139"/>
      <c r="K53" s="139"/>
      <c r="L53" s="172"/>
      <c r="M53" s="132"/>
      <c r="N53" s="139"/>
      <c r="O53" s="139"/>
      <c r="P53" s="407"/>
      <c r="Q53" s="132"/>
      <c r="R53" s="132"/>
      <c r="S53" s="52"/>
    </row>
    <row r="54" spans="1:19">
      <c r="A54" s="287" t="s">
        <v>105</v>
      </c>
      <c r="B54" s="140"/>
      <c r="C54" s="140"/>
      <c r="D54" s="140"/>
      <c r="E54" s="290">
        <f t="shared" ref="E54:E56" si="16">SUM(B54:D54)</f>
        <v>0</v>
      </c>
      <c r="F54" s="140"/>
      <c r="G54" s="140"/>
      <c r="H54" s="140"/>
      <c r="I54" s="290">
        <f t="shared" ref="I54:I56" si="17">SUM(F54:H54)</f>
        <v>0</v>
      </c>
      <c r="J54" s="140"/>
      <c r="K54" s="140"/>
      <c r="L54" s="173"/>
      <c r="M54" s="290">
        <f t="shared" ref="M54:M56" si="18">SUM(J54:L54)</f>
        <v>0</v>
      </c>
      <c r="N54" s="140"/>
      <c r="O54" s="140"/>
      <c r="P54" s="408"/>
      <c r="Q54" s="290">
        <f t="shared" ref="Q54:Q56" si="19">SUM(N54:P54)</f>
        <v>0</v>
      </c>
      <c r="R54" s="290">
        <f>I54+M54+Q54+E54</f>
        <v>0</v>
      </c>
      <c r="S54" s="52"/>
    </row>
    <row r="55" spans="1:19">
      <c r="A55" s="287" t="s">
        <v>106</v>
      </c>
      <c r="B55" s="140"/>
      <c r="C55" s="140"/>
      <c r="D55" s="140"/>
      <c r="E55" s="290">
        <f t="shared" si="16"/>
        <v>0</v>
      </c>
      <c r="F55" s="140"/>
      <c r="G55" s="140"/>
      <c r="H55" s="140"/>
      <c r="I55" s="290">
        <f t="shared" si="17"/>
        <v>0</v>
      </c>
      <c r="J55" s="140"/>
      <c r="K55" s="140"/>
      <c r="L55" s="173"/>
      <c r="M55" s="290">
        <f t="shared" si="18"/>
        <v>0</v>
      </c>
      <c r="N55" s="140"/>
      <c r="O55" s="317"/>
      <c r="P55" s="402"/>
      <c r="Q55" s="290">
        <f t="shared" si="19"/>
        <v>0</v>
      </c>
      <c r="R55" s="290">
        <f>I55+M55+Q55+E55</f>
        <v>0</v>
      </c>
      <c r="S55" s="52"/>
    </row>
    <row r="56" spans="1:19">
      <c r="A56" s="287" t="s">
        <v>107</v>
      </c>
      <c r="B56" s="140"/>
      <c r="C56" s="140"/>
      <c r="D56" s="140"/>
      <c r="E56" s="290">
        <f t="shared" si="16"/>
        <v>0</v>
      </c>
      <c r="F56" s="140"/>
      <c r="G56" s="140"/>
      <c r="H56" s="140"/>
      <c r="I56" s="290">
        <f t="shared" si="17"/>
        <v>0</v>
      </c>
      <c r="J56" s="140"/>
      <c r="K56" s="140"/>
      <c r="L56" s="173"/>
      <c r="M56" s="290">
        <f t="shared" si="18"/>
        <v>0</v>
      </c>
      <c r="N56" s="140"/>
      <c r="O56" s="317"/>
      <c r="P56" s="402"/>
      <c r="Q56" s="290">
        <f t="shared" si="19"/>
        <v>0</v>
      </c>
      <c r="R56" s="290">
        <f>I56+M56+Q56+E56</f>
        <v>0</v>
      </c>
      <c r="S56" s="52"/>
    </row>
    <row r="57" spans="1:19" ht="13.8" thickBot="1">
      <c r="A57" s="288" t="s">
        <v>108</v>
      </c>
      <c r="B57" s="295"/>
      <c r="C57" s="295"/>
      <c r="D57" s="295"/>
      <c r="E57" s="177"/>
      <c r="F57" s="295"/>
      <c r="G57" s="295"/>
      <c r="H57" s="295"/>
      <c r="I57" s="177"/>
      <c r="J57" s="295"/>
      <c r="K57" s="295"/>
      <c r="L57" s="297"/>
      <c r="M57" s="177"/>
      <c r="N57" s="295"/>
      <c r="O57" s="318"/>
      <c r="P57" s="401"/>
      <c r="Q57" s="177"/>
      <c r="R57" s="177"/>
      <c r="S57" s="52"/>
    </row>
    <row r="58" spans="1:19" ht="13.8" thickTop="1">
      <c r="A58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138"/>
      <c r="Q58" s="52"/>
      <c r="R58" s="52"/>
      <c r="S58" s="12"/>
    </row>
  </sheetData>
  <mergeCells count="28">
    <mergeCell ref="N35:Q35"/>
    <mergeCell ref="F35:I35"/>
    <mergeCell ref="J35:M35"/>
    <mergeCell ref="N33:Q33"/>
    <mergeCell ref="J1:M1"/>
    <mergeCell ref="J34:M34"/>
    <mergeCell ref="J33:M33"/>
    <mergeCell ref="B34:E34"/>
    <mergeCell ref="F1:I1"/>
    <mergeCell ref="N1:Q1"/>
    <mergeCell ref="F34:I34"/>
    <mergeCell ref="J32:M32"/>
    <mergeCell ref="N37:Q37"/>
    <mergeCell ref="B37:E37"/>
    <mergeCell ref="F37:I37"/>
    <mergeCell ref="J37:M37"/>
    <mergeCell ref="B1:E1"/>
    <mergeCell ref="B36:E36"/>
    <mergeCell ref="F36:I36"/>
    <mergeCell ref="J36:M36"/>
    <mergeCell ref="N36:Q36"/>
    <mergeCell ref="B32:E32"/>
    <mergeCell ref="F32:I32"/>
    <mergeCell ref="B35:E35"/>
    <mergeCell ref="F33:I33"/>
    <mergeCell ref="N32:Q32"/>
    <mergeCell ref="B33:E33"/>
    <mergeCell ref="N34:Q34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8"/>
  <sheetViews>
    <sheetView zoomScale="80" zoomScaleNormal="80" workbookViewId="0">
      <selection activeCell="H9" sqref="H9"/>
    </sheetView>
  </sheetViews>
  <sheetFormatPr defaultColWidth="9.109375" defaultRowHeight="13.2"/>
  <cols>
    <col min="1" max="1" width="45" style="15" customWidth="1"/>
    <col min="2" max="2" width="13.109375" style="11" customWidth="1"/>
    <col min="3" max="3" width="12.109375" style="11" customWidth="1"/>
    <col min="4" max="4" width="12.21875" style="11" customWidth="1"/>
    <col min="5" max="5" width="11.5546875" style="119" customWidth="1"/>
    <col min="6" max="6" width="12.21875" style="11" customWidth="1"/>
    <col min="7" max="7" width="11.77734375" style="11" customWidth="1"/>
    <col min="8" max="8" width="11.6640625" style="11" customWidth="1"/>
    <col min="9" max="9" width="12.77734375" style="119" customWidth="1"/>
    <col min="10" max="11" width="12.44140625" style="11" customWidth="1"/>
    <col min="12" max="12" width="11.44140625" style="11" customWidth="1"/>
    <col min="13" max="13" width="11.44140625" style="119" customWidth="1"/>
    <col min="14" max="15" width="12.5546875" style="11" customWidth="1"/>
    <col min="16" max="16" width="13" style="11" customWidth="1"/>
    <col min="17" max="17" width="11.44140625" style="119" customWidth="1"/>
    <col min="18" max="18" width="13.109375" style="119" customWidth="1"/>
    <col min="19" max="16384" width="9.109375" style="12"/>
  </cols>
  <sheetData>
    <row r="1" spans="1:19" s="18" customFormat="1" ht="15" customHeight="1">
      <c r="A1" s="29" t="s">
        <v>25</v>
      </c>
      <c r="B1" s="778" t="s">
        <v>122</v>
      </c>
      <c r="C1" s="768"/>
      <c r="D1" s="768"/>
      <c r="E1" s="769"/>
      <c r="F1" s="778" t="s">
        <v>138</v>
      </c>
      <c r="G1" s="768"/>
      <c r="H1" s="768"/>
      <c r="I1" s="769"/>
      <c r="J1" s="778" t="s">
        <v>145</v>
      </c>
      <c r="K1" s="768"/>
      <c r="L1" s="768"/>
      <c r="M1" s="769"/>
      <c r="N1" s="778" t="s">
        <v>176</v>
      </c>
      <c r="O1" s="768"/>
      <c r="P1" s="768"/>
      <c r="Q1" s="769"/>
      <c r="R1" s="150"/>
    </row>
    <row r="2" spans="1:19" s="18" customFormat="1" ht="15" customHeight="1">
      <c r="A2" s="84" t="s">
        <v>0</v>
      </c>
      <c r="B2" s="437" t="s">
        <v>1</v>
      </c>
      <c r="C2" s="437" t="s">
        <v>2</v>
      </c>
      <c r="D2" s="437" t="s">
        <v>3</v>
      </c>
      <c r="E2" s="156" t="s">
        <v>110</v>
      </c>
      <c r="F2" s="437" t="s">
        <v>4</v>
      </c>
      <c r="G2" s="437" t="s">
        <v>5</v>
      </c>
      <c r="H2" s="437" t="s">
        <v>6</v>
      </c>
      <c r="I2" s="156" t="s">
        <v>116</v>
      </c>
      <c r="J2" s="437" t="s">
        <v>7</v>
      </c>
      <c r="K2" s="437" t="s">
        <v>8</v>
      </c>
      <c r="L2" s="437" t="s">
        <v>9</v>
      </c>
      <c r="M2" s="156" t="s">
        <v>117</v>
      </c>
      <c r="N2" s="437" t="s">
        <v>10</v>
      </c>
      <c r="O2" s="437" t="s">
        <v>11</v>
      </c>
      <c r="P2" s="437" t="s">
        <v>12</v>
      </c>
      <c r="Q2" s="156" t="s">
        <v>118</v>
      </c>
      <c r="R2" s="85" t="s">
        <v>119</v>
      </c>
    </row>
    <row r="3" spans="1:19" s="18" customFormat="1" ht="15" customHeight="1">
      <c r="A3" s="85"/>
      <c r="B3" s="437"/>
      <c r="C3" s="437"/>
      <c r="D3" s="437"/>
      <c r="E3" s="758"/>
      <c r="F3" s="437"/>
      <c r="G3" s="437"/>
      <c r="H3" s="437"/>
      <c r="I3" s="756">
        <v>387652.27</v>
      </c>
      <c r="J3" s="437"/>
      <c r="K3" s="437"/>
      <c r="L3" s="437"/>
      <c r="M3" s="761"/>
      <c r="N3" s="437"/>
      <c r="O3" s="437"/>
      <c r="P3" s="437"/>
      <c r="Q3" s="758"/>
      <c r="R3" s="631">
        <f>Target!O7</f>
        <v>791999.2300000001</v>
      </c>
    </row>
    <row r="4" spans="1:19" s="18" customFormat="1" ht="15" customHeight="1">
      <c r="A4" s="86" t="s">
        <v>216</v>
      </c>
      <c r="B4" s="442">
        <f>Target!C7</f>
        <v>56100</v>
      </c>
      <c r="C4" s="442">
        <f>Target!D7</f>
        <v>62333.333333333336</v>
      </c>
      <c r="D4" s="442">
        <f>Target!E7</f>
        <v>68566.666666666672</v>
      </c>
      <c r="E4" s="170">
        <f>SUM(B4:D4)</f>
        <v>187000</v>
      </c>
      <c r="F4" s="442">
        <f>Target!F7</f>
        <v>60499.92300000001</v>
      </c>
      <c r="G4" s="442">
        <f>Target!G7</f>
        <v>67222.136666666673</v>
      </c>
      <c r="H4" s="442">
        <f>Target!H7</f>
        <v>73944.35033333335</v>
      </c>
      <c r="I4" s="170">
        <f>SUM(F4:H4)</f>
        <v>201666.41000000003</v>
      </c>
      <c r="J4" s="442">
        <f>Target!I7</f>
        <v>60499.92300000001</v>
      </c>
      <c r="K4" s="442">
        <f>Target!J7</f>
        <v>67222.136666666673</v>
      </c>
      <c r="L4" s="442">
        <f>Target!K7</f>
        <v>73944.35033333335</v>
      </c>
      <c r="M4" s="157">
        <f>SUM(J4:L4)</f>
        <v>201666.41000000003</v>
      </c>
      <c r="N4" s="442">
        <f>Target!L7</f>
        <v>60499.92300000001</v>
      </c>
      <c r="O4" s="442">
        <f>Target!M7</f>
        <v>67222.136666666673</v>
      </c>
      <c r="P4" s="442">
        <f>Target!N7</f>
        <v>73944.35033333335</v>
      </c>
      <c r="Q4" s="170">
        <f>SUM(N4:P4)</f>
        <v>201666.41000000003</v>
      </c>
      <c r="R4" s="473">
        <f>E4+I4+M4+Q4</f>
        <v>791999.2300000001</v>
      </c>
    </row>
    <row r="5" spans="1:19" s="18" customFormat="1" ht="15" customHeight="1">
      <c r="A5" s="88" t="s">
        <v>217</v>
      </c>
      <c r="B5" s="443">
        <f>B4</f>
        <v>56100</v>
      </c>
      <c r="C5" s="443">
        <f>C4+B5</f>
        <v>118433.33333333334</v>
      </c>
      <c r="D5" s="443">
        <f>D4+C5</f>
        <v>187000</v>
      </c>
      <c r="E5" s="447"/>
      <c r="F5" s="443">
        <f>F4</f>
        <v>60499.92300000001</v>
      </c>
      <c r="G5" s="443">
        <f>G4+F5</f>
        <v>127722.05966666668</v>
      </c>
      <c r="H5" s="443">
        <f>H4+G5</f>
        <v>201666.41000000003</v>
      </c>
      <c r="I5" s="447"/>
      <c r="J5" s="443">
        <f>J4</f>
        <v>60499.92300000001</v>
      </c>
      <c r="K5" s="443">
        <f>K4+J5</f>
        <v>127722.05966666668</v>
      </c>
      <c r="L5" s="443">
        <f>L4+K5</f>
        <v>201666.41000000003</v>
      </c>
      <c r="M5" s="158"/>
      <c r="N5" s="443">
        <f>N4</f>
        <v>60499.92300000001</v>
      </c>
      <c r="O5" s="443">
        <f>O4+N5</f>
        <v>127722.05966666668</v>
      </c>
      <c r="P5" s="443">
        <f>P4+O5</f>
        <v>201666.41000000003</v>
      </c>
      <c r="Q5" s="447"/>
      <c r="R5" s="301">
        <f>R6/R4</f>
        <v>0.45845347223380506</v>
      </c>
    </row>
    <row r="6" spans="1:19" s="18" customFormat="1" ht="15" customHeight="1">
      <c r="A6" s="90" t="s">
        <v>37</v>
      </c>
      <c r="B6" s="181">
        <f>SUMIF(I!A:A,$A$1,I!I:I)</f>
        <v>64175.683599999997</v>
      </c>
      <c r="C6" s="180">
        <f>SUMIF(II!A:A,$A$1,II!I:I)</f>
        <v>85859.203099999999</v>
      </c>
      <c r="D6" s="180">
        <f>SUMIF(III!A:A,$A$1,III!I:I)</f>
        <v>47570.597699999998</v>
      </c>
      <c r="E6" s="470">
        <f>SUM(B6:D6)</f>
        <v>197605.48440000002</v>
      </c>
      <c r="F6" s="180">
        <f>SUMIF(IV!A:A,$A$1,IV!I:I)</f>
        <v>63191.296900000001</v>
      </c>
      <c r="G6" s="180">
        <f>SUMIF(V!A:A,$A$1,V!I:I)</f>
        <v>63078.109400000001</v>
      </c>
      <c r="H6" s="180">
        <f>SUMIF(VI!A:A,$A$1,VI!I:I)</f>
        <v>39219.906300000002</v>
      </c>
      <c r="I6" s="470">
        <f>SUM(F6:H6)</f>
        <v>165489.3126</v>
      </c>
      <c r="J6" s="180">
        <f>SUMIF(VII!A:A,$A$1,VII!I:I)</f>
        <v>0</v>
      </c>
      <c r="K6" s="180">
        <f>SUMIF(VIII!A:A,$A$1,VIII!I:I)</f>
        <v>0</v>
      </c>
      <c r="L6" s="180">
        <f>SUMIF(IX!A:A,$A$1,IX!I:I)</f>
        <v>0</v>
      </c>
      <c r="M6" s="474">
        <f>SUM(J6:L6)</f>
        <v>0</v>
      </c>
      <c r="N6" s="180">
        <f>SUMIF(X!A:A,$A$1,X!I:I)</f>
        <v>0</v>
      </c>
      <c r="O6" s="180">
        <f>SUMIF(XI!A:A,$A$1,XI!I:I)</f>
        <v>0</v>
      </c>
      <c r="P6" s="180">
        <f>SUMIF(XII!A:A,$A$1,XII!I:I)</f>
        <v>0</v>
      </c>
      <c r="Q6" s="470">
        <f>SUM(N6:P6)</f>
        <v>0</v>
      </c>
      <c r="R6" s="87">
        <f>E6+I6+M6+Q6</f>
        <v>363094.79700000002</v>
      </c>
    </row>
    <row r="7" spans="1:19" s="18" customFormat="1" ht="15" customHeight="1">
      <c r="A7" s="88" t="s">
        <v>218</v>
      </c>
      <c r="B7" s="439">
        <f>B6</f>
        <v>64175.683599999997</v>
      </c>
      <c r="C7" s="439">
        <f>C6+B7</f>
        <v>150034.8867</v>
      </c>
      <c r="D7" s="439">
        <f>D6+C7</f>
        <v>197605.48440000002</v>
      </c>
      <c r="E7" s="470"/>
      <c r="F7" s="439">
        <f>F6</f>
        <v>63191.296900000001</v>
      </c>
      <c r="G7" s="439">
        <f>G6+F7</f>
        <v>126269.4063</v>
      </c>
      <c r="H7" s="439">
        <f>H6+G7</f>
        <v>165489.3126</v>
      </c>
      <c r="I7" s="447">
        <f>SUM(E6,I6)</f>
        <v>363094.79700000002</v>
      </c>
      <c r="J7" s="439">
        <f>J6</f>
        <v>0</v>
      </c>
      <c r="K7" s="439">
        <f>K6+J7</f>
        <v>0</v>
      </c>
      <c r="L7" s="439">
        <f>L6+K7</f>
        <v>0</v>
      </c>
      <c r="M7" s="495">
        <f>SUM(E6,I6,M6)/3</f>
        <v>121031.599</v>
      </c>
      <c r="N7" s="439">
        <f>N6</f>
        <v>0</v>
      </c>
      <c r="O7" s="439">
        <f>O6+N7</f>
        <v>0</v>
      </c>
      <c r="P7" s="439">
        <f>P6+O7</f>
        <v>0</v>
      </c>
      <c r="Q7" s="470"/>
      <c r="R7" s="629">
        <f>R3-R4</f>
        <v>0</v>
      </c>
    </row>
    <row r="8" spans="1:19" s="18" customFormat="1" ht="15" customHeight="1">
      <c r="A8" s="88" t="s">
        <v>219</v>
      </c>
      <c r="B8" s="75">
        <f t="shared" ref="B8:D9" si="0">B6/B4</f>
        <v>1.143951579322638</v>
      </c>
      <c r="C8" s="75">
        <f t="shared" si="0"/>
        <v>1.3774203705882353</v>
      </c>
      <c r="D8" s="75">
        <f t="shared" si="0"/>
        <v>0.69378606271268828</v>
      </c>
      <c r="E8" s="472"/>
      <c r="F8" s="75">
        <f t="shared" ref="F8:H9" si="1">F6/F4</f>
        <v>1.0444855756262696</v>
      </c>
      <c r="G8" s="75">
        <f t="shared" si="1"/>
        <v>0.93835323492891054</v>
      </c>
      <c r="H8" s="75">
        <f t="shared" si="1"/>
        <v>0.53039760472843145</v>
      </c>
      <c r="I8" s="159">
        <f>I7/I3-1</f>
        <v>-6.3349230484320396E-2</v>
      </c>
      <c r="J8" s="75">
        <f t="shared" ref="J8:L9" si="2">J6/J4</f>
        <v>0</v>
      </c>
      <c r="K8" s="75">
        <f>K6/K4</f>
        <v>0</v>
      </c>
      <c r="L8" s="75">
        <f t="shared" si="2"/>
        <v>0</v>
      </c>
      <c r="M8" s="472"/>
      <c r="N8" s="75">
        <f t="shared" ref="N8:P9" si="3">N6/N4</f>
        <v>0</v>
      </c>
      <c r="O8" s="75">
        <f t="shared" si="3"/>
        <v>0</v>
      </c>
      <c r="P8" s="75">
        <f t="shared" si="3"/>
        <v>0</v>
      </c>
      <c r="Q8" s="471"/>
      <c r="R8" s="634">
        <f>R7*100/R3</f>
        <v>0</v>
      </c>
    </row>
    <row r="9" spans="1:19" s="19" customFormat="1" ht="15" customHeight="1">
      <c r="A9" s="88" t="s">
        <v>220</v>
      </c>
      <c r="B9" s="610">
        <f t="shared" si="0"/>
        <v>1.143951579322638</v>
      </c>
      <c r="C9" s="610">
        <f t="shared" si="0"/>
        <v>1.2668298905150577</v>
      </c>
      <c r="D9" s="610">
        <f t="shared" si="0"/>
        <v>1.0567138203208557</v>
      </c>
      <c r="E9" s="611"/>
      <c r="F9" s="610">
        <f t="shared" si="1"/>
        <v>1.0444855756262696</v>
      </c>
      <c r="G9" s="610">
        <f t="shared" si="1"/>
        <v>0.98862644894344909</v>
      </c>
      <c r="H9" s="610">
        <f t="shared" si="1"/>
        <v>0.8206092060646093</v>
      </c>
      <c r="I9" s="762">
        <f>I7-I3</f>
        <v>-24557.472999999998</v>
      </c>
      <c r="J9" s="610">
        <f t="shared" si="2"/>
        <v>0</v>
      </c>
      <c r="K9" s="610">
        <f t="shared" si="2"/>
        <v>0</v>
      </c>
      <c r="L9" s="610">
        <f t="shared" si="2"/>
        <v>0</v>
      </c>
      <c r="M9" s="611"/>
      <c r="N9" s="610">
        <f t="shared" si="3"/>
        <v>0</v>
      </c>
      <c r="O9" s="610">
        <f t="shared" si="3"/>
        <v>0</v>
      </c>
      <c r="P9" s="610">
        <f t="shared" si="3"/>
        <v>0</v>
      </c>
      <c r="Q9" s="611"/>
      <c r="R9" s="612"/>
    </row>
    <row r="10" spans="1:19" s="38" customFormat="1" ht="15" customHeight="1">
      <c r="A10" s="88" t="s">
        <v>221</v>
      </c>
      <c r="B10" s="438">
        <f>B7-B5</f>
        <v>8075.6835999999967</v>
      </c>
      <c r="C10" s="438">
        <f>C7-C5</f>
        <v>31601.55336666666</v>
      </c>
      <c r="D10" s="438">
        <f>D7-D5</f>
        <v>10605.484400000016</v>
      </c>
      <c r="E10" s="470"/>
      <c r="F10" s="438">
        <f>F7-F5</f>
        <v>2691.3738999999914</v>
      </c>
      <c r="G10" s="438">
        <f>G7-G5</f>
        <v>-1452.6533666666801</v>
      </c>
      <c r="H10" s="438">
        <f>H7-H5</f>
        <v>-36177.097400000028</v>
      </c>
      <c r="I10" s="470"/>
      <c r="J10" s="438">
        <f>J7-J5</f>
        <v>-60499.92300000001</v>
      </c>
      <c r="K10" s="438">
        <f>K7-K5</f>
        <v>-127722.05966666668</v>
      </c>
      <c r="L10" s="438">
        <f>L7-L5</f>
        <v>-201666.41000000003</v>
      </c>
      <c r="M10" s="474"/>
      <c r="N10" s="438">
        <f>N7-N5</f>
        <v>-60499.92300000001</v>
      </c>
      <c r="O10" s="438">
        <f>O7-O5</f>
        <v>-127722.05966666668</v>
      </c>
      <c r="P10" s="438">
        <f>P7-P5</f>
        <v>-201666.41000000003</v>
      </c>
      <c r="Q10" s="470"/>
      <c r="R10" s="89"/>
    </row>
    <row r="11" spans="1:19" s="18" customFormat="1" ht="15" customHeight="1">
      <c r="A11" s="90" t="s">
        <v>181</v>
      </c>
      <c r="B11" s="181">
        <f>SUMIF(I!A:A,$A$1,I!G:G)</f>
        <v>166582.26560000001</v>
      </c>
      <c r="C11" s="180">
        <f>SUMIF(II!A:A,$A$1,II!G:G)</f>
        <v>198400.04689999999</v>
      </c>
      <c r="D11" s="180">
        <f>SUMIF(III!A:A,$A$1,III!G:G)</f>
        <v>135286.4063</v>
      </c>
      <c r="E11" s="470">
        <f>SUM(B11:D11)</f>
        <v>500268.71880000003</v>
      </c>
      <c r="F11" s="180">
        <f>SUMIF(IV!A:A,$A$1,IV!G:G)</f>
        <v>201594.29689999999</v>
      </c>
      <c r="G11" s="180">
        <f>SUMIF(V!A:A,$A$1,V!G:G)</f>
        <v>150974.79689999999</v>
      </c>
      <c r="H11" s="180">
        <f>SUMIF(VI!A:A,$A$1,VI!G:G)</f>
        <v>100806.5625</v>
      </c>
      <c r="I11" s="470">
        <f>SUM(F11:H11)</f>
        <v>453375.65629999997</v>
      </c>
      <c r="J11" s="180">
        <f>SUMIF(VII!A:A,$A$1,VII!G:G)</f>
        <v>0</v>
      </c>
      <c r="K11" s="180">
        <f>SUMIF(VIII!A:A,$A$1,VIII!G:G)</f>
        <v>0</v>
      </c>
      <c r="L11" s="180">
        <f>SUMIF(IX!A:A,$A$1,IX!G:G)</f>
        <v>0</v>
      </c>
      <c r="M11" s="474">
        <f>SUM(J11:L11)</f>
        <v>0</v>
      </c>
      <c r="N11" s="180">
        <f>SUMIF(X!A:A,$A$1,X!G:G)</f>
        <v>0</v>
      </c>
      <c r="O11" s="180">
        <f>SUMIF(XI!A:A,$A$1,XI!G:G)</f>
        <v>0</v>
      </c>
      <c r="P11" s="180">
        <f>SUMIF(XII!A:A,$A$1,XII!G:G)</f>
        <v>0</v>
      </c>
      <c r="Q11" s="470">
        <f>SUM(N11:P11)</f>
        <v>0</v>
      </c>
      <c r="R11" s="87">
        <f>E11+I11+M11+Q11</f>
        <v>953644.37510000006</v>
      </c>
    </row>
    <row r="12" spans="1:19" customFormat="1">
      <c r="A12" s="88" t="s">
        <v>182</v>
      </c>
      <c r="B12" s="439">
        <f>B11</f>
        <v>166582.26560000001</v>
      </c>
      <c r="C12" s="439">
        <f>C11+B12</f>
        <v>364982.3125</v>
      </c>
      <c r="D12" s="439">
        <f>D11+C12</f>
        <v>500268.71880000003</v>
      </c>
      <c r="E12" s="447"/>
      <c r="F12" s="439">
        <f>F11</f>
        <v>201594.29689999999</v>
      </c>
      <c r="G12" s="439">
        <f>G11+F12</f>
        <v>352569.09379999997</v>
      </c>
      <c r="H12" s="439">
        <f>H11+G12</f>
        <v>453375.65629999997</v>
      </c>
      <c r="I12" s="447"/>
      <c r="J12" s="439">
        <f>J11</f>
        <v>0</v>
      </c>
      <c r="K12" s="439">
        <f>K11+J12</f>
        <v>0</v>
      </c>
      <c r="L12" s="439">
        <f>L11+K12</f>
        <v>0</v>
      </c>
      <c r="M12" s="158"/>
      <c r="N12" s="439">
        <f>N11</f>
        <v>0</v>
      </c>
      <c r="O12" s="439">
        <f>O11+N12</f>
        <v>0</v>
      </c>
      <c r="P12" s="439">
        <f>P11+O12</f>
        <v>0</v>
      </c>
      <c r="Q12" s="447"/>
      <c r="R12" s="89"/>
    </row>
    <row r="13" spans="1:19" s="18" customFormat="1" ht="15" customHeight="1">
      <c r="A13" s="95" t="s">
        <v>193</v>
      </c>
      <c r="B13" s="440">
        <f t="shared" ref="B13:D14" si="4">B6/B11</f>
        <v>0.38524919425756682</v>
      </c>
      <c r="C13" s="440">
        <f t="shared" si="4"/>
        <v>0.43275797784098208</v>
      </c>
      <c r="D13" s="440">
        <f t="shared" si="4"/>
        <v>0.35162880736525259</v>
      </c>
      <c r="E13" s="160"/>
      <c r="F13" s="440">
        <f t="shared" ref="F13:H14" si="5">F6/F11</f>
        <v>0.31345776081823279</v>
      </c>
      <c r="G13" s="440">
        <f t="shared" si="5"/>
        <v>0.41780555890915066</v>
      </c>
      <c r="H13" s="440">
        <f t="shared" si="5"/>
        <v>0.38906104252885326</v>
      </c>
      <c r="I13" s="160"/>
      <c r="J13" s="440" t="e">
        <f t="shared" ref="J13:L14" si="6">J6/J11</f>
        <v>#DIV/0!</v>
      </c>
      <c r="K13" s="440" t="e">
        <f t="shared" si="6"/>
        <v>#DIV/0!</v>
      </c>
      <c r="L13" s="440" t="e">
        <f t="shared" si="6"/>
        <v>#DIV/0!</v>
      </c>
      <c r="M13" s="160"/>
      <c r="N13" s="440" t="e">
        <f t="shared" ref="N13:P14" si="7">N6/N11</f>
        <v>#DIV/0!</v>
      </c>
      <c r="O13" s="440" t="e">
        <f t="shared" si="7"/>
        <v>#DIV/0!</v>
      </c>
      <c r="P13" s="440" t="e">
        <f t="shared" si="7"/>
        <v>#DIV/0!</v>
      </c>
      <c r="Q13" s="160"/>
      <c r="R13" s="96"/>
    </row>
    <row r="14" spans="1:19" s="18" customFormat="1" ht="15" customHeight="1">
      <c r="A14" s="95" t="s">
        <v>194</v>
      </c>
      <c r="B14" s="440">
        <f t="shared" si="4"/>
        <v>0.38524919425756682</v>
      </c>
      <c r="C14" s="440">
        <f t="shared" si="4"/>
        <v>0.41107440432473014</v>
      </c>
      <c r="D14" s="440">
        <f t="shared" si="4"/>
        <v>0.39499868165652735</v>
      </c>
      <c r="E14" s="160" t="s">
        <v>183</v>
      </c>
      <c r="F14" s="440">
        <f t="shared" si="5"/>
        <v>0.31345776081823279</v>
      </c>
      <c r="G14" s="440">
        <f t="shared" si="5"/>
        <v>0.3581408822284014</v>
      </c>
      <c r="H14" s="440">
        <f t="shared" si="5"/>
        <v>0.36501587657034512</v>
      </c>
      <c r="I14" s="160"/>
      <c r="J14" s="440" t="e">
        <f t="shared" si="6"/>
        <v>#DIV/0!</v>
      </c>
      <c r="K14" s="440" t="e">
        <f t="shared" si="6"/>
        <v>#DIV/0!</v>
      </c>
      <c r="L14" s="440" t="e">
        <f t="shared" si="6"/>
        <v>#DIV/0!</v>
      </c>
      <c r="M14" s="160"/>
      <c r="N14" s="440" t="e">
        <f t="shared" si="7"/>
        <v>#DIV/0!</v>
      </c>
      <c r="O14" s="440" t="e">
        <f t="shared" si="7"/>
        <v>#DIV/0!</v>
      </c>
      <c r="P14" s="440" t="e">
        <f t="shared" si="7"/>
        <v>#DIV/0!</v>
      </c>
      <c r="Q14" s="160"/>
      <c r="R14" s="96"/>
    </row>
    <row r="15" spans="1:19" s="54" customFormat="1" ht="15" customHeight="1">
      <c r="A15" s="98"/>
      <c r="B15" s="79"/>
      <c r="C15" s="79"/>
      <c r="D15" s="79"/>
      <c r="E15" s="161"/>
      <c r="F15" s="79"/>
      <c r="G15" s="79"/>
      <c r="H15" s="79"/>
      <c r="I15" s="161"/>
      <c r="J15" s="79"/>
      <c r="K15" s="79"/>
      <c r="L15" s="79"/>
      <c r="M15" s="161"/>
      <c r="N15" s="79"/>
      <c r="O15" s="79"/>
      <c r="P15" s="79"/>
      <c r="Q15" s="161"/>
      <c r="R15" s="97"/>
      <c r="S15" s="53"/>
    </row>
    <row r="16" spans="1:19" s="18" customFormat="1" ht="24.75" customHeight="1">
      <c r="A16" s="146" t="s">
        <v>26</v>
      </c>
      <c r="B16" s="445" t="s">
        <v>26</v>
      </c>
      <c r="C16" s="446"/>
      <c r="D16" s="446"/>
      <c r="E16" s="446"/>
      <c r="F16" s="446"/>
      <c r="G16" s="446"/>
      <c r="H16" s="446"/>
      <c r="I16" s="446"/>
      <c r="J16" s="446"/>
      <c r="K16" s="446"/>
      <c r="L16" s="446"/>
      <c r="M16" s="152"/>
      <c r="N16" s="446"/>
      <c r="O16" s="446"/>
      <c r="P16" s="446"/>
      <c r="Q16" s="446"/>
      <c r="R16" s="179"/>
    </row>
    <row r="17" spans="1:19" s="18" customFormat="1" ht="15" customHeight="1">
      <c r="A17" s="56" t="s">
        <v>74</v>
      </c>
      <c r="B17" s="100">
        <f>Target!O35</f>
        <v>6400</v>
      </c>
      <c r="C17" s="100">
        <f>Target!O35</f>
        <v>6400</v>
      </c>
      <c r="D17" s="100">
        <f>Target!O35</f>
        <v>6400</v>
      </c>
      <c r="E17" s="163"/>
      <c r="F17" s="77">
        <f>Target!O44</f>
        <v>6800</v>
      </c>
      <c r="G17" s="77">
        <f>Target!O44</f>
        <v>6800</v>
      </c>
      <c r="H17" s="77">
        <f>Target!O44</f>
        <v>6800</v>
      </c>
      <c r="I17" s="163"/>
      <c r="J17" s="77">
        <f>Target!O54</f>
        <v>6800</v>
      </c>
      <c r="K17" s="77">
        <f>Target!O54</f>
        <v>6800</v>
      </c>
      <c r="L17" s="77">
        <f>Target!O54</f>
        <v>6800</v>
      </c>
      <c r="M17" s="163"/>
      <c r="N17" s="77">
        <f>Target!O63</f>
        <v>6800</v>
      </c>
      <c r="O17" s="77">
        <f>Target!O63</f>
        <v>6800</v>
      </c>
      <c r="P17" s="77">
        <f>Target!O63</f>
        <v>6800</v>
      </c>
      <c r="Q17" s="163"/>
      <c r="R17" s="101"/>
    </row>
    <row r="18" spans="1:19" s="14" customFormat="1" ht="15" customHeight="1">
      <c r="A18" s="715" t="s">
        <v>222</v>
      </c>
      <c r="B18" s="435"/>
      <c r="C18" s="435"/>
      <c r="D18" s="435"/>
      <c r="E18" s="716"/>
      <c r="F18" s="435">
        <f>Target!N40</f>
        <v>7000</v>
      </c>
      <c r="G18" s="435">
        <f>Target!N40</f>
        <v>7000</v>
      </c>
      <c r="H18" s="435">
        <f>Target!N40</f>
        <v>7000</v>
      </c>
      <c r="I18" s="716"/>
      <c r="J18" s="435">
        <f>Target!N50</f>
        <v>7000</v>
      </c>
      <c r="K18" s="435">
        <f>Target!N50</f>
        <v>7000</v>
      </c>
      <c r="L18" s="435">
        <f>Target!N50</f>
        <v>7000</v>
      </c>
      <c r="M18" s="716"/>
      <c r="N18" s="435">
        <f>Target!N59</f>
        <v>7000</v>
      </c>
      <c r="O18" s="435">
        <f>Target!N59</f>
        <v>7000</v>
      </c>
      <c r="P18" s="435">
        <f>Target!N59</f>
        <v>7000</v>
      </c>
      <c r="Q18" s="716"/>
      <c r="R18" s="101"/>
      <c r="S18" s="18"/>
    </row>
    <row r="19" spans="1:19" s="14" customFormat="1" ht="15" customHeight="1">
      <c r="A19" s="715" t="s">
        <v>227</v>
      </c>
      <c r="B19" s="435"/>
      <c r="C19" s="435"/>
      <c r="D19" s="435"/>
      <c r="E19" s="716"/>
      <c r="F19" s="744">
        <f>Target!J44</f>
        <v>0.21864782684726741</v>
      </c>
      <c r="G19" s="744">
        <f>Target!J44</f>
        <v>0.21864782684726741</v>
      </c>
      <c r="H19" s="744">
        <f>Target!J44</f>
        <v>0.21864782684726741</v>
      </c>
      <c r="I19" s="716"/>
      <c r="J19" s="744">
        <f>Target!J54</f>
        <v>0.21864782684726741</v>
      </c>
      <c r="K19" s="744">
        <f>Target!J54</f>
        <v>0.21864782684726741</v>
      </c>
      <c r="L19" s="744">
        <f>Target!J54</f>
        <v>0.21864782684726741</v>
      </c>
      <c r="M19" s="716"/>
      <c r="N19" s="744">
        <f>Target!J63</f>
        <v>0.21864782684726741</v>
      </c>
      <c r="O19" s="744">
        <f>Target!J63</f>
        <v>0.21864782684726741</v>
      </c>
      <c r="P19" s="744">
        <f>Target!J63</f>
        <v>0.21864782684726741</v>
      </c>
      <c r="Q19" s="716"/>
      <c r="R19" s="101"/>
      <c r="S19" s="18"/>
    </row>
    <row r="20" spans="1:19" s="14" customFormat="1" ht="15" customHeight="1">
      <c r="A20" s="727" t="s">
        <v>223</v>
      </c>
      <c r="B20" s="728"/>
      <c r="C20" s="728"/>
      <c r="D20" s="728"/>
      <c r="E20" s="729"/>
      <c r="F20" s="728">
        <f>Target!M44</f>
        <v>6122.1391517234879</v>
      </c>
      <c r="G20" s="728">
        <f>Target!M44</f>
        <v>6122.1391517234879</v>
      </c>
      <c r="H20" s="728">
        <f>Target!M44</f>
        <v>6122.1391517234879</v>
      </c>
      <c r="I20" s="729"/>
      <c r="J20" s="728">
        <f>Target!M54</f>
        <v>6122.1391517234879</v>
      </c>
      <c r="K20" s="728">
        <f>Target!M54</f>
        <v>6122.1391517234879</v>
      </c>
      <c r="L20" s="728">
        <f>Target!M54</f>
        <v>6122.1391517234879</v>
      </c>
      <c r="M20" s="729"/>
      <c r="N20" s="728">
        <f>Target!M63</f>
        <v>6122.1391517234879</v>
      </c>
      <c r="O20" s="728">
        <f>Target!M63</f>
        <v>6122.1391517234879</v>
      </c>
      <c r="P20" s="728">
        <f>Target!M63</f>
        <v>6122.1391517234879</v>
      </c>
      <c r="Q20" s="729"/>
      <c r="R20" s="101"/>
      <c r="S20" s="18"/>
    </row>
    <row r="21" spans="1:19" s="18" customFormat="1" ht="15" customHeight="1">
      <c r="A21" s="17" t="s">
        <v>228</v>
      </c>
      <c r="B21" s="59">
        <f>B5</f>
        <v>56100</v>
      </c>
      <c r="C21" s="59">
        <f>C5</f>
        <v>118433.33333333334</v>
      </c>
      <c r="D21" s="59">
        <f>D5</f>
        <v>187000</v>
      </c>
      <c r="E21" s="164"/>
      <c r="F21" s="59">
        <f>F5</f>
        <v>60499.92300000001</v>
      </c>
      <c r="G21" s="59">
        <f>G5</f>
        <v>127722.05966666668</v>
      </c>
      <c r="H21" s="59">
        <f>H5</f>
        <v>201666.41000000003</v>
      </c>
      <c r="I21" s="164"/>
      <c r="J21" s="59">
        <f>J5</f>
        <v>60499.92300000001</v>
      </c>
      <c r="K21" s="59">
        <f>K5</f>
        <v>127722.05966666668</v>
      </c>
      <c r="L21" s="59">
        <f>L5</f>
        <v>201666.41000000003</v>
      </c>
      <c r="M21" s="164"/>
      <c r="N21" s="59">
        <f>N5</f>
        <v>60499.92300000001</v>
      </c>
      <c r="O21" s="59">
        <f>O5</f>
        <v>127722.05966666668</v>
      </c>
      <c r="P21" s="59">
        <f>P5</f>
        <v>201666.41000000003</v>
      </c>
      <c r="Q21" s="164"/>
      <c r="R21" s="103"/>
    </row>
    <row r="22" spans="1:19" s="18" customFormat="1" ht="15" customHeight="1">
      <c r="A22" s="736" t="s">
        <v>37</v>
      </c>
      <c r="B22" s="739">
        <f>B7</f>
        <v>64175.683599999997</v>
      </c>
      <c r="C22" s="739">
        <f>C7</f>
        <v>150034.8867</v>
      </c>
      <c r="D22" s="739">
        <f>D7</f>
        <v>197605.48440000002</v>
      </c>
      <c r="E22" s="740"/>
      <c r="F22" s="739">
        <f>F7</f>
        <v>63191.296900000001</v>
      </c>
      <c r="G22" s="739">
        <f>G7</f>
        <v>126269.4063</v>
      </c>
      <c r="H22" s="739">
        <f>H7</f>
        <v>165489.3126</v>
      </c>
      <c r="I22" s="740"/>
      <c r="J22" s="739">
        <f>J7</f>
        <v>0</v>
      </c>
      <c r="K22" s="739">
        <f>K7</f>
        <v>0</v>
      </c>
      <c r="L22" s="739">
        <f>L7</f>
        <v>0</v>
      </c>
      <c r="M22" s="740"/>
      <c r="N22" s="739">
        <f>N7</f>
        <v>0</v>
      </c>
      <c r="O22" s="739">
        <f>O7</f>
        <v>0</v>
      </c>
      <c r="P22" s="739">
        <f>P7</f>
        <v>0</v>
      </c>
      <c r="Q22" s="740"/>
      <c r="R22" s="108"/>
    </row>
    <row r="23" spans="1:19" s="18" customFormat="1" ht="15" customHeight="1">
      <c r="A23" s="17" t="s">
        <v>220</v>
      </c>
      <c r="B23" s="732">
        <f>B22/B21</f>
        <v>1.143951579322638</v>
      </c>
      <c r="C23" s="732">
        <f>C22/C21</f>
        <v>1.2668298905150577</v>
      </c>
      <c r="D23" s="732">
        <f>D22/D21</f>
        <v>1.0567138203208557</v>
      </c>
      <c r="E23" s="733"/>
      <c r="F23" s="732">
        <f>F22/F21</f>
        <v>1.0444855756262696</v>
      </c>
      <c r="G23" s="732">
        <f>G22/G21</f>
        <v>0.98862644894344909</v>
      </c>
      <c r="H23" s="732">
        <f>H22/H21</f>
        <v>0.8206092060646093</v>
      </c>
      <c r="I23" s="733"/>
      <c r="J23" s="732">
        <f>J22/J21</f>
        <v>0</v>
      </c>
      <c r="K23" s="732">
        <f>K22/K21</f>
        <v>0</v>
      </c>
      <c r="L23" s="732">
        <f>L22/L21</f>
        <v>0</v>
      </c>
      <c r="M23" s="733"/>
      <c r="N23" s="732">
        <f>N22/N21</f>
        <v>0</v>
      </c>
      <c r="O23" s="732">
        <f>O22/O21</f>
        <v>0</v>
      </c>
      <c r="P23" s="732">
        <f>P22/P21</f>
        <v>0</v>
      </c>
      <c r="Q23" s="733"/>
      <c r="R23" s="108"/>
    </row>
    <row r="24" spans="1:19" s="18" customFormat="1" ht="15" customHeight="1">
      <c r="A24" s="734" t="s">
        <v>60</v>
      </c>
      <c r="B24" s="735">
        <f>B17*0.35</f>
        <v>2240</v>
      </c>
      <c r="C24" s="735">
        <f>C17*0.35</f>
        <v>2240</v>
      </c>
      <c r="D24" s="735">
        <f>D17*0.35</f>
        <v>2240</v>
      </c>
      <c r="E24" s="470"/>
      <c r="F24" s="735">
        <f>F20*0.35</f>
        <v>2142.7487031032206</v>
      </c>
      <c r="G24" s="735">
        <f>G20*0.35</f>
        <v>2142.7487031032206</v>
      </c>
      <c r="H24" s="735">
        <f>H20*0.35</f>
        <v>2142.7487031032206</v>
      </c>
      <c r="I24" s="470"/>
      <c r="J24" s="735">
        <f>J20*0.35</f>
        <v>2142.7487031032206</v>
      </c>
      <c r="K24" s="735">
        <f>K20*0.35</f>
        <v>2142.7487031032206</v>
      </c>
      <c r="L24" s="735">
        <f>L20*0.35</f>
        <v>2142.7487031032206</v>
      </c>
      <c r="M24" s="470"/>
      <c r="N24" s="735">
        <f>N20*0.35</f>
        <v>2142.7487031032206</v>
      </c>
      <c r="O24" s="735">
        <f>O20*0.35</f>
        <v>2142.7487031032206</v>
      </c>
      <c r="P24" s="735">
        <f>P20*0.35</f>
        <v>2142.7487031032206</v>
      </c>
      <c r="Q24" s="470"/>
      <c r="R24" s="730"/>
    </row>
    <row r="25" spans="1:19" s="18" customFormat="1" ht="15" customHeight="1">
      <c r="A25" s="17" t="s">
        <v>53</v>
      </c>
      <c r="B25" s="59">
        <f>IF(B23&lt;80%,0,IF(B23&lt;90%,0.5,IF(B23&lt;95%,0.75,1)))</f>
        <v>1</v>
      </c>
      <c r="C25" s="59">
        <f>IF(C23&lt;80%,0,IF(C23&lt;90%,0.5,IF(C23&lt;95%,0.75,1)))</f>
        <v>1</v>
      </c>
      <c r="D25" s="59">
        <f>IF(D23&lt;80%,0,IF(D23&lt;90%,0.5,IF(D23&lt;95%,0.75,1)))</f>
        <v>1</v>
      </c>
      <c r="E25" s="164"/>
      <c r="F25" s="59">
        <f>IF(F23&lt;80%,0,IF(F23&lt;90%,0.5,IF(F23&lt;95%,0.75,1)))</f>
        <v>1</v>
      </c>
      <c r="G25" s="59">
        <f>IF(G23&lt;80%,0,IF(G23&lt;90%,0.5,IF(G23&lt;95%,0.75,1)))</f>
        <v>1</v>
      </c>
      <c r="H25" s="59">
        <f>IF(H23&lt;80%,0,IF(H23&lt;90%,0.5,IF(H23&lt;95%,0.75,1)))</f>
        <v>0.5</v>
      </c>
      <c r="I25" s="164"/>
      <c r="J25" s="59">
        <f>IF(J23&lt;80%,0,IF(J23&lt;90%,0.5,IF(J23&lt;95%,0.75,1)))</f>
        <v>0</v>
      </c>
      <c r="K25" s="59">
        <f>IF(K23&lt;80%,0,IF(K23&lt;90%,0.5,IF(K23&lt;95%,0.75,1)))</f>
        <v>0</v>
      </c>
      <c r="L25" s="59">
        <f>IF(L23&lt;80%,0,IF(L23&lt;90%,0.5,IF(L23&lt;95%,0.75,1)))</f>
        <v>0</v>
      </c>
      <c r="M25" s="164"/>
      <c r="N25" s="59">
        <f>IF(N23&lt;80%,0,IF(N23&lt;90%,0.5,IF(N23&lt;95%,0.75,1)))</f>
        <v>0</v>
      </c>
      <c r="O25" s="59">
        <f>IF(O23&lt;80%,0,IF(O23&lt;90%,0.5,IF(O23&lt;95%,0.75,1)))</f>
        <v>0</v>
      </c>
      <c r="P25" s="59">
        <f>IF(P23&lt;80%,0,IF(P23&lt;90%,0.5,IF(P23&lt;95%,0.75,1)))</f>
        <v>0</v>
      </c>
      <c r="Q25" s="164"/>
      <c r="R25" s="108"/>
    </row>
    <row r="26" spans="1:19" s="18" customFormat="1" ht="15" customHeight="1">
      <c r="A26" s="45" t="s">
        <v>54</v>
      </c>
      <c r="B26" s="60">
        <f>B25*B24</f>
        <v>2240</v>
      </c>
      <c r="C26" s="60">
        <f>C25*C24</f>
        <v>2240</v>
      </c>
      <c r="D26" s="60">
        <f>D25*D24</f>
        <v>2240</v>
      </c>
      <c r="E26" s="168"/>
      <c r="F26" s="60">
        <f>F25*F24</f>
        <v>2142.7487031032206</v>
      </c>
      <c r="G26" s="60">
        <f>G25*G24</f>
        <v>2142.7487031032206</v>
      </c>
      <c r="H26" s="60">
        <f>H25*H24</f>
        <v>1071.3743515516103</v>
      </c>
      <c r="I26" s="168"/>
      <c r="J26" s="60">
        <f>J25*J24</f>
        <v>0</v>
      </c>
      <c r="K26" s="60">
        <f>K25*K24</f>
        <v>0</v>
      </c>
      <c r="L26" s="60">
        <f>L25*L24</f>
        <v>0</v>
      </c>
      <c r="M26" s="168"/>
      <c r="N26" s="60">
        <f>N25*N24</f>
        <v>0</v>
      </c>
      <c r="O26" s="60">
        <f>O25*O24</f>
        <v>0</v>
      </c>
      <c r="P26" s="60">
        <f>P25*P24</f>
        <v>0</v>
      </c>
      <c r="Q26" s="168"/>
      <c r="R26" s="107"/>
    </row>
    <row r="27" spans="1:19" s="18" customFormat="1" ht="15" customHeight="1">
      <c r="A27" s="17" t="s">
        <v>34</v>
      </c>
      <c r="B27" s="59"/>
      <c r="C27" s="59"/>
      <c r="D27" s="59"/>
      <c r="E27" s="164"/>
      <c r="F27" s="59"/>
      <c r="G27" s="59"/>
      <c r="H27" s="59"/>
      <c r="I27" s="164"/>
      <c r="J27" s="59"/>
      <c r="K27" s="59"/>
      <c r="L27" s="59"/>
      <c r="M27" s="164"/>
      <c r="N27" s="59"/>
      <c r="O27" s="59"/>
      <c r="P27" s="59"/>
      <c r="Q27" s="164"/>
      <c r="R27" s="108"/>
      <c r="S27" s="20"/>
    </row>
    <row r="28" spans="1:19" s="18" customFormat="1" ht="15" customHeight="1">
      <c r="A28" s="734" t="s">
        <v>59</v>
      </c>
      <c r="B28" s="735">
        <f>B17*0.05</f>
        <v>320</v>
      </c>
      <c r="C28" s="735">
        <f>C17*0.05</f>
        <v>320</v>
      </c>
      <c r="D28" s="735">
        <f>D17*0.05</f>
        <v>320</v>
      </c>
      <c r="E28" s="470"/>
      <c r="F28" s="735">
        <f>F18*0.05</f>
        <v>350</v>
      </c>
      <c r="G28" s="735">
        <f>G18*0.05</f>
        <v>350</v>
      </c>
      <c r="H28" s="735">
        <f>H18*0.05</f>
        <v>350</v>
      </c>
      <c r="I28" s="470"/>
      <c r="J28" s="735">
        <f>J18*0.05</f>
        <v>350</v>
      </c>
      <c r="K28" s="735">
        <f>K18*0.05</f>
        <v>350</v>
      </c>
      <c r="L28" s="735">
        <f>L18*0.05</f>
        <v>350</v>
      </c>
      <c r="M28" s="470"/>
      <c r="N28" s="735">
        <f>N18*0.05</f>
        <v>350</v>
      </c>
      <c r="O28" s="735">
        <f>O18*0.05</f>
        <v>350</v>
      </c>
      <c r="P28" s="735">
        <f>P18*0.05</f>
        <v>350</v>
      </c>
      <c r="Q28" s="470"/>
      <c r="R28" s="730"/>
    </row>
    <row r="29" spans="1:19" s="18" customFormat="1" ht="15" customHeight="1">
      <c r="A29" s="17" t="s">
        <v>62</v>
      </c>
      <c r="B29" s="59">
        <v>1</v>
      </c>
      <c r="C29" s="59">
        <v>1</v>
      </c>
      <c r="D29" s="59">
        <v>1</v>
      </c>
      <c r="E29" s="164"/>
      <c r="F29" s="59">
        <v>1</v>
      </c>
      <c r="G29" s="59">
        <v>1</v>
      </c>
      <c r="H29" s="59">
        <v>1</v>
      </c>
      <c r="I29" s="164"/>
      <c r="J29" s="59"/>
      <c r="K29" s="59"/>
      <c r="L29" s="59"/>
      <c r="M29" s="164"/>
      <c r="N29" s="59"/>
      <c r="O29" s="59"/>
      <c r="P29" s="59"/>
      <c r="Q29" s="164"/>
      <c r="R29" s="108"/>
    </row>
    <row r="30" spans="1:19" s="19" customFormat="1" ht="15" customHeight="1">
      <c r="A30" s="50" t="s">
        <v>63</v>
      </c>
      <c r="B30" s="60">
        <f>B29*B28</f>
        <v>320</v>
      </c>
      <c r="C30" s="60">
        <f>C29*C28</f>
        <v>320</v>
      </c>
      <c r="D30" s="60">
        <f>D29*D28</f>
        <v>320</v>
      </c>
      <c r="E30" s="168"/>
      <c r="F30" s="60">
        <f>F29*F28</f>
        <v>350</v>
      </c>
      <c r="G30" s="60">
        <f>G29*G28</f>
        <v>350</v>
      </c>
      <c r="H30" s="60">
        <f>H29*H28</f>
        <v>350</v>
      </c>
      <c r="I30" s="168"/>
      <c r="J30" s="60">
        <f>J29*J28</f>
        <v>0</v>
      </c>
      <c r="K30" s="60">
        <f>K29*K28</f>
        <v>0</v>
      </c>
      <c r="L30" s="60">
        <f>L29*L28</f>
        <v>0</v>
      </c>
      <c r="M30" s="168"/>
      <c r="N30" s="60">
        <f>N29*N28</f>
        <v>0</v>
      </c>
      <c r="O30" s="60">
        <f>O29*O28</f>
        <v>0</v>
      </c>
      <c r="P30" s="60">
        <f>P29*P28</f>
        <v>0</v>
      </c>
      <c r="Q30" s="168"/>
      <c r="R30" s="110"/>
      <c r="S30" s="13"/>
    </row>
    <row r="31" spans="1:19" s="37" customFormat="1" ht="15" customHeight="1">
      <c r="A31" s="43" t="s">
        <v>67</v>
      </c>
      <c r="B31" s="63">
        <f>B26+B30</f>
        <v>2560</v>
      </c>
      <c r="C31" s="63">
        <f>C26+C30</f>
        <v>2560</v>
      </c>
      <c r="D31" s="63">
        <f>D26+D30</f>
        <v>2560</v>
      </c>
      <c r="E31" s="170"/>
      <c r="F31" s="63">
        <f>F26+F30</f>
        <v>2492.7487031032206</v>
      </c>
      <c r="G31" s="63">
        <f>G26+G30</f>
        <v>2492.7487031032206</v>
      </c>
      <c r="H31" s="63">
        <f>H26+H30</f>
        <v>1421.3743515516103</v>
      </c>
      <c r="I31" s="170"/>
      <c r="J31" s="63">
        <f>J26+J30</f>
        <v>0</v>
      </c>
      <c r="K31" s="63">
        <f>K26+K30</f>
        <v>0</v>
      </c>
      <c r="L31" s="63">
        <f>L26+L30</f>
        <v>0</v>
      </c>
      <c r="M31" s="170"/>
      <c r="N31" s="63">
        <f>N26+N30</f>
        <v>0</v>
      </c>
      <c r="O31" s="63">
        <f>O26+O30</f>
        <v>0</v>
      </c>
      <c r="P31" s="63">
        <f>P26+P30</f>
        <v>0</v>
      </c>
      <c r="Q31" s="170"/>
      <c r="R31" s="111"/>
      <c r="S31" s="15"/>
    </row>
    <row r="32" spans="1:19" s="18" customFormat="1" ht="15" customHeight="1">
      <c r="A32" s="102" t="s">
        <v>115</v>
      </c>
      <c r="B32" s="764">
        <f>D5</f>
        <v>187000</v>
      </c>
      <c r="C32" s="765"/>
      <c r="D32" s="765"/>
      <c r="E32" s="766"/>
      <c r="F32" s="764">
        <f>H5</f>
        <v>201666.41000000003</v>
      </c>
      <c r="G32" s="765"/>
      <c r="H32" s="765"/>
      <c r="I32" s="766"/>
      <c r="J32" s="764">
        <f>L5</f>
        <v>201666.41000000003</v>
      </c>
      <c r="K32" s="765"/>
      <c r="L32" s="765"/>
      <c r="M32" s="766"/>
      <c r="N32" s="764">
        <f>P5</f>
        <v>201666.41000000003</v>
      </c>
      <c r="O32" s="765"/>
      <c r="P32" s="765"/>
      <c r="Q32" s="766"/>
      <c r="R32" s="730"/>
    </row>
    <row r="33" spans="1:19" s="18" customFormat="1" ht="15" customHeight="1">
      <c r="A33" s="102" t="s">
        <v>69</v>
      </c>
      <c r="B33" s="764">
        <f>D7</f>
        <v>197605.48440000002</v>
      </c>
      <c r="C33" s="765"/>
      <c r="D33" s="765"/>
      <c r="E33" s="766"/>
      <c r="F33" s="764">
        <f>H7</f>
        <v>165489.3126</v>
      </c>
      <c r="G33" s="765"/>
      <c r="H33" s="765"/>
      <c r="I33" s="766"/>
      <c r="J33" s="764">
        <f>L7</f>
        <v>0</v>
      </c>
      <c r="K33" s="765"/>
      <c r="L33" s="765"/>
      <c r="M33" s="766"/>
      <c r="N33" s="764">
        <f>P7</f>
        <v>0</v>
      </c>
      <c r="O33" s="765"/>
      <c r="P33" s="765"/>
      <c r="Q33" s="766"/>
      <c r="R33" s="730"/>
    </row>
    <row r="34" spans="1:19" s="18" customFormat="1" ht="15" customHeight="1">
      <c r="A34" s="102" t="s">
        <v>68</v>
      </c>
      <c r="B34" s="770">
        <f>B33/B32</f>
        <v>1.0567138203208557</v>
      </c>
      <c r="C34" s="771"/>
      <c r="D34" s="771"/>
      <c r="E34" s="766"/>
      <c r="F34" s="770">
        <f>F33/F32</f>
        <v>0.8206092060646093</v>
      </c>
      <c r="G34" s="771"/>
      <c r="H34" s="771"/>
      <c r="I34" s="766"/>
      <c r="J34" s="770">
        <f>J33/J32</f>
        <v>0</v>
      </c>
      <c r="K34" s="771"/>
      <c r="L34" s="771"/>
      <c r="M34" s="766"/>
      <c r="N34" s="770">
        <f>N33/N32</f>
        <v>0</v>
      </c>
      <c r="O34" s="771"/>
      <c r="P34" s="771"/>
      <c r="Q34" s="766"/>
      <c r="R34" s="730"/>
    </row>
    <row r="35" spans="1:19" s="18" customFormat="1" ht="15" customHeight="1">
      <c r="A35" s="102" t="s">
        <v>65</v>
      </c>
      <c r="B35" s="764">
        <f>D17</f>
        <v>6400</v>
      </c>
      <c r="C35" s="765"/>
      <c r="D35" s="765"/>
      <c r="E35" s="766"/>
      <c r="F35" s="764">
        <f>H18</f>
        <v>7000</v>
      </c>
      <c r="G35" s="765"/>
      <c r="H35" s="765"/>
      <c r="I35" s="766"/>
      <c r="J35" s="764">
        <f>L18</f>
        <v>7000</v>
      </c>
      <c r="K35" s="765"/>
      <c r="L35" s="765"/>
      <c r="M35" s="766"/>
      <c r="N35" s="764">
        <f>P20</f>
        <v>6122.1391517234879</v>
      </c>
      <c r="O35" s="765"/>
      <c r="P35" s="765"/>
      <c r="Q35" s="766"/>
      <c r="R35" s="730"/>
    </row>
    <row r="36" spans="1:19" s="18" customFormat="1" ht="15" customHeight="1">
      <c r="A36" s="731" t="s">
        <v>66</v>
      </c>
      <c r="B36" s="764">
        <f>IF(B34&lt;100%,0,IF(B34&lt;105%,0.5,IF(B34&lt;110%,0.7,1)))</f>
        <v>0.7</v>
      </c>
      <c r="C36" s="765"/>
      <c r="D36" s="765"/>
      <c r="E36" s="766"/>
      <c r="F36" s="764">
        <f>IF(F34&lt;100%,0,IF(F34&lt;105%,0.5,IF(F34&lt;110%,0.7,1)))</f>
        <v>0</v>
      </c>
      <c r="G36" s="765"/>
      <c r="H36" s="765"/>
      <c r="I36" s="766"/>
      <c r="J36" s="764">
        <f>IF(J34&lt;100%,0,IF(J34&lt;105%,0.5,IF(J34&lt;110%,0.7,1)))</f>
        <v>0</v>
      </c>
      <c r="K36" s="765"/>
      <c r="L36" s="765"/>
      <c r="M36" s="766"/>
      <c r="N36" s="764">
        <f>IF(N34&lt;100%,0,IF(N34&lt;105%,0.5,IF(N34&lt;110%,0.7,1)))</f>
        <v>0</v>
      </c>
      <c r="O36" s="765"/>
      <c r="P36" s="765"/>
      <c r="Q36" s="766"/>
      <c r="R36" s="730"/>
    </row>
    <row r="37" spans="1:19" s="18" customFormat="1" ht="15" customHeight="1">
      <c r="A37" s="731" t="s">
        <v>64</v>
      </c>
      <c r="B37" s="764">
        <f>B36*B35</f>
        <v>4480</v>
      </c>
      <c r="C37" s="765"/>
      <c r="D37" s="765"/>
      <c r="E37" s="766"/>
      <c r="F37" s="764">
        <f>F36*F35</f>
        <v>0</v>
      </c>
      <c r="G37" s="765"/>
      <c r="H37" s="765"/>
      <c r="I37" s="766"/>
      <c r="J37" s="764">
        <f>J36*J35</f>
        <v>0</v>
      </c>
      <c r="K37" s="765"/>
      <c r="L37" s="765"/>
      <c r="M37" s="766"/>
      <c r="N37" s="764">
        <f>N36*N35</f>
        <v>0</v>
      </c>
      <c r="O37" s="765"/>
      <c r="P37" s="765"/>
      <c r="Q37" s="766"/>
      <c r="R37" s="730"/>
    </row>
    <row r="38" spans="1:19" s="18" customFormat="1" ht="15" customHeight="1" thickBot="1">
      <c r="A38" s="48"/>
      <c r="B38" s="49"/>
      <c r="C38" s="49"/>
      <c r="D38" s="49"/>
      <c r="E38" s="116"/>
      <c r="F38" s="49"/>
      <c r="G38" s="49"/>
      <c r="H38" s="49"/>
      <c r="I38" s="116"/>
      <c r="J38" s="49"/>
      <c r="K38" s="49"/>
      <c r="L38" s="49"/>
      <c r="M38" s="116"/>
      <c r="N38" s="49"/>
      <c r="O38" s="49"/>
      <c r="P38" s="49"/>
      <c r="Q38" s="116"/>
      <c r="R38" s="117"/>
      <c r="S38" s="32"/>
    </row>
    <row r="39" spans="1:19" ht="13.8" thickBot="1">
      <c r="A39" s="280" t="s">
        <v>91</v>
      </c>
      <c r="B39" s="291" t="s">
        <v>1</v>
      </c>
      <c r="C39" s="291" t="s">
        <v>2</v>
      </c>
      <c r="D39" s="291" t="s">
        <v>3</v>
      </c>
      <c r="E39" s="289" t="s">
        <v>93</v>
      </c>
      <c r="F39" s="291" t="s">
        <v>4</v>
      </c>
      <c r="G39" s="291" t="s">
        <v>5</v>
      </c>
      <c r="H39" s="291" t="s">
        <v>6</v>
      </c>
      <c r="I39" s="289" t="s">
        <v>93</v>
      </c>
      <c r="J39" s="291" t="s">
        <v>7</v>
      </c>
      <c r="K39" s="291" t="s">
        <v>8</v>
      </c>
      <c r="L39" s="291" t="s">
        <v>9</v>
      </c>
      <c r="M39" s="289" t="s">
        <v>93</v>
      </c>
      <c r="N39" s="291" t="s">
        <v>92</v>
      </c>
      <c r="O39" s="291" t="s">
        <v>11</v>
      </c>
      <c r="P39" s="291" t="s">
        <v>12</v>
      </c>
      <c r="Q39" s="289" t="s">
        <v>93</v>
      </c>
      <c r="R39" s="289" t="s">
        <v>93</v>
      </c>
    </row>
    <row r="40" spans="1:19" ht="13.8" thickTop="1">
      <c r="A40" s="281" t="s">
        <v>94</v>
      </c>
      <c r="B40" s="133"/>
      <c r="C40" s="133"/>
      <c r="D40" s="133"/>
      <c r="E40" s="290">
        <f>SUM(B40:D40)</f>
        <v>0</v>
      </c>
      <c r="F40" s="133"/>
      <c r="G40" s="133"/>
      <c r="H40" s="133"/>
      <c r="I40" s="290">
        <f>SUM(F40:H40)</f>
        <v>0</v>
      </c>
      <c r="J40" s="133"/>
      <c r="K40" s="133"/>
      <c r="L40" s="133"/>
      <c r="M40" s="290">
        <f>SUM(J40:L40)</f>
        <v>0</v>
      </c>
      <c r="N40" s="133"/>
      <c r="O40" s="133"/>
      <c r="P40" s="413"/>
      <c r="Q40" s="290">
        <f>SUM(N40:P40)</f>
        <v>0</v>
      </c>
      <c r="R40" s="290">
        <f>I40+M40+Q40+E40</f>
        <v>0</v>
      </c>
      <c r="S40" s="52"/>
    </row>
    <row r="41" spans="1:19">
      <c r="A41" s="282" t="s">
        <v>95</v>
      </c>
      <c r="B41" s="134"/>
      <c r="C41" s="134"/>
      <c r="D41" s="134"/>
      <c r="E41" s="174"/>
      <c r="F41" s="134"/>
      <c r="G41" s="134"/>
      <c r="H41" s="134"/>
      <c r="I41" s="174"/>
      <c r="J41" s="134"/>
      <c r="K41" s="134"/>
      <c r="L41" s="134"/>
      <c r="M41" s="174"/>
      <c r="N41" s="134"/>
      <c r="O41" s="134"/>
      <c r="P41" s="410"/>
      <c r="Q41" s="174"/>
      <c r="R41" s="174"/>
      <c r="S41" s="52"/>
    </row>
    <row r="42" spans="1:19">
      <c r="A42" s="282" t="s">
        <v>96</v>
      </c>
      <c r="B42" s="134"/>
      <c r="C42" s="134"/>
      <c r="D42" s="134"/>
      <c r="E42" s="174"/>
      <c r="F42" s="134"/>
      <c r="G42" s="134"/>
      <c r="H42" s="134"/>
      <c r="I42" s="174"/>
      <c r="J42" s="134"/>
      <c r="K42" s="134"/>
      <c r="L42" s="134"/>
      <c r="M42" s="174"/>
      <c r="N42" s="134"/>
      <c r="O42" s="134"/>
      <c r="P42" s="410"/>
      <c r="Q42" s="174"/>
      <c r="R42" s="174"/>
      <c r="S42" s="52"/>
    </row>
    <row r="43" spans="1:19">
      <c r="A43" s="282" t="s">
        <v>125</v>
      </c>
      <c r="B43" s="134"/>
      <c r="C43" s="134"/>
      <c r="D43" s="134"/>
      <c r="E43" s="174"/>
      <c r="F43" s="134"/>
      <c r="G43" s="134"/>
      <c r="H43" s="134"/>
      <c r="I43" s="174"/>
      <c r="J43" s="134"/>
      <c r="K43" s="134"/>
      <c r="L43" s="134"/>
      <c r="M43" s="174"/>
      <c r="N43" s="134"/>
      <c r="O43" s="134"/>
      <c r="P43" s="410"/>
      <c r="Q43" s="174"/>
      <c r="R43" s="174"/>
      <c r="S43" s="52"/>
    </row>
    <row r="44" spans="1:19">
      <c r="A44" s="282" t="s">
        <v>97</v>
      </c>
      <c r="B44" s="333"/>
      <c r="C44" s="333"/>
      <c r="D44" s="333"/>
      <c r="E44" s="175"/>
      <c r="F44" s="333"/>
      <c r="G44" s="333"/>
      <c r="H44" s="333"/>
      <c r="I44" s="175"/>
      <c r="J44" s="333"/>
      <c r="K44" s="333"/>
      <c r="L44" s="333"/>
      <c r="M44" s="175"/>
      <c r="N44" s="333"/>
      <c r="O44" s="333"/>
      <c r="P44" s="419"/>
      <c r="Q44" s="175"/>
      <c r="R44" s="175"/>
      <c r="S44" s="52"/>
    </row>
    <row r="45" spans="1:19" ht="13.8" thickBot="1">
      <c r="A45" s="283" t="s">
        <v>98</v>
      </c>
      <c r="B45" s="135"/>
      <c r="C45" s="135"/>
      <c r="D45" s="135"/>
      <c r="E45" s="290">
        <f t="shared" ref="E45:E46" si="8">SUM(B45:D45)</f>
        <v>0</v>
      </c>
      <c r="F45" s="135"/>
      <c r="G45" s="135"/>
      <c r="H45" s="135"/>
      <c r="I45" s="290">
        <f t="shared" ref="I45:I46" si="9">SUM(F45:H45)</f>
        <v>0</v>
      </c>
      <c r="J45" s="135"/>
      <c r="K45" s="135"/>
      <c r="L45" s="135"/>
      <c r="M45" s="290">
        <f t="shared" ref="M45:M46" si="10">SUM(J45:L45)</f>
        <v>0</v>
      </c>
      <c r="N45" s="135"/>
      <c r="O45" s="135"/>
      <c r="P45" s="414"/>
      <c r="Q45" s="290">
        <f>SUM(N45:P45)</f>
        <v>0</v>
      </c>
      <c r="R45" s="290">
        <f>I45+M45+Q45+E45</f>
        <v>0</v>
      </c>
      <c r="S45" s="52"/>
    </row>
    <row r="46" spans="1:19" ht="13.8" thickTop="1">
      <c r="A46" s="284" t="s">
        <v>126</v>
      </c>
      <c r="B46" s="136"/>
      <c r="C46" s="136"/>
      <c r="D46" s="136"/>
      <c r="E46" s="290">
        <f t="shared" si="8"/>
        <v>0</v>
      </c>
      <c r="F46" s="136"/>
      <c r="G46" s="136"/>
      <c r="H46" s="136"/>
      <c r="I46" s="290">
        <f t="shared" si="9"/>
        <v>0</v>
      </c>
      <c r="J46" s="136"/>
      <c r="K46" s="136"/>
      <c r="L46" s="136"/>
      <c r="M46" s="290">
        <f t="shared" si="10"/>
        <v>0</v>
      </c>
      <c r="N46" s="136"/>
      <c r="O46" s="136"/>
      <c r="P46" s="415"/>
      <c r="Q46" s="290">
        <f>SUM(N46:P46)</f>
        <v>0</v>
      </c>
      <c r="R46" s="290">
        <f>I46+M46+Q46+E46</f>
        <v>0</v>
      </c>
      <c r="S46" s="52"/>
    </row>
    <row r="47" spans="1:19">
      <c r="A47" s="282" t="s">
        <v>99</v>
      </c>
      <c r="B47" s="134"/>
      <c r="C47" s="134"/>
      <c r="D47" s="134"/>
      <c r="E47" s="176"/>
      <c r="F47" s="134"/>
      <c r="G47" s="134"/>
      <c r="H47" s="134"/>
      <c r="I47" s="176"/>
      <c r="J47" s="134"/>
      <c r="K47" s="134"/>
      <c r="L47" s="134"/>
      <c r="M47" s="176"/>
      <c r="N47" s="134"/>
      <c r="O47" s="134"/>
      <c r="P47" s="410"/>
      <c r="Q47" s="176"/>
      <c r="R47" s="176"/>
      <c r="S47" s="52"/>
    </row>
    <row r="48" spans="1:19">
      <c r="A48" s="282" t="s">
        <v>100</v>
      </c>
      <c r="B48" s="134"/>
      <c r="C48" s="134"/>
      <c r="D48" s="134"/>
      <c r="E48" s="290">
        <f t="shared" ref="E48:E52" si="11">SUM(B48:D48)</f>
        <v>0</v>
      </c>
      <c r="F48" s="134"/>
      <c r="G48" s="134"/>
      <c r="H48" s="134"/>
      <c r="I48" s="290">
        <f t="shared" ref="I48:I52" si="12">SUM(F48:H48)</f>
        <v>0</v>
      </c>
      <c r="J48" s="134"/>
      <c r="K48" s="134"/>
      <c r="L48" s="134"/>
      <c r="M48" s="290">
        <f t="shared" ref="M48:M52" si="13">SUM(J48:L48)</f>
        <v>0</v>
      </c>
      <c r="N48" s="134"/>
      <c r="O48" s="134"/>
      <c r="P48" s="410"/>
      <c r="Q48" s="290">
        <f>SUM(N48:P48)</f>
        <v>0</v>
      </c>
      <c r="R48" s="290">
        <f>I48+M48+Q48+E48</f>
        <v>0</v>
      </c>
      <c r="S48" s="52"/>
    </row>
    <row r="49" spans="1:19" ht="13.8" thickBot="1">
      <c r="A49" s="285" t="s">
        <v>101</v>
      </c>
      <c r="B49" s="137"/>
      <c r="C49" s="137"/>
      <c r="D49" s="137"/>
      <c r="E49" s="290">
        <f t="shared" si="11"/>
        <v>0</v>
      </c>
      <c r="F49" s="137"/>
      <c r="G49" s="137"/>
      <c r="H49" s="137"/>
      <c r="I49" s="290">
        <f t="shared" si="12"/>
        <v>0</v>
      </c>
      <c r="J49" s="137"/>
      <c r="K49" s="137"/>
      <c r="L49" s="137"/>
      <c r="M49" s="290">
        <f t="shared" si="13"/>
        <v>0</v>
      </c>
      <c r="N49" s="137"/>
      <c r="O49" s="137"/>
      <c r="P49" s="416"/>
      <c r="Q49" s="290">
        <f>SUM(N49:P49)</f>
        <v>0</v>
      </c>
      <c r="R49" s="290">
        <f>I49+M49+Q49+E49</f>
        <v>0</v>
      </c>
      <c r="S49" s="52"/>
    </row>
    <row r="50" spans="1:19" ht="13.8" thickTop="1">
      <c r="A50" s="281" t="s">
        <v>173</v>
      </c>
      <c r="B50" s="133"/>
      <c r="C50" s="133"/>
      <c r="D50" s="133"/>
      <c r="E50" s="290">
        <f t="shared" si="11"/>
        <v>0</v>
      </c>
      <c r="F50" s="133"/>
      <c r="G50" s="133"/>
      <c r="H50" s="133"/>
      <c r="I50" s="290">
        <f t="shared" si="12"/>
        <v>0</v>
      </c>
      <c r="J50" s="133"/>
      <c r="K50" s="133"/>
      <c r="L50" s="133"/>
      <c r="M50" s="290">
        <f t="shared" si="13"/>
        <v>0</v>
      </c>
      <c r="N50" s="133"/>
      <c r="O50" s="133"/>
      <c r="P50" s="413"/>
      <c r="Q50" s="290">
        <f>SUM(N50:P50)</f>
        <v>0</v>
      </c>
      <c r="R50" s="290">
        <f>I50+M50+Q50+E50</f>
        <v>0</v>
      </c>
      <c r="S50" s="52"/>
    </row>
    <row r="51" spans="1:19" ht="13.8" thickBot="1">
      <c r="A51" s="283" t="s">
        <v>102</v>
      </c>
      <c r="B51" s="135"/>
      <c r="C51" s="135"/>
      <c r="D51" s="135"/>
      <c r="E51" s="290">
        <f t="shared" si="11"/>
        <v>0</v>
      </c>
      <c r="F51" s="135"/>
      <c r="G51" s="135"/>
      <c r="H51" s="135"/>
      <c r="I51" s="290">
        <f t="shared" si="12"/>
        <v>0</v>
      </c>
      <c r="J51" s="135"/>
      <c r="K51" s="135"/>
      <c r="L51" s="135"/>
      <c r="M51" s="290">
        <f t="shared" si="13"/>
        <v>0</v>
      </c>
      <c r="N51" s="135"/>
      <c r="O51" s="135"/>
      <c r="P51" s="414"/>
      <c r="Q51" s="290">
        <f>SUM(N51:P51)</f>
        <v>0</v>
      </c>
      <c r="R51" s="290">
        <f>I51+M51+Q51+E51</f>
        <v>0</v>
      </c>
      <c r="S51" s="52"/>
    </row>
    <row r="52" spans="1:19" ht="14.4" thickTop="1" thickBot="1">
      <c r="A52" s="283" t="s">
        <v>103</v>
      </c>
      <c r="B52" s="135"/>
      <c r="C52" s="135"/>
      <c r="D52" s="135"/>
      <c r="E52" s="290">
        <f t="shared" si="11"/>
        <v>0</v>
      </c>
      <c r="F52" s="135"/>
      <c r="G52" s="135"/>
      <c r="H52" s="135"/>
      <c r="I52" s="290">
        <f t="shared" si="12"/>
        <v>0</v>
      </c>
      <c r="J52" s="135"/>
      <c r="K52" s="135"/>
      <c r="L52" s="135"/>
      <c r="M52" s="290">
        <f t="shared" si="13"/>
        <v>0</v>
      </c>
      <c r="N52" s="135"/>
      <c r="O52" s="135"/>
      <c r="P52" s="414"/>
      <c r="Q52" s="290">
        <f>SUM(N52:P52)</f>
        <v>0</v>
      </c>
      <c r="R52" s="290">
        <f>I52+M52+Q52+E52</f>
        <v>0</v>
      </c>
      <c r="S52" s="52"/>
    </row>
    <row r="53" spans="1:19" ht="13.8" thickTop="1">
      <c r="A53" s="286" t="s">
        <v>104</v>
      </c>
      <c r="B53" s="139"/>
      <c r="C53" s="139"/>
      <c r="D53" s="139"/>
      <c r="E53" s="132"/>
      <c r="F53" s="139"/>
      <c r="G53" s="139"/>
      <c r="H53" s="139"/>
      <c r="I53" s="132"/>
      <c r="J53" s="139"/>
      <c r="K53" s="139"/>
      <c r="L53" s="172"/>
      <c r="M53" s="132"/>
      <c r="N53" s="139"/>
      <c r="O53" s="139"/>
      <c r="P53" s="417"/>
      <c r="Q53" s="132"/>
      <c r="R53" s="132"/>
      <c r="S53" s="52"/>
    </row>
    <row r="54" spans="1:19">
      <c r="A54" s="287" t="s">
        <v>105</v>
      </c>
      <c r="B54" s="140"/>
      <c r="C54" s="140"/>
      <c r="D54" s="140"/>
      <c r="E54" s="290">
        <f t="shared" ref="E54:E56" si="14">SUM(B54:D54)</f>
        <v>0</v>
      </c>
      <c r="F54" s="140"/>
      <c r="G54" s="140"/>
      <c r="H54" s="140"/>
      <c r="I54" s="290">
        <f t="shared" ref="I54:I56" si="15">SUM(F54:H54)</f>
        <v>0</v>
      </c>
      <c r="J54" s="140"/>
      <c r="K54" s="140"/>
      <c r="L54" s="173"/>
      <c r="M54" s="290">
        <f t="shared" ref="M54:M56" si="16">SUM(J54:L54)</f>
        <v>0</v>
      </c>
      <c r="N54" s="140"/>
      <c r="O54" s="140"/>
      <c r="P54" s="418"/>
      <c r="Q54" s="290">
        <f>SUM(N54:P54)</f>
        <v>0</v>
      </c>
      <c r="R54" s="290">
        <f>I54+M54+Q54+E54</f>
        <v>0</v>
      </c>
      <c r="S54" s="52"/>
    </row>
    <row r="55" spans="1:19">
      <c r="A55" s="287" t="s">
        <v>106</v>
      </c>
      <c r="B55" s="140"/>
      <c r="C55" s="140"/>
      <c r="D55" s="140"/>
      <c r="E55" s="290">
        <f t="shared" si="14"/>
        <v>0</v>
      </c>
      <c r="F55" s="140"/>
      <c r="G55" s="140"/>
      <c r="H55" s="140"/>
      <c r="I55" s="290">
        <f t="shared" si="15"/>
        <v>0</v>
      </c>
      <c r="J55" s="140"/>
      <c r="K55" s="140"/>
      <c r="L55" s="173"/>
      <c r="M55" s="290">
        <f t="shared" si="16"/>
        <v>0</v>
      </c>
      <c r="N55" s="140"/>
      <c r="O55" s="317"/>
      <c r="P55" s="412"/>
      <c r="Q55" s="290">
        <f>SUM(N55:P55)</f>
        <v>0</v>
      </c>
      <c r="R55" s="290">
        <f>I55+M55+Q55+E55</f>
        <v>0</v>
      </c>
      <c r="S55" s="52"/>
    </row>
    <row r="56" spans="1:19">
      <c r="A56" s="287" t="s">
        <v>107</v>
      </c>
      <c r="B56" s="140"/>
      <c r="C56" s="140"/>
      <c r="D56" s="140"/>
      <c r="E56" s="290">
        <f t="shared" si="14"/>
        <v>0</v>
      </c>
      <c r="F56" s="140"/>
      <c r="G56" s="140"/>
      <c r="H56" s="140"/>
      <c r="I56" s="290">
        <f t="shared" si="15"/>
        <v>0</v>
      </c>
      <c r="J56" s="140"/>
      <c r="K56" s="140"/>
      <c r="L56" s="173"/>
      <c r="M56" s="290">
        <f t="shared" si="16"/>
        <v>0</v>
      </c>
      <c r="N56" s="140"/>
      <c r="O56" s="317"/>
      <c r="P56" s="412"/>
      <c r="Q56" s="290">
        <f>SUM(N56:P56)</f>
        <v>0</v>
      </c>
      <c r="R56" s="290">
        <f>I56+M56+Q56+E56</f>
        <v>0</v>
      </c>
      <c r="S56" s="52"/>
    </row>
    <row r="57" spans="1:19" ht="13.8" thickBot="1">
      <c r="A57" s="288" t="s">
        <v>108</v>
      </c>
      <c r="B57" s="295"/>
      <c r="C57" s="295"/>
      <c r="D57" s="295"/>
      <c r="E57" s="177"/>
      <c r="F57" s="295"/>
      <c r="G57" s="295"/>
      <c r="H57" s="295"/>
      <c r="I57" s="177"/>
      <c r="J57" s="295"/>
      <c r="K57" s="295"/>
      <c r="L57" s="297"/>
      <c r="M57" s="177"/>
      <c r="N57" s="295"/>
      <c r="O57" s="318"/>
      <c r="P57" s="411"/>
      <c r="Q57" s="177"/>
      <c r="R57" s="177"/>
      <c r="S57" s="52"/>
    </row>
    <row r="58" spans="1:19" ht="13.8" thickTop="1">
      <c r="A58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138"/>
      <c r="Q58" s="52"/>
      <c r="R58" s="52"/>
    </row>
  </sheetData>
  <mergeCells count="28">
    <mergeCell ref="B37:E37"/>
    <mergeCell ref="B35:E35"/>
    <mergeCell ref="N35:Q35"/>
    <mergeCell ref="B34:E34"/>
    <mergeCell ref="J36:M36"/>
    <mergeCell ref="B36:E36"/>
    <mergeCell ref="N36:Q36"/>
    <mergeCell ref="F34:I34"/>
    <mergeCell ref="N37:Q37"/>
    <mergeCell ref="F35:I35"/>
    <mergeCell ref="J34:M34"/>
    <mergeCell ref="N34:Q34"/>
    <mergeCell ref="J37:M37"/>
    <mergeCell ref="F36:I36"/>
    <mergeCell ref="F37:I37"/>
    <mergeCell ref="J35:M35"/>
    <mergeCell ref="B1:E1"/>
    <mergeCell ref="F32:I32"/>
    <mergeCell ref="N1:Q1"/>
    <mergeCell ref="B32:E32"/>
    <mergeCell ref="B33:E33"/>
    <mergeCell ref="J1:M1"/>
    <mergeCell ref="J33:M33"/>
    <mergeCell ref="N33:Q33"/>
    <mergeCell ref="F1:I1"/>
    <mergeCell ref="N32:Q32"/>
    <mergeCell ref="J32:M32"/>
    <mergeCell ref="F33:I33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topLeftCell="C1" zoomScale="85" zoomScaleNormal="85" workbookViewId="0">
      <selection activeCell="R19" sqref="R19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29" t="s">
        <v>175</v>
      </c>
      <c r="B1" s="778" t="s">
        <v>202</v>
      </c>
      <c r="C1" s="779"/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779"/>
      <c r="O1" s="779"/>
      <c r="P1" s="779"/>
      <c r="Q1" s="779"/>
      <c r="R1" s="780"/>
    </row>
    <row r="2" spans="1:33" ht="15.75" customHeight="1" thickBot="1">
      <c r="A2" s="197" t="s">
        <v>0</v>
      </c>
      <c r="B2" s="198" t="s">
        <v>1</v>
      </c>
      <c r="C2" s="198" t="s">
        <v>2</v>
      </c>
      <c r="D2" s="198" t="s">
        <v>3</v>
      </c>
      <c r="E2" s="198" t="s">
        <v>127</v>
      </c>
      <c r="F2" s="198" t="s">
        <v>4</v>
      </c>
      <c r="G2" s="198" t="s">
        <v>5</v>
      </c>
      <c r="H2" s="198" t="s">
        <v>6</v>
      </c>
      <c r="I2" s="198" t="s">
        <v>184</v>
      </c>
      <c r="J2" s="198" t="s">
        <v>7</v>
      </c>
      <c r="K2" s="198" t="s">
        <v>8</v>
      </c>
      <c r="L2" s="198" t="s">
        <v>9</v>
      </c>
      <c r="M2" s="198" t="s">
        <v>197</v>
      </c>
      <c r="N2" s="198" t="s">
        <v>10</v>
      </c>
      <c r="O2" s="198" t="s">
        <v>11</v>
      </c>
      <c r="P2" s="198" t="s">
        <v>12</v>
      </c>
      <c r="Q2" s="198" t="s">
        <v>198</v>
      </c>
      <c r="R2" s="198" t="s">
        <v>13</v>
      </c>
    </row>
    <row r="3" spans="1:33" s="189" customFormat="1">
      <c r="A3" s="240" t="s">
        <v>204</v>
      </c>
      <c r="B3" s="477">
        <v>226808.74</v>
      </c>
      <c r="C3" s="477">
        <v>357078.13</v>
      </c>
      <c r="D3" s="477">
        <v>304259.63</v>
      </c>
      <c r="E3" s="478">
        <f>SUM(B3:D3)</f>
        <v>888146.5</v>
      </c>
      <c r="F3" s="477">
        <v>320858.49</v>
      </c>
      <c r="G3" s="477">
        <v>191442.27</v>
      </c>
      <c r="H3" s="477">
        <v>297587.90000000002</v>
      </c>
      <c r="I3" s="478">
        <f>SUM(F3:H3)</f>
        <v>809888.66</v>
      </c>
      <c r="J3" s="477">
        <v>318026.28000000003</v>
      </c>
      <c r="K3" s="477">
        <v>288173.55</v>
      </c>
      <c r="L3" s="477">
        <v>243971.66</v>
      </c>
      <c r="M3" s="478">
        <f>SUM(J3:L3)</f>
        <v>850171.49000000011</v>
      </c>
      <c r="N3" s="477">
        <v>334005.33</v>
      </c>
      <c r="O3" s="477">
        <v>320598.48</v>
      </c>
      <c r="P3" s="477">
        <v>244268.06</v>
      </c>
      <c r="Q3" s="477">
        <f>SUM(N3:P3)</f>
        <v>898871.87000000011</v>
      </c>
      <c r="R3" s="371">
        <f>SUM(Q3,M3,I3,E3)</f>
        <v>3447078.5200000005</v>
      </c>
      <c r="T3" s="423">
        <f>R8*1.1</f>
        <v>1885668.3192600003</v>
      </c>
    </row>
    <row r="4" spans="1:33" s="189" customFormat="1" ht="13.8" thickBot="1">
      <c r="A4" s="239"/>
      <c r="B4" s="479"/>
      <c r="C4" s="479"/>
      <c r="D4" s="479"/>
      <c r="E4" s="480"/>
      <c r="F4" s="479"/>
      <c r="G4" s="479"/>
      <c r="H4" s="479"/>
      <c r="I4" s="480"/>
      <c r="J4" s="479"/>
      <c r="K4" s="479"/>
      <c r="L4" s="479"/>
      <c r="M4" s="480"/>
      <c r="N4" s="479"/>
      <c r="O4" s="479"/>
      <c r="P4" s="479"/>
      <c r="Q4" s="479"/>
      <c r="R4" s="424"/>
      <c r="S4" s="195" t="s">
        <v>131</v>
      </c>
      <c r="T4" s="190" t="s">
        <v>132</v>
      </c>
      <c r="U4" s="191" t="s">
        <v>124</v>
      </c>
    </row>
    <row r="5" spans="1:33" s="183" customFormat="1" ht="13.8" thickBot="1">
      <c r="A5" s="200" t="s">
        <v>203</v>
      </c>
      <c r="B5" s="481" t="e">
        <f>B9/B4-1</f>
        <v>#DIV/0!</v>
      </c>
      <c r="C5" s="481" t="e">
        <f>C9/C4-1</f>
        <v>#DIV/0!</v>
      </c>
      <c r="D5" s="481" t="e">
        <f>D9/D4-1</f>
        <v>#DIV/0!</v>
      </c>
      <c r="E5" s="481">
        <f>E8/E3-1</f>
        <v>-3.3898685633507508E-2</v>
      </c>
      <c r="F5" s="481" t="e">
        <f t="shared" ref="F5:P5" si="0">F9/F4-1</f>
        <v>#DIV/0!</v>
      </c>
      <c r="G5" s="481" t="e">
        <f t="shared" si="0"/>
        <v>#DIV/0!</v>
      </c>
      <c r="H5" s="481" t="e">
        <f t="shared" si="0"/>
        <v>#DIV/0!</v>
      </c>
      <c r="I5" s="481">
        <f>I8/I3-1</f>
        <v>5.7187818384813349E-2</v>
      </c>
      <c r="J5" s="481" t="e">
        <f t="shared" si="0"/>
        <v>#DIV/0!</v>
      </c>
      <c r="K5" s="481" t="e">
        <f t="shared" si="0"/>
        <v>#DIV/0!</v>
      </c>
      <c r="L5" s="481" t="e">
        <f t="shared" si="0"/>
        <v>#DIV/0!</v>
      </c>
      <c r="M5" s="481">
        <f>M8/M3-1</f>
        <v>-1</v>
      </c>
      <c r="N5" s="481" t="e">
        <f t="shared" si="0"/>
        <v>#DIV/0!</v>
      </c>
      <c r="O5" s="481" t="e">
        <f t="shared" si="0"/>
        <v>#DIV/0!</v>
      </c>
      <c r="P5" s="481" t="e">
        <f t="shared" si="0"/>
        <v>#DIV/0!</v>
      </c>
      <c r="Q5" s="481">
        <f>Q8/Q3-1</f>
        <v>-1</v>
      </c>
      <c r="R5" s="201">
        <f>R8/R3-1</f>
        <v>-0.50269658301836428</v>
      </c>
      <c r="S5" s="196">
        <f>S6/R3</f>
        <v>0.9976572890773604</v>
      </c>
      <c r="T5" s="184">
        <f>T6/R3</f>
        <v>1.0501655674498531</v>
      </c>
      <c r="U5" s="184">
        <f>U6/R3</f>
        <v>1.102673845822346</v>
      </c>
    </row>
    <row r="6" spans="1:33" ht="15.75" customHeight="1">
      <c r="A6" s="206" t="s">
        <v>36</v>
      </c>
      <c r="B6" s="482">
        <f>Target!B22</f>
        <v>255900</v>
      </c>
      <c r="C6" s="482">
        <f>Target!C22</f>
        <v>284333.33333333331</v>
      </c>
      <c r="D6" s="482">
        <f>Target!D22</f>
        <v>312766.66666666669</v>
      </c>
      <c r="E6" s="482">
        <f>SUM(B6:D6)</f>
        <v>853000</v>
      </c>
      <c r="F6" s="482">
        <f>Target!E22</f>
        <v>276700.31700000004</v>
      </c>
      <c r="G6" s="482">
        <f>Target!F22</f>
        <v>307444.79666666669</v>
      </c>
      <c r="H6" s="482">
        <f>Target!G22</f>
        <v>338189.2763333334</v>
      </c>
      <c r="I6" s="482">
        <f>SUM(F6:H6)</f>
        <v>922334.39000000013</v>
      </c>
      <c r="J6" s="482">
        <f>Target!H22</f>
        <v>276700.31700000004</v>
      </c>
      <c r="K6" s="482">
        <f>Target!I22</f>
        <v>307444.79666666669</v>
      </c>
      <c r="L6" s="482">
        <f>Target!J22</f>
        <v>338189.2763333334</v>
      </c>
      <c r="M6" s="482">
        <f>SUM(J6:L6)</f>
        <v>922334.39000000013</v>
      </c>
      <c r="N6" s="482">
        <f>Target!K22</f>
        <v>276700.31700000004</v>
      </c>
      <c r="O6" s="482">
        <f>Target!L22</f>
        <v>307444.79666666669</v>
      </c>
      <c r="P6" s="482">
        <f>Target!M22</f>
        <v>338189.2763333334</v>
      </c>
      <c r="Q6" s="482">
        <f>SUM(N6:P6)</f>
        <v>922334.39000000013</v>
      </c>
      <c r="R6" s="207">
        <f>B6+C6+D6+F6+G6+H6+J6+K6+L6+N6+O6+P6</f>
        <v>3620003.1700000004</v>
      </c>
      <c r="S6" s="203">
        <f>DH!R6*0.95</f>
        <v>3439003.0115</v>
      </c>
      <c r="T6" s="187">
        <f>R6</f>
        <v>3620003.1700000004</v>
      </c>
      <c r="U6" s="185">
        <f>Target!H26</f>
        <v>3801003.3285000008</v>
      </c>
    </row>
    <row r="7" spans="1:33" ht="15.75" customHeight="1">
      <c r="A7" s="208" t="s">
        <v>35</v>
      </c>
      <c r="B7" s="443">
        <f>B6</f>
        <v>255900</v>
      </c>
      <c r="C7" s="443">
        <f>C6+B7</f>
        <v>540233.33333333326</v>
      </c>
      <c r="D7" s="443">
        <f>D6+C7</f>
        <v>853000</v>
      </c>
      <c r="E7" s="483"/>
      <c r="F7" s="443">
        <f>F6+D7</f>
        <v>1129700.317</v>
      </c>
      <c r="G7" s="443">
        <f>G6+F7</f>
        <v>1437145.1136666667</v>
      </c>
      <c r="H7" s="443">
        <f>H6+G7</f>
        <v>1775334.3900000001</v>
      </c>
      <c r="I7" s="443"/>
      <c r="J7" s="443">
        <f>J6+H7</f>
        <v>2052034.7070000002</v>
      </c>
      <c r="K7" s="443">
        <f>K6+J7</f>
        <v>2359479.5036666668</v>
      </c>
      <c r="L7" s="443">
        <f>L6+K7</f>
        <v>2697668.7800000003</v>
      </c>
      <c r="M7" s="443"/>
      <c r="N7" s="443">
        <f>N6+L7</f>
        <v>2974369.0970000001</v>
      </c>
      <c r="O7" s="443">
        <f>O6+N7</f>
        <v>3281813.8936666669</v>
      </c>
      <c r="P7" s="443">
        <f>P6+O7</f>
        <v>3620003.1700000004</v>
      </c>
      <c r="Q7" s="443"/>
      <c r="R7" s="209"/>
      <c r="S7" s="204"/>
      <c r="T7" s="83"/>
      <c r="U7" s="144"/>
      <c r="V7" s="237">
        <f>T6/T19</f>
        <v>0.36635244307496229</v>
      </c>
    </row>
    <row r="8" spans="1:33" s="142" customFormat="1" ht="15.75" customHeight="1">
      <c r="A8" s="210" t="s">
        <v>37</v>
      </c>
      <c r="B8" s="180">
        <f>TOMEK!B6+RCKIK!B6+'1'!N6+BARTEK!B6+PIOTR!B6+KRZYSZTOF!B6+'0'!N6</f>
        <v>270726.89350000001</v>
      </c>
      <c r="C8" s="180">
        <f>TOMEK!C6+RCKIK!C6+'1'!O6+BARTEK!C6+PIOTR!C6+KRZYSZTOF!C6+'0'!O6</f>
        <v>318940.51760000002</v>
      </c>
      <c r="D8" s="180">
        <f>TOMEK!D6+RCKIK!D6+'1'!P6+BARTEK!D6+PIOTR!D6+KRZYSZTOF!D6+'0'!P6</f>
        <v>268372.08990000002</v>
      </c>
      <c r="E8" s="484">
        <f>SUM(B8:D8)</f>
        <v>858039.50100000005</v>
      </c>
      <c r="F8" s="180">
        <f>TOMEK!F6+RCKIK!F6+'1'!J6+BARTEK!F6+PIOTR!F6+KRZYSZTOF!F6++'0'!J6</f>
        <v>311537.67300000001</v>
      </c>
      <c r="G8" s="180">
        <f>TOMEK!G6+RCKIK!G6+'1'!K6+BARTEK!G6+PIOTR!G6+KRZYSZTOF!G6+'0'!K6</f>
        <v>285230.49959999998</v>
      </c>
      <c r="H8" s="180">
        <f>TOMEK!H6+RCKIK!H6+'1'!L6+BARTEK!H6+PIOTR!H6+KRZYSZTOF!H6+'0'!L6</f>
        <v>259436.253</v>
      </c>
      <c r="I8" s="180">
        <f>SUM(F8:H8)</f>
        <v>856204.42559999996</v>
      </c>
      <c r="J8" s="180">
        <f>TOMEK!J6+RCKIK!J6+'0'!F6+BARTEK!J6+PIOTR!J6+KRZYSZTOF!J6+'1'!F6</f>
        <v>0</v>
      </c>
      <c r="K8" s="180">
        <f>TOMEK!K6+RCKIK!K6+'0'!G6+BARTEK!K6+PIOTR!K6+KRZYSZTOF!K6+'1'!G6+SUMIF(VIII!A:A,$A$1,VIII!I:I)</f>
        <v>0</v>
      </c>
      <c r="L8" s="180">
        <f>TOMEK!L6+RCKIK!L6+'0'!H6+BARTEK!L6+PIOTR!L6+KRZYSZTOF!L6+'1'!H6</f>
        <v>0</v>
      </c>
      <c r="M8" s="180">
        <f>SUM(J8:L8)</f>
        <v>0</v>
      </c>
      <c r="N8" s="180">
        <f>TOMEK!N6+RCKIK!N6+'0'!B6+BARTEK!N6+PIOTR!N6+KRZYSZTOF!N6+'1'!B6</f>
        <v>0</v>
      </c>
      <c r="O8" s="180">
        <f>TOMEK!O6+RCKIK!O6+'0'!C6+BARTEK!O6+PIOTR!O6+KRZYSZTOF!O6+'1'!C6</f>
        <v>0</v>
      </c>
      <c r="P8" s="180">
        <f>TOMEK!P6+RCKIK!P6+'0'!D6+BARTEK!P6+PIOTR!P6+KRZYSZTOF!P6+'1'!D6</f>
        <v>0</v>
      </c>
      <c r="Q8" s="180">
        <f>SUM(N8:P8)</f>
        <v>0</v>
      </c>
      <c r="R8" s="211">
        <f>B8+C8+D8+F8+G8+H8+J8+K8+L8+N8+O8+P8</f>
        <v>1714243.9266000001</v>
      </c>
      <c r="S8" s="376"/>
      <c r="T8" s="256">
        <v>2</v>
      </c>
      <c r="U8" s="257">
        <v>3</v>
      </c>
      <c r="V8" s="258"/>
      <c r="W8" s="258">
        <v>4</v>
      </c>
      <c r="X8" s="258">
        <v>5</v>
      </c>
      <c r="Y8" s="258">
        <v>6</v>
      </c>
      <c r="Z8" s="258"/>
      <c r="AA8" s="258">
        <v>7</v>
      </c>
      <c r="AB8" s="258">
        <v>8</v>
      </c>
      <c r="AC8" s="258">
        <v>9</v>
      </c>
      <c r="AD8" s="258"/>
      <c r="AE8" s="258">
        <v>10</v>
      </c>
      <c r="AF8" s="258">
        <v>11</v>
      </c>
      <c r="AG8" s="258">
        <v>12</v>
      </c>
    </row>
    <row r="9" spans="1:33" ht="15.75" customHeight="1" thickBot="1">
      <c r="A9" s="208" t="s">
        <v>38</v>
      </c>
      <c r="B9" s="439">
        <f>B8</f>
        <v>270726.89350000001</v>
      </c>
      <c r="C9" s="439">
        <f>C8+B9</f>
        <v>589667.41110000003</v>
      </c>
      <c r="D9" s="439">
        <f>D8+C9</f>
        <v>858039.50100000005</v>
      </c>
      <c r="E9" s="481"/>
      <c r="F9" s="439">
        <f>F8+D9</f>
        <v>1169577.1740000001</v>
      </c>
      <c r="G9" s="439">
        <f>G8+F9</f>
        <v>1454807.6736000001</v>
      </c>
      <c r="H9" s="439">
        <f>H8+G9</f>
        <v>1714243.9266000001</v>
      </c>
      <c r="I9" s="485"/>
      <c r="J9" s="439">
        <f>J8+H9</f>
        <v>1714243.9266000001</v>
      </c>
      <c r="K9" s="439">
        <f>K8+J9</f>
        <v>1714243.9266000001</v>
      </c>
      <c r="L9" s="439">
        <f>L8+K9</f>
        <v>1714243.9266000001</v>
      </c>
      <c r="M9" s="481"/>
      <c r="N9" s="439">
        <f>N8+L9</f>
        <v>1714243.9266000001</v>
      </c>
      <c r="O9" s="439">
        <f>O8+N9</f>
        <v>1714243.9266000001</v>
      </c>
      <c r="P9" s="439">
        <f>P8+O9</f>
        <v>1714243.9266000001</v>
      </c>
      <c r="Q9" s="439"/>
      <c r="R9" s="212"/>
      <c r="S9" s="374"/>
      <c r="T9" s="83"/>
      <c r="U9" s="83"/>
    </row>
    <row r="10" spans="1:33" ht="15.75" customHeight="1">
      <c r="A10" s="213" t="s">
        <v>39</v>
      </c>
      <c r="B10" s="75">
        <f>B8/B6</f>
        <v>1.0579401856193826</v>
      </c>
      <c r="C10" s="75">
        <f>C8/C6</f>
        <v>1.1217134264947246</v>
      </c>
      <c r="D10" s="75">
        <f>D8/D6</f>
        <v>0.85805847777896194</v>
      </c>
      <c r="E10" s="62">
        <f>D7*0.95</f>
        <v>810350</v>
      </c>
      <c r="F10" s="75">
        <f>F8/F6</f>
        <v>1.1259028409425349</v>
      </c>
      <c r="G10" s="75">
        <f>G8/G6</f>
        <v>0.92774541216011674</v>
      </c>
      <c r="H10" s="75">
        <f>H8/H6</f>
        <v>0.76713329237645267</v>
      </c>
      <c r="I10" s="486"/>
      <c r="J10" s="75">
        <f>J8/J6</f>
        <v>0</v>
      </c>
      <c r="K10" s="75">
        <f>K8/K6</f>
        <v>0</v>
      </c>
      <c r="L10" s="75">
        <f>L8/L6</f>
        <v>0</v>
      </c>
      <c r="M10" s="486">
        <f>L4-L9</f>
        <v>-1714243.9266000001</v>
      </c>
      <c r="N10" s="75">
        <f>N8/N6</f>
        <v>0</v>
      </c>
      <c r="O10" s="75">
        <f>O8/O6</f>
        <v>0</v>
      </c>
      <c r="P10" s="75">
        <f>P8/P6</f>
        <v>0</v>
      </c>
      <c r="Q10" s="486">
        <f>P4-P9</f>
        <v>-1714243.9266000001</v>
      </c>
      <c r="R10" s="212"/>
      <c r="S10" s="378"/>
      <c r="T10" s="377"/>
      <c r="U10" s="377"/>
      <c r="X10">
        <v>2019</v>
      </c>
      <c r="Y10" s="145">
        <f>R3/12</f>
        <v>287256.54333333339</v>
      </c>
    </row>
    <row r="11" spans="1:33" ht="15.75" customHeight="1">
      <c r="A11" s="208" t="s">
        <v>48</v>
      </c>
      <c r="B11" s="438">
        <f>B9-B7</f>
        <v>14826.893500000006</v>
      </c>
      <c r="C11" s="438">
        <f>C9-C7</f>
        <v>49434.077766666771</v>
      </c>
      <c r="D11" s="438">
        <f>D9-D7</f>
        <v>5039.5010000000475</v>
      </c>
      <c r="E11" s="438">
        <f>E10-D9</f>
        <v>-47689.501000000047</v>
      </c>
      <c r="F11" s="438">
        <f>F9-F7</f>
        <v>39876.857000000076</v>
      </c>
      <c r="G11" s="438">
        <f>G9-G7</f>
        <v>17662.559933333425</v>
      </c>
      <c r="H11" s="438">
        <f>H9-H7</f>
        <v>-61090.463400000008</v>
      </c>
      <c r="I11" s="438">
        <f>H7*0.9-H9</f>
        <v>-116442.97560000001</v>
      </c>
      <c r="J11" s="438">
        <f>J9-J7</f>
        <v>-337790.78040000005</v>
      </c>
      <c r="K11" s="438">
        <f>K9-K7</f>
        <v>-645235.57706666668</v>
      </c>
      <c r="L11" s="438">
        <f>L9-L7</f>
        <v>-983424.85340000014</v>
      </c>
      <c r="M11" s="438">
        <f>J7*0.9-J9</f>
        <v>132587.3097000001</v>
      </c>
      <c r="N11" s="438">
        <f>N9-N7</f>
        <v>-1260125.1703999999</v>
      </c>
      <c r="O11" s="438">
        <f>O9-O7</f>
        <v>-1567569.9670666668</v>
      </c>
      <c r="P11" s="438">
        <f>P9-P7</f>
        <v>-1905759.2434000003</v>
      </c>
      <c r="Q11" s="438"/>
      <c r="R11" s="214"/>
      <c r="S11" s="378"/>
      <c r="T11" s="377"/>
      <c r="U11" s="377"/>
      <c r="X11">
        <v>2020</v>
      </c>
      <c r="Y11" s="171">
        <f>D9/3</f>
        <v>286013.16700000002</v>
      </c>
      <c r="Z11" s="309">
        <f>1-Y10/Y11</f>
        <v>-4.3472695553676832E-3</v>
      </c>
    </row>
    <row r="12" spans="1:33" s="143" customFormat="1" ht="15.75" customHeight="1" thickBot="1">
      <c r="A12" s="215" t="s">
        <v>40</v>
      </c>
      <c r="B12" s="216">
        <f>B9/B7</f>
        <v>1.0579401856193826</v>
      </c>
      <c r="C12" s="216">
        <f>C9/C7</f>
        <v>1.0915050492379839</v>
      </c>
      <c r="D12" s="216">
        <f>D9/D7</f>
        <v>1.0059079730363423</v>
      </c>
      <c r="E12" s="216"/>
      <c r="F12" s="216">
        <f>F9/F7</f>
        <v>1.0352986153937673</v>
      </c>
      <c r="G12" s="216">
        <f>G9/G7</f>
        <v>1.01229003234633</v>
      </c>
      <c r="H12" s="216">
        <f>H9/H7</f>
        <v>0.96558932010549292</v>
      </c>
      <c r="I12" s="216"/>
      <c r="J12" s="216">
        <f>J9/J7</f>
        <v>0.83538739415677921</v>
      </c>
      <c r="K12" s="216">
        <f>K9/K7</f>
        <v>0.72653478190255061</v>
      </c>
      <c r="L12" s="216">
        <f>L9/L7</f>
        <v>0.63545381824079972</v>
      </c>
      <c r="M12" s="346"/>
      <c r="N12" s="216">
        <f>N9/N7</f>
        <v>0.57633866904044162</v>
      </c>
      <c r="O12" s="216">
        <f>O9/O7</f>
        <v>0.52234647732712525</v>
      </c>
      <c r="P12" s="216">
        <f>P9/P7</f>
        <v>0.47354763134088634</v>
      </c>
      <c r="Q12" s="216"/>
      <c r="R12" s="217"/>
      <c r="S12" s="205"/>
      <c r="T12" s="186"/>
      <c r="U12" s="186"/>
      <c r="X12" s="143" t="s">
        <v>80</v>
      </c>
      <c r="Y12" s="345">
        <f>F8</f>
        <v>311537.67300000001</v>
      </c>
      <c r="Z12" s="309">
        <f>1-Y11/Y12</f>
        <v>8.1930720462176643E-2</v>
      </c>
    </row>
    <row r="13" spans="1:33" s="194" customFormat="1" ht="15.75" customHeight="1">
      <c r="A13" s="230" t="s">
        <v>133</v>
      </c>
      <c r="B13" s="425">
        <f>Target!C8</f>
        <v>255900</v>
      </c>
      <c r="C13" s="426">
        <f>Target!D8</f>
        <v>284333.33333333331</v>
      </c>
      <c r="D13" s="427">
        <f>Target!E8</f>
        <v>312766.66666666669</v>
      </c>
      <c r="E13" s="299">
        <f>SUM(B13:D13)</f>
        <v>853000</v>
      </c>
      <c r="F13" s="425">
        <f>Target!F8</f>
        <v>276700.31700000004</v>
      </c>
      <c r="G13" s="425">
        <f>Target!G8</f>
        <v>307444.79666666669</v>
      </c>
      <c r="H13" s="425">
        <f>Target!H8</f>
        <v>338189.2763333334</v>
      </c>
      <c r="I13" s="299">
        <f>SUM(F13:H13)</f>
        <v>922334.39000000013</v>
      </c>
      <c r="J13" s="425">
        <f>Target!I8</f>
        <v>276700.31700000004</v>
      </c>
      <c r="K13" s="425">
        <f>Target!J8</f>
        <v>307444.79666666669</v>
      </c>
      <c r="L13" s="425">
        <f>Target!K8</f>
        <v>338189.2763333334</v>
      </c>
      <c r="M13" s="299">
        <f>SUM(J13:L13)</f>
        <v>922334.39000000013</v>
      </c>
      <c r="N13" s="428">
        <f>Target!L8</f>
        <v>276700.31700000004</v>
      </c>
      <c r="O13" s="428">
        <f>Target!M8</f>
        <v>307444.79666666669</v>
      </c>
      <c r="P13" s="428">
        <f>Target!N8</f>
        <v>338189.2763333334</v>
      </c>
      <c r="Q13" s="299">
        <f>SUM(N13:P13)</f>
        <v>922334.39000000013</v>
      </c>
      <c r="R13" s="231"/>
      <c r="S13" s="218"/>
      <c r="T13" s="193"/>
      <c r="U13" s="193"/>
      <c r="Z13" s="309">
        <f>1-Y10/Y12</f>
        <v>7.793962583352354E-2</v>
      </c>
    </row>
    <row r="14" spans="1:33" s="194" customFormat="1" ht="15.75" customHeight="1" thickBot="1">
      <c r="A14" s="232" t="s">
        <v>134</v>
      </c>
      <c r="B14" s="233">
        <f>B8/B13</f>
        <v>1.0579401856193826</v>
      </c>
      <c r="C14" s="233">
        <f>(B8+C8)/C13</f>
        <v>2.0738595935521689</v>
      </c>
      <c r="D14" s="233">
        <f>(D8+C8+B8)/D13</f>
        <v>2.7433853810082063</v>
      </c>
      <c r="E14" s="233"/>
      <c r="F14" s="233">
        <f>F8/F13</f>
        <v>1.1259028409425349</v>
      </c>
      <c r="G14" s="233">
        <f>(F8+G8)/G13</f>
        <v>1.941057969008398</v>
      </c>
      <c r="H14" s="233">
        <f>(H8+G8+F8)/H13</f>
        <v>2.5317314460204505</v>
      </c>
      <c r="I14" s="487"/>
      <c r="J14" s="233">
        <f>J8/J13</f>
        <v>0</v>
      </c>
      <c r="K14" s="233">
        <f>(J8+K8)/K13</f>
        <v>0</v>
      </c>
      <c r="L14" s="233">
        <f>(L8+K8+J8)/L13</f>
        <v>0</v>
      </c>
      <c r="M14" s="487"/>
      <c r="N14" s="233">
        <f>N8/N13</f>
        <v>0</v>
      </c>
      <c r="O14" s="233">
        <f>(N8+O8)/O13</f>
        <v>0</v>
      </c>
      <c r="P14" s="233">
        <f>(P8+O8+N8)/P13</f>
        <v>0</v>
      </c>
      <c r="Q14" s="488"/>
      <c r="R14" s="234"/>
      <c r="S14" s="218"/>
      <c r="T14" s="193"/>
      <c r="U14" s="193"/>
    </row>
    <row r="15" spans="1:33" ht="12" customHeight="1" thickBot="1">
      <c r="A15" s="219"/>
      <c r="B15" s="300"/>
      <c r="C15" s="300"/>
      <c r="D15" s="300"/>
      <c r="E15" s="300"/>
      <c r="F15" s="300"/>
      <c r="G15" s="300"/>
      <c r="H15" s="300"/>
      <c r="I15" s="300"/>
      <c r="J15" s="300"/>
      <c r="K15" s="300"/>
      <c r="L15" s="300"/>
      <c r="M15" s="300"/>
      <c r="N15" s="300"/>
      <c r="O15" s="300"/>
      <c r="P15" s="300"/>
      <c r="Q15" s="300"/>
      <c r="R15" s="220"/>
      <c r="S15" s="377"/>
      <c r="T15" s="377"/>
      <c r="U15" s="377"/>
    </row>
    <row r="16" spans="1:33" s="189" customFormat="1">
      <c r="A16" s="240" t="s">
        <v>205</v>
      </c>
      <c r="B16" s="477">
        <v>691721.1</v>
      </c>
      <c r="C16" s="477">
        <v>997536.9</v>
      </c>
      <c r="D16" s="477">
        <v>813771.08</v>
      </c>
      <c r="E16" s="477">
        <f>SUM(B16:D16)</f>
        <v>2503029.08</v>
      </c>
      <c r="F16" s="477">
        <v>882952.5</v>
      </c>
      <c r="G16" s="477">
        <v>577673.01</v>
      </c>
      <c r="H16" s="477">
        <v>790124.75</v>
      </c>
      <c r="I16" s="477">
        <f>SUM(F16:H16)</f>
        <v>2250750.2599999998</v>
      </c>
      <c r="J16" s="477">
        <v>839556.05</v>
      </c>
      <c r="K16" s="477">
        <v>746286.5</v>
      </c>
      <c r="L16" s="477">
        <v>679180.01</v>
      </c>
      <c r="M16" s="477">
        <f>SUM(J16:L16)</f>
        <v>2265022.56</v>
      </c>
      <c r="N16" s="477">
        <v>804813.31</v>
      </c>
      <c r="O16" s="477">
        <v>825481.94</v>
      </c>
      <c r="P16" s="477">
        <v>682240.2</v>
      </c>
      <c r="Q16" s="477">
        <f>SUM(N16:P16)</f>
        <v>2312535.4500000002</v>
      </c>
      <c r="R16" s="371">
        <f>SUM(Q16,M16,I16,E16)</f>
        <v>9331337.3499999996</v>
      </c>
      <c r="S16" s="195"/>
      <c r="T16" s="190"/>
      <c r="U16" s="190"/>
    </row>
    <row r="17" spans="1:23" s="189" customFormat="1">
      <c r="A17" s="239"/>
      <c r="B17" s="429"/>
      <c r="C17" s="429"/>
      <c r="D17" s="429"/>
      <c r="E17" s="429"/>
      <c r="F17" s="429"/>
      <c r="G17" s="429"/>
      <c r="H17" s="429"/>
      <c r="I17" s="429"/>
      <c r="J17" s="429"/>
      <c r="K17" s="429"/>
      <c r="L17" s="429"/>
      <c r="M17" s="429"/>
      <c r="N17" s="429"/>
      <c r="O17" s="429"/>
      <c r="P17" s="429"/>
      <c r="Q17" s="429"/>
      <c r="R17" s="296"/>
      <c r="S17" s="195" t="s">
        <v>131</v>
      </c>
      <c r="T17" s="190" t="s">
        <v>132</v>
      </c>
      <c r="U17" s="191" t="s">
        <v>124</v>
      </c>
    </row>
    <row r="18" spans="1:23" s="182" customFormat="1" ht="13.8" thickBot="1">
      <c r="A18" s="200" t="s">
        <v>206</v>
      </c>
      <c r="B18" s="481" t="e">
        <f>B22/B17-1</f>
        <v>#DIV/0!</v>
      </c>
      <c r="C18" s="481" t="e">
        <f>C22/C17-1</f>
        <v>#DIV/0!</v>
      </c>
      <c r="D18" s="481" t="e">
        <f>D22/D17-1</f>
        <v>#DIV/0!</v>
      </c>
      <c r="E18" s="481"/>
      <c r="F18" s="481" t="e">
        <f>F22/F17-1</f>
        <v>#DIV/0!</v>
      </c>
      <c r="G18" s="481" t="e">
        <f>G22/G17-1</f>
        <v>#DIV/0!</v>
      </c>
      <c r="H18" s="481" t="e">
        <f>H22/H17-1</f>
        <v>#DIV/0!</v>
      </c>
      <c r="I18" s="481"/>
      <c r="J18" s="481" t="e">
        <f>J22/J17-1</f>
        <v>#DIV/0!</v>
      </c>
      <c r="K18" s="481" t="e">
        <f>K22/K17-1</f>
        <v>#DIV/0!</v>
      </c>
      <c r="L18" s="481" t="e">
        <f>L22/L17-1</f>
        <v>#DIV/0!</v>
      </c>
      <c r="M18" s="481"/>
      <c r="N18" s="481" t="e">
        <f>N22/N17-1</f>
        <v>#DIV/0!</v>
      </c>
      <c r="O18" s="481" t="e">
        <f>O22/O17-1</f>
        <v>#DIV/0!</v>
      </c>
      <c r="P18" s="481" t="e">
        <f>P22/P17-1</f>
        <v>#DIV/0!</v>
      </c>
      <c r="Q18" s="481">
        <f>Q21/Q16</f>
        <v>0</v>
      </c>
      <c r="R18" s="202">
        <f>R21/R16</f>
        <v>0.4954450002603325</v>
      </c>
      <c r="S18" s="196">
        <f>S19/R16</f>
        <v>1.0059805259303671</v>
      </c>
      <c r="T18" s="184">
        <f>T19/R16</f>
        <v>1.0589268694003864</v>
      </c>
      <c r="U18" s="184">
        <f>U19/R16</f>
        <v>1.1118732128704056</v>
      </c>
    </row>
    <row r="19" spans="1:23" ht="15.75" customHeight="1">
      <c r="A19" s="199" t="s">
        <v>41</v>
      </c>
      <c r="B19" s="489">
        <f>Target!B23</f>
        <v>720845.07042253518</v>
      </c>
      <c r="C19" s="489">
        <f>Target!C23</f>
        <v>800938.96713615023</v>
      </c>
      <c r="D19" s="489">
        <f>Target!D23</f>
        <v>881032.86384976527</v>
      </c>
      <c r="E19" s="489"/>
      <c r="F19" s="489">
        <f>Target!E23</f>
        <v>747838.69459459465</v>
      </c>
      <c r="G19" s="489">
        <f>Target!F23</f>
        <v>830931.88288288296</v>
      </c>
      <c r="H19" s="489">
        <f>Target!G23</f>
        <v>914025.07117117138</v>
      </c>
      <c r="I19" s="489"/>
      <c r="J19" s="489">
        <f>Target!H23</f>
        <v>747838.69459459465</v>
      </c>
      <c r="K19" s="489">
        <f>Target!I23</f>
        <v>830931.88288288296</v>
      </c>
      <c r="L19" s="489">
        <f>Target!J23</f>
        <v>914025.07117117138</v>
      </c>
      <c r="M19" s="489"/>
      <c r="N19" s="489">
        <f>Target!K23</f>
        <v>747838.69459459465</v>
      </c>
      <c r="O19" s="489">
        <f>Target!L23</f>
        <v>830931.88288288296</v>
      </c>
      <c r="P19" s="489">
        <f>Target!M23</f>
        <v>914025.07117117138</v>
      </c>
      <c r="Q19" s="490"/>
      <c r="R19" s="251">
        <f>B19+C19+D19+F19+G19+H19+J19+K19+L19+N19+O19+P19</f>
        <v>9881203.8473543972</v>
      </c>
      <c r="S19" s="187">
        <f>DH!R19*0.95</f>
        <v>9387143.6549866777</v>
      </c>
      <c r="T19" s="187">
        <f>Target!F27</f>
        <v>9881203.8473543972</v>
      </c>
      <c r="U19" s="185">
        <f>Target!H27</f>
        <v>10375264.039722117</v>
      </c>
    </row>
    <row r="20" spans="1:23" ht="15.75" customHeight="1">
      <c r="A20" s="7" t="s">
        <v>42</v>
      </c>
      <c r="B20" s="436">
        <f>B19</f>
        <v>720845.07042253518</v>
      </c>
      <c r="C20" s="436">
        <f>C19+B20</f>
        <v>1521784.0375586855</v>
      </c>
      <c r="D20" s="436">
        <f>D19+C20</f>
        <v>2402816.9014084507</v>
      </c>
      <c r="E20" s="436"/>
      <c r="F20" s="436">
        <f>F19+D20</f>
        <v>3150655.5960030453</v>
      </c>
      <c r="G20" s="436">
        <f>G19+F20</f>
        <v>3981587.4788859282</v>
      </c>
      <c r="H20" s="436">
        <f>H19+G20</f>
        <v>4895612.5500570992</v>
      </c>
      <c r="I20" s="436"/>
      <c r="J20" s="436">
        <f>J19+H20</f>
        <v>5643451.2446516939</v>
      </c>
      <c r="K20" s="436">
        <f>K19+J20</f>
        <v>6474383.1275345767</v>
      </c>
      <c r="L20" s="436">
        <f>L19+K20</f>
        <v>7388408.1987057477</v>
      </c>
      <c r="M20" s="436"/>
      <c r="N20" s="436">
        <f>N19+L20</f>
        <v>8136246.8933003424</v>
      </c>
      <c r="O20" s="436">
        <f>O19+N20</f>
        <v>8967178.7761832252</v>
      </c>
      <c r="P20" s="436">
        <f>P19+O20</f>
        <v>9881203.8473543972</v>
      </c>
      <c r="Q20" s="278"/>
      <c r="R20" s="253"/>
    </row>
    <row r="21" spans="1:23" ht="15.75" customHeight="1">
      <c r="A21" s="28" t="s">
        <v>43</v>
      </c>
      <c r="B21" s="180">
        <f>TOMEK!B11+RCKIK!B11+'1'!N13+BARTEK!B11+PIOTR!B11+KRZYSZTOF!B11+'0'!N13</f>
        <v>735313.2422000001</v>
      </c>
      <c r="C21" s="180">
        <f>TOMEK!C11+RCKIK!C11+'1'!O13+BARTEK!C11+PIOTR!C11+KRZYSZTOF!C11+'0'!O13</f>
        <v>864042.08990000002</v>
      </c>
      <c r="D21" s="180">
        <f>TOMEK!D11+RCKIK!D11+'1'!P13+BARTEK!D11+PIOTR!D11+KRZYSZTOF!D11+'0'!P13</f>
        <v>682276.62120000005</v>
      </c>
      <c r="E21" s="180">
        <f>SUM(B21:D21)</f>
        <v>2281631.9533000002</v>
      </c>
      <c r="F21" s="180">
        <f>TOMEK!F11+RCKIK!F11+'1'!J13+BARTEK!F11+PIOTR!F11+KRZYSZTOF!F11+'0'!J13</f>
        <v>902392.30859999987</v>
      </c>
      <c r="G21" s="180">
        <f>TOMEK!G11+RCKIK!G11+'1'!K13+BARTEK!G11+PIOTR!G11+KRZYSZTOF!G11+'0'!K13</f>
        <v>770807.83990000002</v>
      </c>
      <c r="H21" s="180">
        <f>TOMEK!H11+RCKIK!H11+'1'!L13+BARTEK!H11+PIOTR!H11+KRZYSZTOF!H11+'0'!L13</f>
        <v>668332.33400000003</v>
      </c>
      <c r="I21" s="180">
        <f>SUM(F21:H21)</f>
        <v>2341532.4824999999</v>
      </c>
      <c r="J21" s="180">
        <f>TOMEK!J11+RCKIK!J11+'0'!F13+BARTEK!J11+PIOTR!J11+KRZYSZTOF!J11+'1'!F13</f>
        <v>0</v>
      </c>
      <c r="K21" s="180">
        <f>TOMEK!K11+RCKIK!K11+'0'!G13+BARTEK!K11+PIOTR!K11+KRZYSZTOF!K11+'1'!G13+SUMIF(VIII!A:A,$A$1,VIII!G:G)</f>
        <v>0</v>
      </c>
      <c r="L21" s="180">
        <f>TOMEK!L11+RCKIK!L11+'0'!H13+BARTEK!L11+PIOTR!L11+KRZYSZTOF!L11+'1'!H13</f>
        <v>0</v>
      </c>
      <c r="M21" s="180">
        <f>SUM(J21:L21)</f>
        <v>0</v>
      </c>
      <c r="N21" s="180">
        <f>TOMEK!N11+RCKIK!N11+'0'!B13+BARTEK!N11+PIOTR!N11+KRZYSZTOF!N11+'1'!B13</f>
        <v>0</v>
      </c>
      <c r="O21" s="180">
        <f>TOMEK!O11+RCKIK!O11+'0'!C13+BARTEK!O11+PIOTR!O11+KRZYSZTOF!O11+'1'!C13</f>
        <v>0</v>
      </c>
      <c r="P21" s="180">
        <f>TOMEK!P11+RCKIK!P11+'0'!D13+BARTEK!P11+PIOTR!P11+KRZYSZTOF!P11+'1'!D13</f>
        <v>0</v>
      </c>
      <c r="Q21" s="180">
        <f>SUM(N21:P21)</f>
        <v>0</v>
      </c>
      <c r="R21" s="192">
        <f>B21+C21+D21+F21+G21+H21+J21+K21+L21+N21+O21+P21</f>
        <v>4623164.4358000001</v>
      </c>
    </row>
    <row r="22" spans="1:23" ht="15.75" customHeight="1">
      <c r="A22" s="7" t="s">
        <v>44</v>
      </c>
      <c r="B22" s="439">
        <f>B21</f>
        <v>735313.2422000001</v>
      </c>
      <c r="C22" s="439">
        <f>C21+B22</f>
        <v>1599355.3321000002</v>
      </c>
      <c r="D22" s="439">
        <f>D21+C22</f>
        <v>2281631.9533000002</v>
      </c>
      <c r="E22" s="439"/>
      <c r="F22" s="439">
        <f>F21+D22</f>
        <v>3184024.2619000003</v>
      </c>
      <c r="G22" s="439">
        <f>G21+F22</f>
        <v>3954832.1018000003</v>
      </c>
      <c r="H22" s="439">
        <f>H21+G22</f>
        <v>4623164.4358000001</v>
      </c>
      <c r="I22" s="439"/>
      <c r="J22" s="439">
        <f>J21+H22</f>
        <v>4623164.4358000001</v>
      </c>
      <c r="K22" s="439">
        <f>K21+J22</f>
        <v>4623164.4358000001</v>
      </c>
      <c r="L22" s="439">
        <f>L21+K22</f>
        <v>4623164.4358000001</v>
      </c>
      <c r="M22" s="439"/>
      <c r="N22" s="439">
        <f>N21+L22</f>
        <v>4623164.4358000001</v>
      </c>
      <c r="O22" s="439">
        <f>O21+N22</f>
        <v>4623164.4358000001</v>
      </c>
      <c r="P22" s="439">
        <f>P21+O22</f>
        <v>4623164.4358000001</v>
      </c>
      <c r="Q22" s="439"/>
      <c r="R22" s="8"/>
    </row>
    <row r="23" spans="1:23" ht="15.75" customHeight="1">
      <c r="A23" s="23" t="s">
        <v>45</v>
      </c>
      <c r="B23" s="75">
        <f t="shared" ref="B23:D24" si="1">B21/B19</f>
        <v>1.0200711253653774</v>
      </c>
      <c r="C23" s="75">
        <f t="shared" si="1"/>
        <v>1.0787864311178195</v>
      </c>
      <c r="D23" s="75">
        <f t="shared" si="1"/>
        <v>0.77440541572844512</v>
      </c>
      <c r="E23" s="75"/>
      <c r="F23" s="75">
        <f t="shared" ref="F23:H24" si="2">F21/F19</f>
        <v>1.2066670461458124</v>
      </c>
      <c r="G23" s="75">
        <f t="shared" si="2"/>
        <v>0.9276426332634089</v>
      </c>
      <c r="H23" s="75">
        <f t="shared" si="2"/>
        <v>0.73119693877066538</v>
      </c>
      <c r="I23" s="486">
        <f>G17-G22</f>
        <v>-3954832.1018000003</v>
      </c>
      <c r="J23" s="75">
        <f t="shared" ref="J23:L24" si="3">J21/J19</f>
        <v>0</v>
      </c>
      <c r="K23" s="75">
        <f t="shared" si="3"/>
        <v>0</v>
      </c>
      <c r="L23" s="75">
        <f t="shared" si="3"/>
        <v>0</v>
      </c>
      <c r="M23" s="75"/>
      <c r="N23" s="75">
        <f t="shared" ref="N23:P24" si="4">N21/N19</f>
        <v>0</v>
      </c>
      <c r="O23" s="75">
        <f t="shared" si="4"/>
        <v>0</v>
      </c>
      <c r="P23" s="75">
        <f t="shared" si="4"/>
        <v>0</v>
      </c>
      <c r="Q23" s="486">
        <f>P17-P22</f>
        <v>-4623164.4358000001</v>
      </c>
      <c r="R23" s="8"/>
      <c r="T23" s="171"/>
    </row>
    <row r="24" spans="1:23" s="143" customFormat="1" ht="15.75" customHeight="1">
      <c r="A24" s="45" t="s">
        <v>46</v>
      </c>
      <c r="B24" s="315">
        <f t="shared" si="1"/>
        <v>1.0200711253653774</v>
      </c>
      <c r="C24" s="315">
        <f t="shared" si="1"/>
        <v>1.0509739178666626</v>
      </c>
      <c r="D24" s="315">
        <f t="shared" si="1"/>
        <v>0.94956546708264955</v>
      </c>
      <c r="E24" s="315"/>
      <c r="F24" s="315">
        <f t="shared" si="2"/>
        <v>1.0105910230046364</v>
      </c>
      <c r="G24" s="315">
        <f>G22/G20</f>
        <v>0.99328022372287195</v>
      </c>
      <c r="H24" s="315">
        <f t="shared" si="2"/>
        <v>0.94434851380264528</v>
      </c>
      <c r="I24" s="315"/>
      <c r="J24" s="315">
        <f t="shared" si="3"/>
        <v>0.81920871384888438</v>
      </c>
      <c r="K24" s="315">
        <f t="shared" si="3"/>
        <v>0.71407025885421849</v>
      </c>
      <c r="L24" s="315">
        <f t="shared" si="3"/>
        <v>0.62573213491504909</v>
      </c>
      <c r="M24" s="315"/>
      <c r="N24" s="315">
        <f t="shared" si="4"/>
        <v>0.56821830709277865</v>
      </c>
      <c r="O24" s="315">
        <f t="shared" si="4"/>
        <v>0.51556510148756018</v>
      </c>
      <c r="P24" s="315">
        <f t="shared" si="4"/>
        <v>0.46787461398621083</v>
      </c>
      <c r="Q24" s="315"/>
      <c r="R24" s="188"/>
    </row>
    <row r="25" spans="1:23" ht="15.75" customHeight="1">
      <c r="A25" s="221" t="s">
        <v>47</v>
      </c>
      <c r="B25" s="491">
        <f>B22-B20</f>
        <v>14468.171777464915</v>
      </c>
      <c r="C25" s="491">
        <f>C22-C20</f>
        <v>77571.29454131471</v>
      </c>
      <c r="D25" s="491">
        <f>D22-D20</f>
        <v>-121184.94810845051</v>
      </c>
      <c r="E25" s="491"/>
      <c r="F25" s="491">
        <f>F22-F20</f>
        <v>33368.665896954946</v>
      </c>
      <c r="G25" s="491">
        <f>G22-G20</f>
        <v>-26755.377085927874</v>
      </c>
      <c r="H25" s="491">
        <f>H22-H20</f>
        <v>-272448.11425709911</v>
      </c>
      <c r="I25" s="491"/>
      <c r="J25" s="491">
        <f>J22-J20</f>
        <v>-1020286.8088516938</v>
      </c>
      <c r="K25" s="491">
        <f>K22-K20</f>
        <v>-1851218.6917345766</v>
      </c>
      <c r="L25" s="491">
        <f>L22-L20</f>
        <v>-2765243.7629057476</v>
      </c>
      <c r="M25" s="491"/>
      <c r="N25" s="491">
        <f>N22-N20</f>
        <v>-3513082.4575003423</v>
      </c>
      <c r="O25" s="491">
        <f>O22-O20</f>
        <v>-4344014.3403832251</v>
      </c>
      <c r="P25" s="491">
        <f>P22-P20</f>
        <v>-5258039.4115543971</v>
      </c>
      <c r="Q25" s="491"/>
      <c r="R25" s="222"/>
    </row>
    <row r="26" spans="1:23" ht="15.75" customHeight="1" thickBot="1">
      <c r="A26" s="219"/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223"/>
      <c r="V26" s="237"/>
      <c r="W26" s="237"/>
    </row>
    <row r="27" spans="1:23" ht="15.75" customHeight="1">
      <c r="A27" s="95" t="s">
        <v>193</v>
      </c>
      <c r="B27" s="433">
        <f t="shared" ref="B27:D28" si="5">B8/B21</f>
        <v>0.36817899904808754</v>
      </c>
      <c r="C27" s="433">
        <f t="shared" si="5"/>
        <v>0.36912613555308704</v>
      </c>
      <c r="D27" s="433">
        <f t="shared" si="5"/>
        <v>0.39334792012656467</v>
      </c>
      <c r="E27" s="433"/>
      <c r="F27" s="433">
        <f t="shared" ref="F27:H28" si="6">F8/F21</f>
        <v>0.34523529293299215</v>
      </c>
      <c r="G27" s="433">
        <f t="shared" si="6"/>
        <v>0.37004099444162902</v>
      </c>
      <c r="H27" s="433">
        <f t="shared" si="6"/>
        <v>0.38818450013822015</v>
      </c>
      <c r="I27" s="433"/>
      <c r="J27" s="433" t="e">
        <f t="shared" ref="J27:L28" si="7">J8/J21</f>
        <v>#DIV/0!</v>
      </c>
      <c r="K27" s="433" t="e">
        <f t="shared" si="7"/>
        <v>#DIV/0!</v>
      </c>
      <c r="L27" s="433" t="e">
        <f t="shared" si="7"/>
        <v>#DIV/0!</v>
      </c>
      <c r="M27" s="433"/>
      <c r="N27" s="433" t="e">
        <f>N8/N21</f>
        <v>#DIV/0!</v>
      </c>
      <c r="O27" s="433" t="e">
        <f>O8/O21</f>
        <v>#DIV/0!</v>
      </c>
      <c r="P27" s="433" t="e">
        <f>P8/P21</f>
        <v>#DIV/0!</v>
      </c>
      <c r="Q27" s="433"/>
      <c r="R27" s="227"/>
    </row>
    <row r="28" spans="1:23" ht="15.75" customHeight="1" thickBot="1">
      <c r="A28" s="95" t="s">
        <v>194</v>
      </c>
      <c r="B28" s="434">
        <f t="shared" si="5"/>
        <v>0.36817899904808754</v>
      </c>
      <c r="C28" s="434">
        <f t="shared" si="5"/>
        <v>0.36869068384306414</v>
      </c>
      <c r="D28" s="434">
        <f t="shared" si="5"/>
        <v>0.37606393956702305</v>
      </c>
      <c r="E28" s="434"/>
      <c r="F28" s="434">
        <f t="shared" si="6"/>
        <v>0.36732671543843048</v>
      </c>
      <c r="G28" s="434">
        <f t="shared" si="6"/>
        <v>0.36785573600908611</v>
      </c>
      <c r="H28" s="434">
        <f t="shared" si="6"/>
        <v>0.37079449593563168</v>
      </c>
      <c r="I28" s="434"/>
      <c r="J28" s="434">
        <f t="shared" si="7"/>
        <v>0.37079449593563168</v>
      </c>
      <c r="K28" s="434">
        <f t="shared" si="7"/>
        <v>0.37079449593563168</v>
      </c>
      <c r="L28" s="434">
        <f t="shared" si="7"/>
        <v>0.37079449593563168</v>
      </c>
      <c r="M28" s="434"/>
      <c r="N28" s="434">
        <f>N9/N22</f>
        <v>0.37079449593563168</v>
      </c>
      <c r="O28" s="434">
        <f>O9/O22</f>
        <v>0.37079449593563168</v>
      </c>
      <c r="P28" s="434" t="s">
        <v>156</v>
      </c>
      <c r="Q28" s="434"/>
      <c r="R28" s="229"/>
    </row>
    <row r="29" spans="1:23" s="54" customFormat="1" ht="15.75" customHeight="1">
      <c r="A29" s="224"/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6"/>
      <c r="T29" s="53"/>
    </row>
    <row r="30" spans="1:23" ht="33.6" customHeight="1">
      <c r="A30" s="43"/>
      <c r="B30" s="781"/>
      <c r="C30" s="782"/>
      <c r="D30" s="782"/>
      <c r="E30" s="782"/>
      <c r="F30" s="782"/>
      <c r="G30" s="782"/>
      <c r="H30" s="782"/>
      <c r="I30" s="782"/>
      <c r="J30" s="782"/>
      <c r="K30" s="782"/>
      <c r="L30" s="782"/>
      <c r="M30" s="782"/>
      <c r="N30" s="782"/>
      <c r="O30" s="782"/>
      <c r="P30" s="782"/>
      <c r="Q30" s="782"/>
      <c r="R30" s="783"/>
    </row>
    <row r="39" spans="1:18" ht="13.8" thickBot="1"/>
    <row r="40" spans="1:18" ht="13.8" thickBot="1">
      <c r="A40" s="280" t="s">
        <v>91</v>
      </c>
      <c r="B40" s="291" t="s">
        <v>1</v>
      </c>
      <c r="C40" s="291" t="s">
        <v>2</v>
      </c>
      <c r="D40" s="291" t="s">
        <v>3</v>
      </c>
      <c r="E40" s="289" t="s">
        <v>93</v>
      </c>
      <c r="F40" s="291" t="s">
        <v>4</v>
      </c>
      <c r="G40" s="291" t="s">
        <v>5</v>
      </c>
      <c r="H40" s="291" t="s">
        <v>6</v>
      </c>
      <c r="I40" s="289" t="s">
        <v>93</v>
      </c>
      <c r="J40" s="291" t="s">
        <v>7</v>
      </c>
      <c r="K40" s="291" t="s">
        <v>8</v>
      </c>
      <c r="L40" s="291" t="s">
        <v>9</v>
      </c>
      <c r="M40" s="289" t="s">
        <v>93</v>
      </c>
      <c r="N40" s="291" t="s">
        <v>92</v>
      </c>
      <c r="O40" s="291" t="s">
        <v>11</v>
      </c>
      <c r="P40" s="291" t="s">
        <v>12</v>
      </c>
      <c r="Q40" s="289" t="s">
        <v>93</v>
      </c>
      <c r="R40" s="289" t="s">
        <v>93</v>
      </c>
    </row>
    <row r="41" spans="1:18" ht="14.4" thickTop="1" thickBot="1">
      <c r="A41" s="281" t="s">
        <v>94</v>
      </c>
      <c r="B41" s="133">
        <f>TOMEK!B40+BARTEK!B40+PIOTR!B40+KRZYSZTOF!B40</f>
        <v>0</v>
      </c>
      <c r="C41" s="133">
        <f>TOMEK!C40+BARTEK!C40+PIOTR!C40+KRZYSZTOF!C40</f>
        <v>0</v>
      </c>
      <c r="D41" s="133">
        <f>TOMEK!D40+BARTEK!D40+PIOTR!D40+KRZYSZTOF!D40</f>
        <v>0</v>
      </c>
      <c r="E41" s="290">
        <f>SUM(B41:D41)</f>
        <v>0</v>
      </c>
      <c r="F41" s="133">
        <f>TOMEK!F40+BARTEK!F40+PIOTR!F40+KRZYSZTOF!F40</f>
        <v>0</v>
      </c>
      <c r="G41" s="133">
        <f>TOMEK!G40+BARTEK!G40+PIOTR!G40+KRZYSZTOF!G40</f>
        <v>0</v>
      </c>
      <c r="H41" s="133">
        <f>TOMEK!H40+BARTEK!H40+PIOTR!H40+KRZYSZTOF!H40</f>
        <v>0</v>
      </c>
      <c r="I41" s="290">
        <f>SUM(F41:H41)</f>
        <v>0</v>
      </c>
      <c r="J41" s="133">
        <f>TOMEK!J40+BARTEK!J40+PIOTR!J40+KRZYSZTOF!J40</f>
        <v>0</v>
      </c>
      <c r="K41" s="133">
        <f>TOMEK!K40+BARTEK!K40+PIOTR!K40+KRZYSZTOF!K40</f>
        <v>0</v>
      </c>
      <c r="L41" s="133">
        <f>TOMEK!L40+BARTEK!L40+PIOTR!L40+KRZYSZTOF!L40</f>
        <v>0</v>
      </c>
      <c r="M41" s="290">
        <f>SUM(J41:L41)</f>
        <v>0</v>
      </c>
      <c r="N41" s="133">
        <f>TOMEK!N40+BARTEK!N40+PIOTR!N40+KRZYSZTOF!N40</f>
        <v>0</v>
      </c>
      <c r="O41" s="133">
        <f>TOMEK!O40+BARTEK!O40+PIOTR!O40+KRZYSZTOF!O40</f>
        <v>0</v>
      </c>
      <c r="P41" s="133">
        <f>TOMEK!P40+BARTEK!P40+PIOTR!P40+KRZYSZTOF!P40</f>
        <v>0</v>
      </c>
      <c r="Q41" s="290">
        <f>SUM(N41:P41)</f>
        <v>0</v>
      </c>
      <c r="R41" s="290">
        <f>I41+M41+Q41+E41</f>
        <v>0</v>
      </c>
    </row>
    <row r="42" spans="1:18" ht="14.4" thickTop="1" thickBot="1">
      <c r="A42" s="282" t="s">
        <v>95</v>
      </c>
      <c r="B42" s="133">
        <f>TOMEK!B41+BARTEK!B41+PIOTR!B41+KRZYSZTOF!B41</f>
        <v>0</v>
      </c>
      <c r="C42" s="133">
        <f>TOMEK!C41+BARTEK!C41+PIOTR!C41+KRZYSZTOF!C41</f>
        <v>0</v>
      </c>
      <c r="D42" s="133">
        <f>TOMEK!D41+BARTEK!D41+PIOTR!D41+KRZYSZTOF!D41</f>
        <v>0</v>
      </c>
      <c r="E42" s="174"/>
      <c r="F42" s="133">
        <f>TOMEK!F41+BARTEK!F41+PIOTR!F41+KRZYSZTOF!F41</f>
        <v>0</v>
      </c>
      <c r="G42" s="133">
        <f>TOMEK!G41+BARTEK!G41+PIOTR!G41+KRZYSZTOF!G41</f>
        <v>0</v>
      </c>
      <c r="H42" s="133">
        <f>TOMEK!H41+BARTEK!H41+PIOTR!H41+KRZYSZTOF!H41</f>
        <v>0</v>
      </c>
      <c r="I42" s="174"/>
      <c r="J42" s="133">
        <f>TOMEK!J41+BARTEK!J41+PIOTR!J41+KRZYSZTOF!J41</f>
        <v>0</v>
      </c>
      <c r="K42" s="133">
        <f>TOMEK!K41+BARTEK!K41+PIOTR!K41+KRZYSZTOF!K41</f>
        <v>0</v>
      </c>
      <c r="L42" s="133">
        <f>TOMEK!L41+BARTEK!L41+PIOTR!L41+KRZYSZTOF!L41</f>
        <v>0</v>
      </c>
      <c r="M42" s="174"/>
      <c r="N42" s="133">
        <f>TOMEK!N41+BARTEK!N41+PIOTR!N41+KRZYSZTOF!N41</f>
        <v>0</v>
      </c>
      <c r="O42" s="133">
        <f>TOMEK!O41+BARTEK!O41+PIOTR!O41+KRZYSZTOF!O41</f>
        <v>0</v>
      </c>
      <c r="P42" s="133">
        <f>TOMEK!P41+BARTEK!P41+PIOTR!P41+KRZYSZTOF!P41</f>
        <v>0</v>
      </c>
      <c r="Q42" s="174"/>
      <c r="R42" s="174"/>
    </row>
    <row r="43" spans="1:18" ht="14.4" thickTop="1" thickBot="1">
      <c r="A43" s="282" t="s">
        <v>96</v>
      </c>
      <c r="B43" s="133">
        <f>TOMEK!B42+BARTEK!B42+PIOTR!B42+KRZYSZTOF!B42</f>
        <v>0</v>
      </c>
      <c r="C43" s="133">
        <f>TOMEK!C42+BARTEK!C42+PIOTR!C42+KRZYSZTOF!C42</f>
        <v>0</v>
      </c>
      <c r="D43" s="133">
        <f>TOMEK!D42+BARTEK!D42+PIOTR!D42+KRZYSZTOF!D42</f>
        <v>0</v>
      </c>
      <c r="E43" s="174"/>
      <c r="F43" s="133">
        <f>TOMEK!F42+BARTEK!F42+PIOTR!F42+KRZYSZTOF!F42</f>
        <v>0</v>
      </c>
      <c r="G43" s="133">
        <f>TOMEK!G42+BARTEK!G42+PIOTR!G42+KRZYSZTOF!G42</f>
        <v>0</v>
      </c>
      <c r="H43" s="133">
        <f>TOMEK!H42+BARTEK!H42+PIOTR!H42+KRZYSZTOF!H42</f>
        <v>0</v>
      </c>
      <c r="I43" s="174"/>
      <c r="J43" s="133">
        <f>TOMEK!J42+BARTEK!J42+PIOTR!J42+KRZYSZTOF!J42</f>
        <v>0</v>
      </c>
      <c r="K43" s="133">
        <f>TOMEK!K42+BARTEK!K42+PIOTR!K42+KRZYSZTOF!K42</f>
        <v>0</v>
      </c>
      <c r="L43" s="133">
        <f>TOMEK!L42+BARTEK!L42+PIOTR!L42+KRZYSZTOF!L42</f>
        <v>0</v>
      </c>
      <c r="M43" s="174"/>
      <c r="N43" s="133">
        <f>TOMEK!N42+BARTEK!N42+PIOTR!N42+KRZYSZTOF!N42</f>
        <v>0</v>
      </c>
      <c r="O43" s="133">
        <f>TOMEK!O42+BARTEK!O42+PIOTR!O42+KRZYSZTOF!O42</f>
        <v>0</v>
      </c>
      <c r="P43" s="133">
        <f>TOMEK!P42+BARTEK!P42+PIOTR!P42+KRZYSZTOF!P42</f>
        <v>0</v>
      </c>
      <c r="Q43" s="174"/>
      <c r="R43" s="174"/>
    </row>
    <row r="44" spans="1:18" ht="14.4" thickTop="1" thickBot="1">
      <c r="A44" s="282" t="s">
        <v>125</v>
      </c>
      <c r="B44" s="133">
        <f>TOMEK!B43+BARTEK!B43+PIOTR!B43+KRZYSZTOF!B43</f>
        <v>0</v>
      </c>
      <c r="C44" s="133">
        <f>TOMEK!C43+BARTEK!C43+PIOTR!C43+KRZYSZTOF!C43</f>
        <v>0</v>
      </c>
      <c r="D44" s="133">
        <f>TOMEK!D43+BARTEK!D43+PIOTR!D43+KRZYSZTOF!D43</f>
        <v>0</v>
      </c>
      <c r="E44" s="174"/>
      <c r="F44" s="133">
        <f>TOMEK!F43+BARTEK!F43+PIOTR!F43+KRZYSZTOF!F43</f>
        <v>0</v>
      </c>
      <c r="G44" s="133">
        <f>TOMEK!G43+BARTEK!G43+PIOTR!G43+KRZYSZTOF!G43</f>
        <v>0</v>
      </c>
      <c r="H44" s="133">
        <f>TOMEK!H43+BARTEK!H43+PIOTR!H43+KRZYSZTOF!H43</f>
        <v>0</v>
      </c>
      <c r="I44" s="174"/>
      <c r="J44" s="133">
        <f>TOMEK!J43+BARTEK!J43+PIOTR!J43+KRZYSZTOF!J43</f>
        <v>0</v>
      </c>
      <c r="K44" s="133">
        <f>TOMEK!K43+BARTEK!K43+PIOTR!K43+KRZYSZTOF!K43</f>
        <v>0</v>
      </c>
      <c r="L44" s="133">
        <f>TOMEK!L43+BARTEK!L43+PIOTR!L43+KRZYSZTOF!L43</f>
        <v>0</v>
      </c>
      <c r="M44" s="174"/>
      <c r="N44" s="133">
        <f>TOMEK!N43+BARTEK!N43+PIOTR!N43+KRZYSZTOF!N43</f>
        <v>0</v>
      </c>
      <c r="O44" s="133">
        <f>TOMEK!O43+BARTEK!O43+PIOTR!O43+KRZYSZTOF!O43</f>
        <v>0</v>
      </c>
      <c r="P44" s="133">
        <f>TOMEK!P43+BARTEK!P43+PIOTR!P43+KRZYSZTOF!P43</f>
        <v>0</v>
      </c>
      <c r="Q44" s="174"/>
      <c r="R44" s="174"/>
    </row>
    <row r="45" spans="1:18" ht="14.4" thickTop="1" thickBot="1">
      <c r="A45" s="282" t="s">
        <v>97</v>
      </c>
      <c r="B45" s="133">
        <f>TOMEK!B44+BARTEK!B44+PIOTR!B44+KRZYSZTOF!B44</f>
        <v>0</v>
      </c>
      <c r="C45" s="133">
        <f>TOMEK!C44+BARTEK!C44+PIOTR!C44+KRZYSZTOF!C44</f>
        <v>0</v>
      </c>
      <c r="D45" s="133">
        <f>TOMEK!D44+BARTEK!D44+PIOTR!D44+KRZYSZTOF!D44</f>
        <v>0</v>
      </c>
      <c r="E45" s="175"/>
      <c r="F45" s="133">
        <f>TOMEK!F44+BARTEK!F44+PIOTR!F44+KRZYSZTOF!F44</f>
        <v>0</v>
      </c>
      <c r="G45" s="133">
        <f>TOMEK!G44+BARTEK!G44+PIOTR!G44+KRZYSZTOF!G44</f>
        <v>0</v>
      </c>
      <c r="H45" s="133">
        <f>TOMEK!H44+BARTEK!H44+PIOTR!H44+KRZYSZTOF!H44</f>
        <v>0</v>
      </c>
      <c r="I45" s="175"/>
      <c r="J45" s="133">
        <f>TOMEK!J44+BARTEK!J44+PIOTR!J44+KRZYSZTOF!J44</f>
        <v>0</v>
      </c>
      <c r="K45" s="133">
        <f>TOMEK!K44+BARTEK!K44+PIOTR!K44+KRZYSZTOF!K44</f>
        <v>0</v>
      </c>
      <c r="L45" s="133">
        <f>TOMEK!L44+BARTEK!L44+PIOTR!L44+KRZYSZTOF!L44</f>
        <v>0</v>
      </c>
      <c r="M45" s="175"/>
      <c r="N45" s="133">
        <f>TOMEK!N44+BARTEK!N44+PIOTR!N44+KRZYSZTOF!N44</f>
        <v>0</v>
      </c>
      <c r="O45" s="133">
        <f>TOMEK!O44+BARTEK!O44+PIOTR!O44+KRZYSZTOF!O44</f>
        <v>0</v>
      </c>
      <c r="P45" s="133">
        <f>TOMEK!P44+BARTEK!P44+PIOTR!P44+KRZYSZTOF!P44</f>
        <v>0</v>
      </c>
      <c r="Q45" s="175"/>
      <c r="R45" s="175"/>
    </row>
    <row r="46" spans="1:18" ht="14.4" thickTop="1" thickBot="1">
      <c r="A46" s="283" t="s">
        <v>98</v>
      </c>
      <c r="B46" s="133">
        <f>TOMEK!B45+BARTEK!B45+PIOTR!B45+KRZYSZTOF!B45</f>
        <v>0</v>
      </c>
      <c r="C46" s="133">
        <f>TOMEK!C45+BARTEK!C45+PIOTR!C45+KRZYSZTOF!C45</f>
        <v>0</v>
      </c>
      <c r="D46" s="133">
        <f>TOMEK!D45+BARTEK!D45+PIOTR!D45+KRZYSZTOF!D45</f>
        <v>0</v>
      </c>
      <c r="E46" s="290">
        <f>SUM(B46:D46)</f>
        <v>0</v>
      </c>
      <c r="F46" s="133">
        <f>TOMEK!F45+BARTEK!F45+PIOTR!F45+KRZYSZTOF!F45</f>
        <v>0</v>
      </c>
      <c r="G46" s="133">
        <f>TOMEK!G45+BARTEK!G45+PIOTR!G45+KRZYSZTOF!G45</f>
        <v>0</v>
      </c>
      <c r="H46" s="133">
        <f>TOMEK!H45+BARTEK!H45+PIOTR!H45+KRZYSZTOF!H45</f>
        <v>0</v>
      </c>
      <c r="I46" s="290">
        <f>SUM(F46:H46)</f>
        <v>0</v>
      </c>
      <c r="J46" s="133">
        <f>TOMEK!J45+BARTEK!J45+PIOTR!J45+KRZYSZTOF!J45</f>
        <v>0</v>
      </c>
      <c r="K46" s="133">
        <f>TOMEK!K45+BARTEK!K45+PIOTR!K45+KRZYSZTOF!K45</f>
        <v>0</v>
      </c>
      <c r="L46" s="133">
        <f>TOMEK!L45+BARTEK!L45+PIOTR!L45+KRZYSZTOF!L45</f>
        <v>0</v>
      </c>
      <c r="M46" s="290">
        <f>SUM(J46:L46)</f>
        <v>0</v>
      </c>
      <c r="N46" s="133">
        <f>TOMEK!N45+BARTEK!N45+PIOTR!N45+KRZYSZTOF!N45</f>
        <v>0</v>
      </c>
      <c r="O46" s="133">
        <f>TOMEK!O45+BARTEK!O45+PIOTR!O45+KRZYSZTOF!O45</f>
        <v>0</v>
      </c>
      <c r="P46" s="133">
        <f>TOMEK!P45+BARTEK!P45+PIOTR!P45+KRZYSZTOF!P45</f>
        <v>0</v>
      </c>
      <c r="Q46" s="290">
        <f>SUM(N46:P46)</f>
        <v>0</v>
      </c>
      <c r="R46" s="290">
        <f>I46+M46+Q46+E46</f>
        <v>0</v>
      </c>
    </row>
    <row r="47" spans="1:18" ht="14.4" thickTop="1" thickBot="1">
      <c r="A47" s="284" t="s">
        <v>126</v>
      </c>
      <c r="B47" s="133">
        <f>TOMEK!B46+BARTEK!B46+PIOTR!B46+KRZYSZTOF!B46</f>
        <v>0</v>
      </c>
      <c r="C47" s="133">
        <f>TOMEK!C46+BARTEK!C46+PIOTR!C46+KRZYSZTOF!C46</f>
        <v>0</v>
      </c>
      <c r="D47" s="133">
        <f>TOMEK!D46+BARTEK!D46+PIOTR!D46+KRZYSZTOF!D46</f>
        <v>0</v>
      </c>
      <c r="E47" s="290">
        <f>SUM(B47:D47)</f>
        <v>0</v>
      </c>
      <c r="F47" s="133">
        <f>TOMEK!F46+BARTEK!F46+PIOTR!F46+KRZYSZTOF!F46</f>
        <v>0</v>
      </c>
      <c r="G47" s="133">
        <f>TOMEK!G46+BARTEK!G46+PIOTR!G46+KRZYSZTOF!G46</f>
        <v>0</v>
      </c>
      <c r="H47" s="133">
        <f>TOMEK!H46+BARTEK!H46+PIOTR!H46+KRZYSZTOF!H46</f>
        <v>0</v>
      </c>
      <c r="I47" s="290">
        <f>SUM(F47:H47)</f>
        <v>0</v>
      </c>
      <c r="J47" s="133">
        <f>TOMEK!J46+BARTEK!J46+PIOTR!J46+KRZYSZTOF!J46</f>
        <v>0</v>
      </c>
      <c r="K47" s="133">
        <f>TOMEK!K46+BARTEK!K46+PIOTR!K46+KRZYSZTOF!K46</f>
        <v>0</v>
      </c>
      <c r="L47" s="133">
        <f>TOMEK!L46+BARTEK!L46+PIOTR!L46+KRZYSZTOF!L46</f>
        <v>0</v>
      </c>
      <c r="M47" s="290">
        <f>SUM(J47:L47)</f>
        <v>0</v>
      </c>
      <c r="N47" s="133">
        <f>TOMEK!N46+BARTEK!N46+PIOTR!N46+KRZYSZTOF!N46</f>
        <v>0</v>
      </c>
      <c r="O47" s="133">
        <f>TOMEK!O46+BARTEK!O46+PIOTR!O46+KRZYSZTOF!O46</f>
        <v>0</v>
      </c>
      <c r="P47" s="133">
        <f>TOMEK!P46+BARTEK!P46+PIOTR!P46+KRZYSZTOF!P46</f>
        <v>0</v>
      </c>
      <c r="Q47" s="290">
        <f>SUM(N47:P47)</f>
        <v>0</v>
      </c>
      <c r="R47" s="290">
        <f>I47+M47+Q47+E47</f>
        <v>0</v>
      </c>
    </row>
    <row r="48" spans="1:18" ht="14.4" thickTop="1" thickBot="1">
      <c r="A48" s="282" t="s">
        <v>99</v>
      </c>
      <c r="B48" s="133">
        <f>TOMEK!B47+BARTEK!B47+PIOTR!B47+KRZYSZTOF!B47</f>
        <v>0</v>
      </c>
      <c r="C48" s="133">
        <f>TOMEK!C47+BARTEK!C47+PIOTR!C47+KRZYSZTOF!C47</f>
        <v>0</v>
      </c>
      <c r="D48" s="133">
        <f>TOMEK!D47+BARTEK!D47+PIOTR!D47+KRZYSZTOF!D47</f>
        <v>0</v>
      </c>
      <c r="E48" s="176"/>
      <c r="F48" s="133">
        <f>TOMEK!F47+BARTEK!F47+PIOTR!F47+KRZYSZTOF!F47</f>
        <v>0</v>
      </c>
      <c r="G48" s="133">
        <f>TOMEK!G47+BARTEK!G47+PIOTR!G47+KRZYSZTOF!G47</f>
        <v>0</v>
      </c>
      <c r="H48" s="133">
        <f>TOMEK!H47+BARTEK!H47+PIOTR!H47+KRZYSZTOF!H47</f>
        <v>0</v>
      </c>
      <c r="I48" s="176"/>
      <c r="J48" s="133">
        <f>TOMEK!J47+BARTEK!J47+PIOTR!J47+KRZYSZTOF!J47</f>
        <v>0</v>
      </c>
      <c r="K48" s="133">
        <f>TOMEK!K47+BARTEK!K47+PIOTR!K47+KRZYSZTOF!K47</f>
        <v>0</v>
      </c>
      <c r="L48" s="133">
        <f>TOMEK!L47+BARTEK!L47+PIOTR!L47+KRZYSZTOF!L47</f>
        <v>0</v>
      </c>
      <c r="M48" s="176"/>
      <c r="N48" s="133">
        <f>TOMEK!N47+BARTEK!N47+PIOTR!N47+KRZYSZTOF!N47</f>
        <v>0</v>
      </c>
      <c r="O48" s="133">
        <f>TOMEK!O47+BARTEK!O47+PIOTR!O47+KRZYSZTOF!O47</f>
        <v>0</v>
      </c>
      <c r="P48" s="133">
        <f>TOMEK!P47+BARTEK!P47+PIOTR!P47+KRZYSZTOF!P47</f>
        <v>0</v>
      </c>
      <c r="Q48" s="176"/>
      <c r="R48" s="176"/>
    </row>
    <row r="49" spans="1:19" ht="14.4" thickTop="1" thickBot="1">
      <c r="A49" s="282" t="s">
        <v>100</v>
      </c>
      <c r="B49" s="133">
        <f>TOMEK!B48+BARTEK!B48+PIOTR!B48+KRZYSZTOF!B48</f>
        <v>0</v>
      </c>
      <c r="C49" s="133">
        <f>TOMEK!C48+BARTEK!C48+PIOTR!C48+KRZYSZTOF!C48</f>
        <v>0</v>
      </c>
      <c r="D49" s="133">
        <f>TOMEK!D48+BARTEK!D48+PIOTR!D48+KRZYSZTOF!D48</f>
        <v>0</v>
      </c>
      <c r="E49" s="290">
        <f t="shared" ref="E49:E53" si="8">SUM(E46:E48)</f>
        <v>0</v>
      </c>
      <c r="F49" s="133">
        <f>TOMEK!F48+BARTEK!F48+PIOTR!F48+KRZYSZTOF!F48</f>
        <v>0</v>
      </c>
      <c r="G49" s="133">
        <f>TOMEK!G48+BARTEK!G48+PIOTR!G48+KRZYSZTOF!G48</f>
        <v>0</v>
      </c>
      <c r="H49" s="133">
        <f>TOMEK!H48+BARTEK!H48+PIOTR!H48+KRZYSZTOF!H48</f>
        <v>0</v>
      </c>
      <c r="I49" s="290">
        <f t="shared" ref="I49:I53" si="9">SUM(I46:I48)</f>
        <v>0</v>
      </c>
      <c r="J49" s="133">
        <f>TOMEK!J48+BARTEK!J48+PIOTR!J48+KRZYSZTOF!J48</f>
        <v>0</v>
      </c>
      <c r="K49" s="133">
        <f>TOMEK!K48+BARTEK!K48+PIOTR!K48+KRZYSZTOF!K48</f>
        <v>0</v>
      </c>
      <c r="L49" s="133">
        <f>TOMEK!L48+BARTEK!L48+PIOTR!L48+KRZYSZTOF!L48</f>
        <v>0</v>
      </c>
      <c r="M49" s="290">
        <f t="shared" ref="M49:M53" si="10">SUM(M46:M48)</f>
        <v>0</v>
      </c>
      <c r="N49" s="133">
        <f>TOMEK!N48+BARTEK!N48+PIOTR!N48+KRZYSZTOF!N48</f>
        <v>0</v>
      </c>
      <c r="O49" s="133">
        <f>TOMEK!O48+BARTEK!O48+PIOTR!O48+KRZYSZTOF!O48</f>
        <v>0</v>
      </c>
      <c r="P49" s="133">
        <f>TOMEK!P48+BARTEK!P48+PIOTR!P48+KRZYSZTOF!P48</f>
        <v>0</v>
      </c>
      <c r="Q49" s="290">
        <f t="shared" ref="Q49:Q53" si="11">SUM(Q46:Q48)</f>
        <v>0</v>
      </c>
      <c r="R49" s="290">
        <f>I49+M49+Q49+E49</f>
        <v>0</v>
      </c>
    </row>
    <row r="50" spans="1:19" ht="14.4" thickTop="1" thickBot="1">
      <c r="A50" s="285" t="s">
        <v>101</v>
      </c>
      <c r="B50" s="133">
        <f>TOMEK!B49+BARTEK!B49+PIOTR!B49+KRZYSZTOF!B49</f>
        <v>0</v>
      </c>
      <c r="C50" s="133">
        <f>TOMEK!C49+BARTEK!C49+PIOTR!C49+KRZYSZTOF!C49</f>
        <v>0</v>
      </c>
      <c r="D50" s="133">
        <f>TOMEK!D49+BARTEK!D49+PIOTR!D49+KRZYSZTOF!D49</f>
        <v>0</v>
      </c>
      <c r="E50" s="290">
        <f t="shared" si="8"/>
        <v>0</v>
      </c>
      <c r="F50" s="133">
        <f>TOMEK!F49+BARTEK!F49+PIOTR!F49+KRZYSZTOF!F49</f>
        <v>0</v>
      </c>
      <c r="G50" s="133">
        <f>TOMEK!G49+BARTEK!G49+PIOTR!G49+KRZYSZTOF!G49</f>
        <v>0</v>
      </c>
      <c r="H50" s="133">
        <f>TOMEK!H49+BARTEK!H49+PIOTR!H49+KRZYSZTOF!H49</f>
        <v>0</v>
      </c>
      <c r="I50" s="290">
        <f t="shared" si="9"/>
        <v>0</v>
      </c>
      <c r="J50" s="133">
        <f>TOMEK!J49+BARTEK!J49+PIOTR!J49+KRZYSZTOF!J49</f>
        <v>0</v>
      </c>
      <c r="K50" s="133">
        <f>TOMEK!K49+BARTEK!K49+PIOTR!K49+KRZYSZTOF!K49</f>
        <v>0</v>
      </c>
      <c r="L50" s="133">
        <f>TOMEK!L49+BARTEK!L49+PIOTR!L49+KRZYSZTOF!L49</f>
        <v>0</v>
      </c>
      <c r="M50" s="290">
        <f t="shared" si="10"/>
        <v>0</v>
      </c>
      <c r="N50" s="133">
        <f>TOMEK!N49+BARTEK!N49+PIOTR!N49+KRZYSZTOF!N49</f>
        <v>0</v>
      </c>
      <c r="O50" s="133">
        <f>TOMEK!O49+BARTEK!O49+PIOTR!O49+KRZYSZTOF!O49</f>
        <v>0</v>
      </c>
      <c r="P50" s="133">
        <f>TOMEK!P49+BARTEK!P49+PIOTR!P49+KRZYSZTOF!P49</f>
        <v>0</v>
      </c>
      <c r="Q50" s="290">
        <f t="shared" si="11"/>
        <v>0</v>
      </c>
      <c r="R50" s="290">
        <f>I50+M50+Q50+E50</f>
        <v>0</v>
      </c>
    </row>
    <row r="51" spans="1:19" ht="14.4" thickTop="1" thickBot="1">
      <c r="A51" s="281" t="s">
        <v>173</v>
      </c>
      <c r="B51" s="133">
        <f>TOMEK!B50+BARTEK!B50+PIOTR!B50+KRZYSZTOF!B50</f>
        <v>0</v>
      </c>
      <c r="C51" s="133">
        <f>TOMEK!C50+BARTEK!C50+PIOTR!C50+KRZYSZTOF!C50</f>
        <v>0</v>
      </c>
      <c r="D51" s="133">
        <f>TOMEK!D50+BARTEK!D50+PIOTR!D50+KRZYSZTOF!D50</f>
        <v>0</v>
      </c>
      <c r="E51" s="290">
        <f t="shared" si="8"/>
        <v>0</v>
      </c>
      <c r="F51" s="133">
        <f>TOMEK!F50+BARTEK!F50+PIOTR!F50+KRZYSZTOF!F50</f>
        <v>0</v>
      </c>
      <c r="G51" s="133">
        <f>TOMEK!G50+BARTEK!G50+PIOTR!G50+KRZYSZTOF!G50</f>
        <v>0</v>
      </c>
      <c r="H51" s="133">
        <f>TOMEK!H50+BARTEK!H50+PIOTR!H50+KRZYSZTOF!H50</f>
        <v>0</v>
      </c>
      <c r="I51" s="290">
        <f t="shared" si="9"/>
        <v>0</v>
      </c>
      <c r="J51" s="133">
        <f>TOMEK!J50+BARTEK!J50+PIOTR!J50+KRZYSZTOF!J50</f>
        <v>0</v>
      </c>
      <c r="K51" s="133">
        <f>TOMEK!K50+BARTEK!K50+PIOTR!K50+KRZYSZTOF!K50</f>
        <v>0</v>
      </c>
      <c r="L51" s="133">
        <f>TOMEK!L50+BARTEK!L50+PIOTR!L50+KRZYSZTOF!L50</f>
        <v>0</v>
      </c>
      <c r="M51" s="290">
        <f t="shared" si="10"/>
        <v>0</v>
      </c>
      <c r="N51" s="133">
        <f>TOMEK!N50+BARTEK!N50+PIOTR!N50+KRZYSZTOF!N50</f>
        <v>0</v>
      </c>
      <c r="O51" s="133">
        <f>TOMEK!O50+BARTEK!O50+PIOTR!O50+KRZYSZTOF!O50</f>
        <v>0</v>
      </c>
      <c r="P51" s="133">
        <f>TOMEK!P50+BARTEK!P50+PIOTR!P50+KRZYSZTOF!P50</f>
        <v>0</v>
      </c>
      <c r="Q51" s="290">
        <f t="shared" si="11"/>
        <v>0</v>
      </c>
      <c r="R51" s="290">
        <f>I51+M51+Q51+E51</f>
        <v>0</v>
      </c>
    </row>
    <row r="52" spans="1:19" ht="14.4" thickTop="1" thickBot="1">
      <c r="A52" s="283" t="s">
        <v>102</v>
      </c>
      <c r="B52" s="133">
        <f>TOMEK!B51+BARTEK!B51+PIOTR!B51+KRZYSZTOF!B51</f>
        <v>0</v>
      </c>
      <c r="C52" s="133">
        <f>TOMEK!C51+BARTEK!C51+PIOTR!C51+KRZYSZTOF!C51</f>
        <v>0</v>
      </c>
      <c r="D52" s="133">
        <f>TOMEK!D51+BARTEK!D51+PIOTR!D51+KRZYSZTOF!D51</f>
        <v>0</v>
      </c>
      <c r="E52" s="290">
        <f t="shared" si="8"/>
        <v>0</v>
      </c>
      <c r="F52" s="133">
        <f>TOMEK!F51+BARTEK!F51+PIOTR!F51+KRZYSZTOF!F51</f>
        <v>0</v>
      </c>
      <c r="G52" s="133">
        <f>TOMEK!G51+BARTEK!G51+PIOTR!G51+KRZYSZTOF!G51</f>
        <v>0</v>
      </c>
      <c r="H52" s="133">
        <f>TOMEK!H51+BARTEK!H51+PIOTR!H51+KRZYSZTOF!H51</f>
        <v>0</v>
      </c>
      <c r="I52" s="290">
        <f t="shared" si="9"/>
        <v>0</v>
      </c>
      <c r="J52" s="133">
        <f>TOMEK!J51+BARTEK!J51+PIOTR!J51+KRZYSZTOF!J51</f>
        <v>0</v>
      </c>
      <c r="K52" s="133">
        <f>TOMEK!K51+BARTEK!K51+PIOTR!K51+KRZYSZTOF!K51</f>
        <v>0</v>
      </c>
      <c r="L52" s="133">
        <f>TOMEK!L51+BARTEK!L51+PIOTR!L51+KRZYSZTOF!L51</f>
        <v>0</v>
      </c>
      <c r="M52" s="290">
        <f t="shared" si="10"/>
        <v>0</v>
      </c>
      <c r="N52" s="133">
        <f>TOMEK!N51+BARTEK!N51+PIOTR!N51+KRZYSZTOF!N51</f>
        <v>0</v>
      </c>
      <c r="O52" s="133">
        <f>TOMEK!O51+BARTEK!O51+PIOTR!O51+KRZYSZTOF!O51</f>
        <v>0</v>
      </c>
      <c r="P52" s="133">
        <f>TOMEK!P51+BARTEK!P51+PIOTR!P51+KRZYSZTOF!P51</f>
        <v>0</v>
      </c>
      <c r="Q52" s="290">
        <f t="shared" si="11"/>
        <v>0</v>
      </c>
      <c r="R52" s="290">
        <f>I52+M52+Q52+E52</f>
        <v>0</v>
      </c>
    </row>
    <row r="53" spans="1:19" ht="14.4" thickTop="1" thickBot="1">
      <c r="A53" s="283" t="s">
        <v>103</v>
      </c>
      <c r="B53" s="133">
        <f>TOMEK!B52+BARTEK!B52+PIOTR!B52+KRZYSZTOF!B52</f>
        <v>0</v>
      </c>
      <c r="C53" s="133">
        <f>TOMEK!C52+BARTEK!C52+PIOTR!C52+KRZYSZTOF!C52</f>
        <v>0</v>
      </c>
      <c r="D53" s="133">
        <f>TOMEK!D52+BARTEK!D52+PIOTR!D52+KRZYSZTOF!D52</f>
        <v>0</v>
      </c>
      <c r="E53" s="290">
        <f t="shared" si="8"/>
        <v>0</v>
      </c>
      <c r="F53" s="133">
        <f>TOMEK!F52+BARTEK!F52+PIOTR!F52+KRZYSZTOF!F52</f>
        <v>0</v>
      </c>
      <c r="G53" s="133">
        <f>TOMEK!G52+BARTEK!G52+PIOTR!G52+KRZYSZTOF!G52</f>
        <v>0</v>
      </c>
      <c r="H53" s="133">
        <f>TOMEK!H52+BARTEK!H52+PIOTR!H52+KRZYSZTOF!H52</f>
        <v>0</v>
      </c>
      <c r="I53" s="290">
        <f t="shared" si="9"/>
        <v>0</v>
      </c>
      <c r="J53" s="133">
        <f>TOMEK!J52+BARTEK!J52+PIOTR!J52+KRZYSZTOF!J52</f>
        <v>0</v>
      </c>
      <c r="K53" s="133">
        <f>TOMEK!K52+BARTEK!K52+PIOTR!K52+KRZYSZTOF!K52</f>
        <v>0</v>
      </c>
      <c r="L53" s="133">
        <f>TOMEK!L52+BARTEK!L52+PIOTR!L52+KRZYSZTOF!L52</f>
        <v>0</v>
      </c>
      <c r="M53" s="290">
        <f t="shared" si="10"/>
        <v>0</v>
      </c>
      <c r="N53" s="133">
        <f>TOMEK!N52+BARTEK!N52+PIOTR!N52+KRZYSZTOF!N52</f>
        <v>0</v>
      </c>
      <c r="O53" s="133">
        <f>TOMEK!O52+BARTEK!O52+PIOTR!O52+KRZYSZTOF!O52</f>
        <v>0</v>
      </c>
      <c r="P53" s="133">
        <f>TOMEK!P52+BARTEK!P52+PIOTR!P52+KRZYSZTOF!P52</f>
        <v>0</v>
      </c>
      <c r="Q53" s="290">
        <f t="shared" si="11"/>
        <v>0</v>
      </c>
      <c r="R53" s="290">
        <f>I53+M53+Q53+E53</f>
        <v>0</v>
      </c>
    </row>
    <row r="54" spans="1:19" ht="14.4" thickTop="1" thickBot="1">
      <c r="A54" s="286" t="s">
        <v>104</v>
      </c>
      <c r="B54" s="133">
        <f>TOMEK!B53+BARTEK!B53+PIOTR!B53+KRZYSZTOF!B53</f>
        <v>0</v>
      </c>
      <c r="C54" s="133">
        <f>TOMEK!C53+BARTEK!C53+PIOTR!C53+KRZYSZTOF!C53</f>
        <v>0</v>
      </c>
      <c r="D54" s="133">
        <f>TOMEK!D53+BARTEK!D53+PIOTR!D53+KRZYSZTOF!D53</f>
        <v>0</v>
      </c>
      <c r="E54" s="132"/>
      <c r="F54" s="133">
        <f>TOMEK!F53+BARTEK!F53+PIOTR!F53+KRZYSZTOF!F53</f>
        <v>0</v>
      </c>
      <c r="G54" s="133">
        <f>TOMEK!G53+BARTEK!G53+PIOTR!G53+KRZYSZTOF!G53</f>
        <v>0</v>
      </c>
      <c r="H54" s="133">
        <f>TOMEK!H53+BARTEK!H53+PIOTR!H53+KRZYSZTOF!H53</f>
        <v>0</v>
      </c>
      <c r="I54" s="132"/>
      <c r="J54" s="133">
        <f>TOMEK!J53+BARTEK!J53+PIOTR!J53+KRZYSZTOF!J53</f>
        <v>0</v>
      </c>
      <c r="K54" s="133">
        <f>TOMEK!K53+BARTEK!K53+PIOTR!K53+KRZYSZTOF!K53</f>
        <v>0</v>
      </c>
      <c r="L54" s="133">
        <f>TOMEK!L53+BARTEK!L53+PIOTR!L53+KRZYSZTOF!L53</f>
        <v>0</v>
      </c>
      <c r="M54" s="132"/>
      <c r="N54" s="133">
        <f>TOMEK!N53+BARTEK!N53+PIOTR!N53+KRZYSZTOF!N53</f>
        <v>0</v>
      </c>
      <c r="O54" s="133">
        <f>TOMEK!O53+BARTEK!O53+PIOTR!O53+KRZYSZTOF!O53</f>
        <v>0</v>
      </c>
      <c r="P54" s="133">
        <f>TOMEK!P53+BARTEK!P53+PIOTR!P53+KRZYSZTOF!P53</f>
        <v>0</v>
      </c>
      <c r="Q54" s="132"/>
      <c r="R54" s="132"/>
    </row>
    <row r="55" spans="1:19" ht="14.4" thickTop="1" thickBot="1">
      <c r="A55" s="287" t="s">
        <v>105</v>
      </c>
      <c r="B55" s="133">
        <f>TOMEK!B54+BARTEK!B54+PIOTR!B54+KRZYSZTOF!B54</f>
        <v>0</v>
      </c>
      <c r="C55" s="133">
        <f>TOMEK!C54+BARTEK!C54+PIOTR!C54+KRZYSZTOF!C54</f>
        <v>0</v>
      </c>
      <c r="D55" s="133">
        <f>TOMEK!D54+BARTEK!D54+PIOTR!D54+KRZYSZTOF!D54</f>
        <v>0</v>
      </c>
      <c r="E55" s="290">
        <f t="shared" ref="E55:E57" si="12">SUM(B55:D55)</f>
        <v>0</v>
      </c>
      <c r="F55" s="133">
        <f>TOMEK!F54+BARTEK!F54+PIOTR!F54+KRZYSZTOF!F54</f>
        <v>0</v>
      </c>
      <c r="G55" s="133">
        <f>TOMEK!G54+BARTEK!G54+PIOTR!G54+KRZYSZTOF!G54</f>
        <v>0</v>
      </c>
      <c r="H55" s="133">
        <f>TOMEK!H54+BARTEK!H54+PIOTR!H54+KRZYSZTOF!H54</f>
        <v>0</v>
      </c>
      <c r="I55" s="290">
        <f t="shared" ref="I55:I57" si="13">SUM(F55:H55)</f>
        <v>0</v>
      </c>
      <c r="J55" s="133">
        <f>TOMEK!J54+BARTEK!J54+PIOTR!J54+KRZYSZTOF!J54</f>
        <v>0</v>
      </c>
      <c r="K55" s="133">
        <f>TOMEK!K54+BARTEK!K54+PIOTR!K54+KRZYSZTOF!K54</f>
        <v>0</v>
      </c>
      <c r="L55" s="133">
        <f>TOMEK!L54+BARTEK!L54+PIOTR!L54+KRZYSZTOF!L54</f>
        <v>0</v>
      </c>
      <c r="M55" s="290">
        <f t="shared" ref="M55:M57" si="14">SUM(J55:L55)</f>
        <v>0</v>
      </c>
      <c r="N55" s="133">
        <f>TOMEK!N54+BARTEK!N54+PIOTR!N54+KRZYSZTOF!N54</f>
        <v>0</v>
      </c>
      <c r="O55" s="133">
        <f>TOMEK!O54+BARTEK!O54+PIOTR!O54+KRZYSZTOF!O54</f>
        <v>0</v>
      </c>
      <c r="P55" s="133">
        <f>TOMEK!P54+BARTEK!P54+PIOTR!P54+KRZYSZTOF!P54</f>
        <v>0</v>
      </c>
      <c r="Q55" s="290">
        <f t="shared" ref="Q55:Q57" si="15">SUM(N55:P55)</f>
        <v>0</v>
      </c>
      <c r="R55" s="290">
        <f>I55+M55+Q55+E55</f>
        <v>0</v>
      </c>
    </row>
    <row r="56" spans="1:19" ht="14.4" thickTop="1" thickBot="1">
      <c r="A56" s="287" t="s">
        <v>106</v>
      </c>
      <c r="B56" s="133">
        <f>TOMEK!B55+BARTEK!B55+PIOTR!B55+KRZYSZTOF!B55</f>
        <v>0</v>
      </c>
      <c r="C56" s="133">
        <f>TOMEK!C55+BARTEK!C55+PIOTR!C55+KRZYSZTOF!C55</f>
        <v>0</v>
      </c>
      <c r="D56" s="133">
        <f>TOMEK!D55+BARTEK!D55+PIOTR!D55+KRZYSZTOF!D55</f>
        <v>0</v>
      </c>
      <c r="E56" s="290">
        <f t="shared" si="12"/>
        <v>0</v>
      </c>
      <c r="F56" s="133">
        <f>TOMEK!F55+BARTEK!F55+PIOTR!F55+KRZYSZTOF!F55</f>
        <v>0</v>
      </c>
      <c r="G56" s="133">
        <f>TOMEK!G55+BARTEK!G55+PIOTR!G55+KRZYSZTOF!G55</f>
        <v>0</v>
      </c>
      <c r="H56" s="133">
        <f>TOMEK!H55+BARTEK!H55+PIOTR!H55+KRZYSZTOF!H55</f>
        <v>0</v>
      </c>
      <c r="I56" s="290">
        <f t="shared" si="13"/>
        <v>0</v>
      </c>
      <c r="J56" s="133">
        <f>TOMEK!J55+BARTEK!J55+PIOTR!J55+KRZYSZTOF!J55</f>
        <v>0</v>
      </c>
      <c r="K56" s="133">
        <f>TOMEK!K55+BARTEK!K55+PIOTR!K55+KRZYSZTOF!K55</f>
        <v>0</v>
      </c>
      <c r="L56" s="133">
        <f>TOMEK!L55+BARTEK!L55+PIOTR!L55+KRZYSZTOF!L55</f>
        <v>0</v>
      </c>
      <c r="M56" s="290">
        <f t="shared" si="14"/>
        <v>0</v>
      </c>
      <c r="N56" s="133">
        <f>TOMEK!N55+BARTEK!N55+PIOTR!N55+KRZYSZTOF!N55</f>
        <v>0</v>
      </c>
      <c r="O56" s="133">
        <f>TOMEK!O55+BARTEK!O55+PIOTR!O55+KRZYSZTOF!O55</f>
        <v>0</v>
      </c>
      <c r="P56" s="133">
        <f>TOMEK!P55+BARTEK!P55+PIOTR!P55+KRZYSZTOF!P55</f>
        <v>0</v>
      </c>
      <c r="Q56" s="290">
        <f t="shared" si="15"/>
        <v>0</v>
      </c>
      <c r="R56" s="290">
        <f>I56+M56+Q56+E56</f>
        <v>0</v>
      </c>
      <c r="S56" s="309" t="e">
        <f>R56/(R56+R57)</f>
        <v>#DIV/0!</v>
      </c>
    </row>
    <row r="57" spans="1:19" ht="14.4" thickTop="1" thickBot="1">
      <c r="A57" s="287" t="s">
        <v>107</v>
      </c>
      <c r="B57" s="133">
        <f>TOMEK!B56+BARTEK!B56+PIOTR!B56+KRZYSZTOF!B56</f>
        <v>0</v>
      </c>
      <c r="C57" s="133">
        <f>TOMEK!C56+BARTEK!C56+PIOTR!C56+KRZYSZTOF!C56</f>
        <v>0</v>
      </c>
      <c r="D57" s="133">
        <f>TOMEK!D56+BARTEK!D56+PIOTR!D56+KRZYSZTOF!D56</f>
        <v>0</v>
      </c>
      <c r="E57" s="290">
        <f t="shared" si="12"/>
        <v>0</v>
      </c>
      <c r="F57" s="133">
        <f>TOMEK!F56+BARTEK!F56+PIOTR!F56+KRZYSZTOF!F56</f>
        <v>0</v>
      </c>
      <c r="G57" s="133">
        <f>TOMEK!G56+BARTEK!G56+PIOTR!G56+KRZYSZTOF!G56</f>
        <v>0</v>
      </c>
      <c r="H57" s="133">
        <f>TOMEK!H56+BARTEK!H56+PIOTR!H56+KRZYSZTOF!H56</f>
        <v>0</v>
      </c>
      <c r="I57" s="290">
        <f t="shared" si="13"/>
        <v>0</v>
      </c>
      <c r="J57" s="133">
        <f>TOMEK!J56+BARTEK!J56+PIOTR!J56+KRZYSZTOF!J56</f>
        <v>0</v>
      </c>
      <c r="K57" s="133">
        <f>TOMEK!K56+BARTEK!K56+PIOTR!K56+KRZYSZTOF!K56</f>
        <v>0</v>
      </c>
      <c r="L57" s="133">
        <f>TOMEK!L56+BARTEK!L56+PIOTR!L56+KRZYSZTOF!L56</f>
        <v>0</v>
      </c>
      <c r="M57" s="290">
        <f t="shared" si="14"/>
        <v>0</v>
      </c>
      <c r="N57" s="133">
        <f>TOMEK!N56+BARTEK!N56+PIOTR!N56+KRZYSZTOF!N56</f>
        <v>0</v>
      </c>
      <c r="O57" s="133">
        <f>TOMEK!O56+BARTEK!O56+PIOTR!O56+KRZYSZTOF!O56</f>
        <v>0</v>
      </c>
      <c r="P57" s="133">
        <f>TOMEK!P56+BARTEK!P56+PIOTR!P56+KRZYSZTOF!P56</f>
        <v>0</v>
      </c>
      <c r="Q57" s="290">
        <f t="shared" si="15"/>
        <v>0</v>
      </c>
      <c r="R57" s="290">
        <f>I57+M57+Q57+E57</f>
        <v>0</v>
      </c>
      <c r="S57" s="309" t="e">
        <f>R57/(R56+R57)</f>
        <v>#DIV/0!</v>
      </c>
    </row>
    <row r="58" spans="1:19" ht="14.4" thickTop="1" thickBot="1">
      <c r="A58" s="288" t="s">
        <v>108</v>
      </c>
      <c r="B58" s="133">
        <f>TOMEK!B57+BARTEK!B57+PIOTR!B57+KRZYSZTOF!B57</f>
        <v>0</v>
      </c>
      <c r="C58" s="133">
        <f>TOMEK!C57+BARTEK!C57+PIOTR!C57+KRZYSZTOF!C57</f>
        <v>0</v>
      </c>
      <c r="D58" s="133">
        <f>TOMEK!D57+BARTEK!D57+PIOTR!D57+KRZYSZTOF!D57</f>
        <v>0</v>
      </c>
      <c r="E58" s="177"/>
      <c r="F58" s="133">
        <f>TOMEK!F57+BARTEK!F57+PIOTR!F57+KRZYSZTOF!F57</f>
        <v>0</v>
      </c>
      <c r="G58" s="133">
        <f>TOMEK!G57+BARTEK!G57+PIOTR!G57+KRZYSZTOF!G57</f>
        <v>0</v>
      </c>
      <c r="H58" s="133">
        <f>TOMEK!H57+BARTEK!H57+PIOTR!H57+KRZYSZTOF!H57</f>
        <v>0</v>
      </c>
      <c r="I58" s="177"/>
      <c r="J58" s="133">
        <f>TOMEK!J57+BARTEK!J57+PIOTR!J57+KRZYSZTOF!J57</f>
        <v>0</v>
      </c>
      <c r="K58" s="133">
        <f>TOMEK!K57+BARTEK!K57+PIOTR!K57+KRZYSZTOF!K57</f>
        <v>0</v>
      </c>
      <c r="L58" s="133">
        <f>TOMEK!L57+BARTEK!L57+PIOTR!L57+KRZYSZTOF!L57</f>
        <v>0</v>
      </c>
      <c r="M58" s="177"/>
      <c r="N58" s="133">
        <f>TOMEK!N57+BARTEK!N57+PIOTR!N57+KRZYSZTOF!N57</f>
        <v>0</v>
      </c>
      <c r="O58" s="133">
        <f>TOMEK!O57+BARTEK!O57+PIOTR!O57+KRZYSZTOF!O57</f>
        <v>0</v>
      </c>
      <c r="P58" s="133">
        <f>TOMEK!P57+BARTEK!P57+PIOTR!P57+KRZYSZTOF!P57</f>
        <v>0</v>
      </c>
      <c r="Q58" s="177"/>
      <c r="R58" s="177"/>
    </row>
    <row r="59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zoomScale="90" zoomScaleNormal="90" workbookViewId="0">
      <pane xSplit="1" topLeftCell="D1" activePane="topRight" state="frozen"/>
      <selection pane="topRight" activeCell="H8" sqref="H8"/>
    </sheetView>
  </sheetViews>
  <sheetFormatPr defaultRowHeight="13.2"/>
  <cols>
    <col min="1" max="1" width="36" customWidth="1"/>
    <col min="2" max="2" width="11" style="347" customWidth="1"/>
    <col min="3" max="3" width="11.44140625" customWidth="1"/>
    <col min="4" max="4" width="11.6640625" style="347" bestFit="1" customWidth="1"/>
    <col min="5" max="5" width="11.5546875" customWidth="1"/>
    <col min="6" max="8" width="11.6640625" style="347" bestFit="1" customWidth="1"/>
    <col min="9" max="9" width="12.21875" customWidth="1"/>
    <col min="10" max="12" width="11.6640625" style="347" bestFit="1" customWidth="1"/>
    <col min="13" max="13" width="11.88671875" customWidth="1"/>
    <col min="14" max="14" width="11.6640625" style="420" bestFit="1" customWidth="1"/>
    <col min="15" max="15" width="13" style="420" customWidth="1"/>
    <col min="16" max="16" width="13.44140625" style="347" customWidth="1"/>
    <col min="17" max="17" width="11.6640625" bestFit="1" customWidth="1"/>
    <col min="18" max="18" width="13" bestFit="1" customWidth="1"/>
    <col min="19" max="19" width="11.44140625" customWidth="1"/>
    <col min="20" max="20" width="10.6640625" customWidth="1"/>
  </cols>
  <sheetData>
    <row r="1" spans="1:21">
      <c r="A1" s="244"/>
      <c r="B1" s="784" t="s">
        <v>209</v>
      </c>
      <c r="C1" s="785"/>
      <c r="D1" s="785"/>
      <c r="E1" s="785"/>
      <c r="F1" s="785"/>
      <c r="G1" s="785"/>
      <c r="H1" s="785"/>
      <c r="I1" s="785"/>
      <c r="J1" s="785"/>
      <c r="K1" s="785"/>
      <c r="L1" s="785"/>
      <c r="M1" s="785"/>
      <c r="N1" s="785"/>
      <c r="O1" s="785"/>
      <c r="P1" s="785"/>
      <c r="Q1" s="785"/>
      <c r="R1" s="786"/>
    </row>
    <row r="2" spans="1:21" ht="13.8" thickBot="1">
      <c r="A2" s="245" t="s">
        <v>0</v>
      </c>
      <c r="B2" s="526" t="s">
        <v>1</v>
      </c>
      <c r="C2" s="527" t="s">
        <v>2</v>
      </c>
      <c r="D2" s="526" t="s">
        <v>3</v>
      </c>
      <c r="E2" s="602" t="s">
        <v>127</v>
      </c>
      <c r="F2" s="526" t="s">
        <v>4</v>
      </c>
      <c r="G2" s="526" t="s">
        <v>5</v>
      </c>
      <c r="H2" s="526" t="s">
        <v>6</v>
      </c>
      <c r="I2" s="602" t="s">
        <v>184</v>
      </c>
      <c r="J2" s="526" t="s">
        <v>7</v>
      </c>
      <c r="K2" s="526" t="s">
        <v>8</v>
      </c>
      <c r="L2" s="526" t="s">
        <v>9</v>
      </c>
      <c r="M2" s="602" t="s">
        <v>197</v>
      </c>
      <c r="N2" s="528" t="s">
        <v>10</v>
      </c>
      <c r="O2" s="528" t="s">
        <v>11</v>
      </c>
      <c r="P2" s="526" t="s">
        <v>12</v>
      </c>
      <c r="Q2" s="602" t="s">
        <v>198</v>
      </c>
      <c r="R2" s="527" t="s">
        <v>13</v>
      </c>
      <c r="S2" s="529"/>
      <c r="T2" s="636" t="s">
        <v>199</v>
      </c>
    </row>
    <row r="3" spans="1:21">
      <c r="A3" s="524" t="s">
        <v>204</v>
      </c>
      <c r="B3" s="530">
        <f>DH!B3</f>
        <v>226808.74</v>
      </c>
      <c r="C3" s="531">
        <f>DH!C3</f>
        <v>357078.13</v>
      </c>
      <c r="D3" s="530">
        <f>DH!D3</f>
        <v>304259.63</v>
      </c>
      <c r="E3" s="586">
        <f>DH!E3</f>
        <v>888146.5</v>
      </c>
      <c r="F3" s="530">
        <f>DH!F3</f>
        <v>320858.49</v>
      </c>
      <c r="G3" s="530">
        <f>DH!G3</f>
        <v>191442.27</v>
      </c>
      <c r="H3" s="530">
        <f>DH!H3</f>
        <v>297587.90000000002</v>
      </c>
      <c r="I3" s="586">
        <f>DH!I3</f>
        <v>809888.66</v>
      </c>
      <c r="J3" s="530">
        <f>DH!J3</f>
        <v>318026.28000000003</v>
      </c>
      <c r="K3" s="530">
        <f>DH!K3</f>
        <v>288173.55</v>
      </c>
      <c r="L3" s="530">
        <f>DH!L3</f>
        <v>243971.66</v>
      </c>
      <c r="M3" s="586">
        <f>DH!M3</f>
        <v>850171.49000000011</v>
      </c>
      <c r="N3" s="530">
        <f>DH!N3</f>
        <v>334005.33</v>
      </c>
      <c r="O3" s="530">
        <f>DH!O3</f>
        <v>320598.48</v>
      </c>
      <c r="P3" s="530">
        <f>DH!P3</f>
        <v>244268.06</v>
      </c>
      <c r="Q3" s="586">
        <f>DH!Q3</f>
        <v>898871.87000000011</v>
      </c>
      <c r="R3" s="531">
        <f>DH!R3</f>
        <v>3447078.5200000005</v>
      </c>
      <c r="S3" s="532">
        <f>R6-R3</f>
        <v>172924.64999999991</v>
      </c>
      <c r="T3" s="628">
        <f>SUM(Q3,M3,I3,E3)/12</f>
        <v>287256.54333333339</v>
      </c>
      <c r="U3" s="745">
        <f>T3/T6</f>
        <v>0.95223080149954686</v>
      </c>
    </row>
    <row r="4" spans="1:21">
      <c r="A4" s="525" t="s">
        <v>208</v>
      </c>
      <c r="B4" s="533">
        <f>B3</f>
        <v>226808.74</v>
      </c>
      <c r="C4" s="534">
        <f>C3+B4</f>
        <v>583886.87</v>
      </c>
      <c r="D4" s="533">
        <f>D3+C4</f>
        <v>888146.5</v>
      </c>
      <c r="E4" s="587"/>
      <c r="F4" s="533">
        <f>F3+D4</f>
        <v>1209004.99</v>
      </c>
      <c r="G4" s="533">
        <f>G3+F4</f>
        <v>1400447.26</v>
      </c>
      <c r="H4" s="533">
        <f>H3+G4</f>
        <v>1698035.1600000001</v>
      </c>
      <c r="I4" s="600">
        <f>I3+E3</f>
        <v>1698035.1600000001</v>
      </c>
      <c r="J4" s="533">
        <f>J3+H4</f>
        <v>2016061.4400000002</v>
      </c>
      <c r="K4" s="533">
        <f>K3+J4</f>
        <v>2304234.9900000002</v>
      </c>
      <c r="L4" s="533">
        <f>L3+K4</f>
        <v>2548206.6500000004</v>
      </c>
      <c r="M4" s="587"/>
      <c r="N4" s="533">
        <f>N3+L4</f>
        <v>2882211.9800000004</v>
      </c>
      <c r="O4" s="533">
        <f>O3+N4</f>
        <v>3202810.4600000004</v>
      </c>
      <c r="P4" s="533">
        <f>P3+O4</f>
        <v>3447078.5200000005</v>
      </c>
      <c r="Q4" s="600">
        <f>Q3+M3</f>
        <v>1749043.3600000003</v>
      </c>
      <c r="R4" s="535"/>
      <c r="S4" s="529"/>
    </row>
    <row r="5" spans="1:21" ht="13.8" thickBot="1">
      <c r="A5" s="246" t="s">
        <v>203</v>
      </c>
      <c r="B5" s="536">
        <f>B9/B4-1</f>
        <v>0.19363519016066144</v>
      </c>
      <c r="C5" s="537">
        <f>C9/C4-1</f>
        <v>9.9001046212943145E-3</v>
      </c>
      <c r="D5" s="536">
        <f>D9/D4-1</f>
        <v>-3.3898685633507508E-2</v>
      </c>
      <c r="E5" s="588">
        <f>E8/E3-1</f>
        <v>-3.3898685633507508E-2</v>
      </c>
      <c r="F5" s="536">
        <f>F9/F4-1</f>
        <v>-3.261178930287123E-2</v>
      </c>
      <c r="G5" s="536">
        <f>G9/G4-1</f>
        <v>3.8816466105264125E-2</v>
      </c>
      <c r="H5" s="536">
        <f>H9/H4-1</f>
        <v>9.5456012818957436E-3</v>
      </c>
      <c r="I5" s="588">
        <f>I8/I3-1</f>
        <v>5.7187818384813349E-2</v>
      </c>
      <c r="J5" s="536">
        <f>J9/J4-1</f>
        <v>-0.14970650567077959</v>
      </c>
      <c r="K5" s="536">
        <f>K9/K4-1</f>
        <v>-0.25604639542427921</v>
      </c>
      <c r="L5" s="536">
        <f>L9/L4-1</f>
        <v>-0.32727436897631523</v>
      </c>
      <c r="M5" s="588">
        <f>M8/M3-1</f>
        <v>-1</v>
      </c>
      <c r="N5" s="635">
        <f>N9/N4-1</f>
        <v>-0.40523322417111041</v>
      </c>
      <c r="O5" s="635">
        <f>O9/O4-1</f>
        <v>-0.46476884973080801</v>
      </c>
      <c r="P5" s="635">
        <f>P9/P4-1</f>
        <v>-0.50269658301836428</v>
      </c>
      <c r="Q5" s="588">
        <f>Q8/Q3-1</f>
        <v>-1</v>
      </c>
      <c r="R5" s="538">
        <f>R6/R3-1</f>
        <v>5.0165567449853121E-2</v>
      </c>
      <c r="S5" s="529"/>
    </row>
    <row r="6" spans="1:21">
      <c r="A6" s="247" t="s">
        <v>36</v>
      </c>
      <c r="B6" s="539">
        <f>DH!B6</f>
        <v>255900</v>
      </c>
      <c r="C6" s="540">
        <f>DH!C6</f>
        <v>284333.33333333331</v>
      </c>
      <c r="D6" s="539">
        <f>DH!D6</f>
        <v>312766.66666666669</v>
      </c>
      <c r="E6" s="589">
        <f>SUM(B6:D6)</f>
        <v>853000</v>
      </c>
      <c r="F6" s="539">
        <f>DH!F6</f>
        <v>276700.31700000004</v>
      </c>
      <c r="G6" s="539">
        <f>DH!G6</f>
        <v>307444.79666666669</v>
      </c>
      <c r="H6" s="539">
        <f>DH!H6</f>
        <v>338189.2763333334</v>
      </c>
      <c r="I6" s="589">
        <f>SUM(F6:H6)</f>
        <v>922334.39000000013</v>
      </c>
      <c r="J6" s="539">
        <f>DH!J6</f>
        <v>276700.31700000004</v>
      </c>
      <c r="K6" s="539">
        <f>DH!K6</f>
        <v>307444.79666666669</v>
      </c>
      <c r="L6" s="539">
        <f>DH!L6</f>
        <v>338189.2763333334</v>
      </c>
      <c r="M6" s="589">
        <f>SUM(J6:L6)</f>
        <v>922334.39000000013</v>
      </c>
      <c r="N6" s="541">
        <f>DH!N6</f>
        <v>276700.31700000004</v>
      </c>
      <c r="O6" s="541">
        <f>DH!O6</f>
        <v>307444.79666666669</v>
      </c>
      <c r="P6" s="539">
        <f>DH!P6</f>
        <v>338189.2763333334</v>
      </c>
      <c r="Q6" s="589">
        <f>SUM(N6:P6)</f>
        <v>922334.39000000013</v>
      </c>
      <c r="R6" s="542">
        <f>B6+C6+D6+F6+G6+H6+J6+K6+L6+N6+O6+P6</f>
        <v>3620003.1700000004</v>
      </c>
      <c r="S6" s="529"/>
      <c r="T6" s="628">
        <f>SUM(Q6,M6,I6,E6)/12</f>
        <v>301666.93083333335</v>
      </c>
      <c r="U6" s="745">
        <f>T6/T3</f>
        <v>1.0501655674498529</v>
      </c>
    </row>
    <row r="7" spans="1:21">
      <c r="A7" s="248" t="s">
        <v>35</v>
      </c>
      <c r="B7" s="543">
        <f>B6</f>
        <v>255900</v>
      </c>
      <c r="C7" s="544">
        <f>C6+B7</f>
        <v>540233.33333333326</v>
      </c>
      <c r="D7" s="585">
        <f>DH!D7</f>
        <v>853000</v>
      </c>
      <c r="E7" s="590">
        <f>E6/E3-1</f>
        <v>-3.9572863260734614E-2</v>
      </c>
      <c r="F7" s="543">
        <f>F6+D7</f>
        <v>1129700.317</v>
      </c>
      <c r="G7" s="543">
        <f>G6+F7</f>
        <v>1437145.1136666667</v>
      </c>
      <c r="H7" s="543">
        <f>H6+G7</f>
        <v>1775334.3900000001</v>
      </c>
      <c r="I7" s="590">
        <f>I6/I3-1</f>
        <v>0.13884097352344704</v>
      </c>
      <c r="J7" s="543">
        <f>J6+H7</f>
        <v>2052034.7070000002</v>
      </c>
      <c r="K7" s="543">
        <f>K6+J7</f>
        <v>2359479.5036666668</v>
      </c>
      <c r="L7" s="543">
        <f>L6+K7</f>
        <v>2697668.7800000003</v>
      </c>
      <c r="M7" s="590">
        <f>M6/M3-1</f>
        <v>8.4880404540500498E-2</v>
      </c>
      <c r="N7" s="545">
        <f>N6+L7</f>
        <v>2974369.0970000001</v>
      </c>
      <c r="O7" s="545">
        <f>O6+N7</f>
        <v>3281813.8936666669</v>
      </c>
      <c r="P7" s="543">
        <f>P6+O7</f>
        <v>3620003.1700000004</v>
      </c>
      <c r="Q7" s="590">
        <f>Q6/Q3-1</f>
        <v>2.6102185175735926E-2</v>
      </c>
      <c r="R7" s="707">
        <f>R8/R6</f>
        <v>0.47354763134088634</v>
      </c>
      <c r="S7" s="529"/>
    </row>
    <row r="8" spans="1:21">
      <c r="A8" s="421" t="s">
        <v>37</v>
      </c>
      <c r="B8" s="546">
        <f>DH!B8</f>
        <v>270726.89350000001</v>
      </c>
      <c r="C8" s="547">
        <f>DH!C8</f>
        <v>318940.51760000002</v>
      </c>
      <c r="D8" s="546">
        <f>DH!D8</f>
        <v>268372.08990000002</v>
      </c>
      <c r="E8" s="591">
        <f>SUM(B8:D8)</f>
        <v>858039.50100000005</v>
      </c>
      <c r="F8" s="546">
        <f>DH!F8</f>
        <v>311537.67300000001</v>
      </c>
      <c r="G8" s="546">
        <f>DH!G8</f>
        <v>285230.49959999998</v>
      </c>
      <c r="H8" s="546">
        <f>DH!H8</f>
        <v>259436.253</v>
      </c>
      <c r="I8" s="591">
        <f>SUM(F8:H8)</f>
        <v>856204.42559999996</v>
      </c>
      <c r="J8" s="546">
        <f>DH!J8</f>
        <v>0</v>
      </c>
      <c r="K8" s="546">
        <f>DH!K8</f>
        <v>0</v>
      </c>
      <c r="L8" s="546">
        <f>DH!L8</f>
        <v>0</v>
      </c>
      <c r="M8" s="591">
        <f>SUM(J8:L8)</f>
        <v>0</v>
      </c>
      <c r="N8" s="546">
        <f>DH!N8</f>
        <v>0</v>
      </c>
      <c r="O8" s="546">
        <f>DH!O8</f>
        <v>0</v>
      </c>
      <c r="P8" s="546">
        <f>DH!P8</f>
        <v>0</v>
      </c>
      <c r="Q8" s="591">
        <f>SUM(N8:P8)</f>
        <v>0</v>
      </c>
      <c r="R8" s="548">
        <f>B8+C8+D8+F8+G8+H8+J8+K8+L8+N8+O8+P8</f>
        <v>1714243.9266000001</v>
      </c>
      <c r="S8" s="549">
        <f>R8/R6</f>
        <v>0.47354763134088634</v>
      </c>
      <c r="T8" s="628">
        <f>SUM(Q8,M8,I8,E8)/12</f>
        <v>142853.66055</v>
      </c>
    </row>
    <row r="9" spans="1:21">
      <c r="A9" s="248" t="s">
        <v>38</v>
      </c>
      <c r="B9" s="550">
        <f>B8</f>
        <v>270726.89350000001</v>
      </c>
      <c r="C9" s="551">
        <f>C8+B9</f>
        <v>589667.41110000003</v>
      </c>
      <c r="D9" s="550">
        <f>D8+C9</f>
        <v>858039.50100000005</v>
      </c>
      <c r="E9" s="622">
        <f>E8-E3</f>
        <v>-30106.998999999953</v>
      </c>
      <c r="F9" s="550">
        <f>F8+D9</f>
        <v>1169577.1740000001</v>
      </c>
      <c r="G9" s="550">
        <f>G8+F9</f>
        <v>1454807.6736000001</v>
      </c>
      <c r="H9" s="550">
        <f>H8+G9</f>
        <v>1714243.9266000001</v>
      </c>
      <c r="I9" s="623">
        <f>(E8+I8)-(E3+I3)</f>
        <v>16208.766599999741</v>
      </c>
      <c r="J9" s="550">
        <f>J8+H9</f>
        <v>1714243.9266000001</v>
      </c>
      <c r="K9" s="550">
        <f>K8+J9</f>
        <v>1714243.9266000001</v>
      </c>
      <c r="L9" s="550">
        <f>L8+K9</f>
        <v>1714243.9266000001</v>
      </c>
      <c r="M9" s="623">
        <f>(E8+I8+M8)-(E3+I3+M3)</f>
        <v>-833962.72340000048</v>
      </c>
      <c r="N9" s="552">
        <f>N8+L9</f>
        <v>1714243.9266000001</v>
      </c>
      <c r="O9" s="552">
        <f>O8+N9</f>
        <v>1714243.9266000001</v>
      </c>
      <c r="P9" s="552">
        <f>P8+O9</f>
        <v>1714243.9266000001</v>
      </c>
      <c r="Q9" s="597">
        <f>P7*0.95</f>
        <v>3439003.0115</v>
      </c>
      <c r="R9" s="553"/>
      <c r="S9" s="529"/>
    </row>
    <row r="10" spans="1:21">
      <c r="A10" s="248" t="s">
        <v>39</v>
      </c>
      <c r="B10" s="554">
        <f>B8/B6</f>
        <v>1.0579401856193826</v>
      </c>
      <c r="C10" s="555">
        <f>C8/C6</f>
        <v>1.1217134264947246</v>
      </c>
      <c r="D10" s="554">
        <f>D8/D6</f>
        <v>0.85805847777896194</v>
      </c>
      <c r="E10" s="688"/>
      <c r="F10" s="554">
        <f>F8/F6</f>
        <v>1.1259028409425349</v>
      </c>
      <c r="G10" s="554">
        <f>G8/G6</f>
        <v>0.92774541216011674</v>
      </c>
      <c r="H10" s="554">
        <f>H8/H6</f>
        <v>0.76713329237645267</v>
      </c>
      <c r="I10" s="590">
        <f>H7/I4-1</f>
        <v>4.552274995295158E-2</v>
      </c>
      <c r="J10" s="554">
        <f>J8/J6</f>
        <v>0</v>
      </c>
      <c r="K10" s="554">
        <f>K8/K6</f>
        <v>0</v>
      </c>
      <c r="L10" s="554">
        <f>L8/L6</f>
        <v>0</v>
      </c>
      <c r="M10" s="593"/>
      <c r="N10" s="556">
        <f>N8/N6</f>
        <v>0</v>
      </c>
      <c r="O10" s="556">
        <f>O8/O6</f>
        <v>0</v>
      </c>
      <c r="P10" s="556">
        <f>P8/P6</f>
        <v>0</v>
      </c>
      <c r="Q10" s="592"/>
      <c r="R10" s="553"/>
      <c r="S10" s="529"/>
    </row>
    <row r="11" spans="1:21">
      <c r="A11" s="248" t="s">
        <v>48</v>
      </c>
      <c r="B11" s="557">
        <f>B9-B7</f>
        <v>14826.893500000006</v>
      </c>
      <c r="C11" s="558">
        <f>C9-C7</f>
        <v>49434.077766666771</v>
      </c>
      <c r="D11" s="557">
        <f>D9-D7</f>
        <v>5039.5010000000475</v>
      </c>
      <c r="E11" s="601"/>
      <c r="F11" s="557">
        <f>F9-F7</f>
        <v>39876.857000000076</v>
      </c>
      <c r="G11" s="557">
        <f>G9-G7</f>
        <v>17662.559933333425</v>
      </c>
      <c r="H11" s="557">
        <f>H9-H7</f>
        <v>-61090.463400000008</v>
      </c>
      <c r="I11" s="763">
        <f>(E6+I6)-(E3+I3)</f>
        <v>77299.229999999981</v>
      </c>
      <c r="J11" s="557">
        <f>J9-J7</f>
        <v>-337790.78040000005</v>
      </c>
      <c r="K11" s="557">
        <f>K9-K7</f>
        <v>-645235.57706666668</v>
      </c>
      <c r="L11" s="557">
        <f>L9-L7</f>
        <v>-983424.85340000014</v>
      </c>
      <c r="M11" s="601">
        <f>(E8+I8+M8)/3</f>
        <v>571414.6422</v>
      </c>
      <c r="N11" s="559">
        <f>N9-N7</f>
        <v>-1260125.1703999999</v>
      </c>
      <c r="O11" s="559">
        <f>O9-O7</f>
        <v>-1567569.9670666668</v>
      </c>
      <c r="P11" s="559">
        <f>P9-P7</f>
        <v>-1905759.2434000003</v>
      </c>
      <c r="Q11" s="601"/>
      <c r="R11" s="560"/>
      <c r="S11" s="529"/>
    </row>
    <row r="12" spans="1:21" ht="13.8" thickBot="1">
      <c r="A12" s="249" t="s">
        <v>40</v>
      </c>
      <c r="B12" s="561">
        <f>B9/B7</f>
        <v>1.0579401856193826</v>
      </c>
      <c r="C12" s="562">
        <f>C9/C7</f>
        <v>1.0915050492379839</v>
      </c>
      <c r="D12" s="561">
        <f>D9/D7</f>
        <v>1.0059079730363423</v>
      </c>
      <c r="E12" s="594"/>
      <c r="F12" s="561">
        <f>F9/F7</f>
        <v>1.0352986153937673</v>
      </c>
      <c r="G12" s="561">
        <f>G9/G7</f>
        <v>1.01229003234633</v>
      </c>
      <c r="H12" s="561">
        <f>H9/H7</f>
        <v>0.96558932010549292</v>
      </c>
      <c r="I12" s="594"/>
      <c r="J12" s="561">
        <f>J9/J7</f>
        <v>0.83538739415677921</v>
      </c>
      <c r="K12" s="561">
        <f>K9/K7</f>
        <v>0.72653478190255061</v>
      </c>
      <c r="L12" s="561">
        <f>L9/L7</f>
        <v>0.63545381824079972</v>
      </c>
      <c r="M12" s="594"/>
      <c r="N12" s="563">
        <f>N9/N7</f>
        <v>0.57633866904044162</v>
      </c>
      <c r="O12" s="563">
        <f>O9/O7</f>
        <v>0.52234647732712525</v>
      </c>
      <c r="P12" s="563">
        <f>P9/P7</f>
        <v>0.47354763134088634</v>
      </c>
      <c r="Q12" s="594"/>
      <c r="R12" s="564"/>
      <c r="S12" s="529"/>
    </row>
    <row r="13" spans="1:21" hidden="1">
      <c r="A13" s="654" t="s">
        <v>133</v>
      </c>
      <c r="B13" s="655">
        <f>Target!C8</f>
        <v>255900</v>
      </c>
      <c r="C13" s="656">
        <f>Target!D8</f>
        <v>284333.33333333331</v>
      </c>
      <c r="D13" s="657">
        <f>Target!E8</f>
        <v>312766.66666666669</v>
      </c>
      <c r="E13" s="658">
        <f>SUM(B13:D13)</f>
        <v>853000</v>
      </c>
      <c r="F13" s="655">
        <f>Target!F8</f>
        <v>276700.31700000004</v>
      </c>
      <c r="G13" s="655">
        <f>Target!G8</f>
        <v>307444.79666666669</v>
      </c>
      <c r="H13" s="655">
        <f>Target!H8</f>
        <v>338189.2763333334</v>
      </c>
      <c r="I13" s="658">
        <f>SUM(F13:H13)</f>
        <v>922334.39000000013</v>
      </c>
      <c r="J13" s="655">
        <f>Target!I8</f>
        <v>276700.31700000004</v>
      </c>
      <c r="K13" s="655">
        <f>Target!J8</f>
        <v>307444.79666666669</v>
      </c>
      <c r="L13" s="655">
        <f>Target!K8</f>
        <v>338189.2763333334</v>
      </c>
      <c r="M13" s="658">
        <f>SUM(J13:L13)</f>
        <v>922334.39000000013</v>
      </c>
      <c r="N13" s="655">
        <f>Target!L8</f>
        <v>276700.31700000004</v>
      </c>
      <c r="O13" s="655">
        <f>Target!M8</f>
        <v>307444.79666666669</v>
      </c>
      <c r="P13" s="655">
        <f>Target!N8</f>
        <v>338189.2763333334</v>
      </c>
      <c r="Q13" s="658">
        <f>SUM(N13:P13)</f>
        <v>922334.39000000013</v>
      </c>
      <c r="R13" s="565"/>
      <c r="S13" s="529"/>
    </row>
    <row r="14" spans="1:21" ht="13.8" hidden="1" thickBot="1">
      <c r="A14" s="659" t="s">
        <v>134</v>
      </c>
      <c r="B14" s="646">
        <f>B8/B13</f>
        <v>1.0579401856193826</v>
      </c>
      <c r="C14" s="647">
        <f>(B8+C8)/(B13+C13)</f>
        <v>1.0915050492379839</v>
      </c>
      <c r="D14" s="646">
        <f>(D8+C8+B8)/(B13+C13+D13)</f>
        <v>1.0059079730363423</v>
      </c>
      <c r="E14" s="660">
        <f>E8-E13</f>
        <v>5039.5010000000475</v>
      </c>
      <c r="F14" s="646">
        <f>F8/F13</f>
        <v>1.1259028409425349</v>
      </c>
      <c r="G14" s="646">
        <f>(F8+G8)/(F13+G13)</f>
        <v>1.0216094573728411</v>
      </c>
      <c r="H14" s="646">
        <f>(H8+G8+F8)/(F13+G13+H13)</f>
        <v>0.92830153020749862</v>
      </c>
      <c r="I14" s="660">
        <f>I8-I13</f>
        <v>-66129.964400000172</v>
      </c>
      <c r="J14" s="646">
        <f>J8/J13</f>
        <v>0</v>
      </c>
      <c r="K14" s="646">
        <f>(J8+K8)/(J13+K13)</f>
        <v>0</v>
      </c>
      <c r="L14" s="646">
        <f>(L8+K8+J8)/(J13+K13+L13)</f>
        <v>0</v>
      </c>
      <c r="M14" s="661">
        <f>M8-M13</f>
        <v>-922334.39000000013</v>
      </c>
      <c r="N14" s="646">
        <f>N8/N13</f>
        <v>0</v>
      </c>
      <c r="O14" s="646">
        <f>(N8+O8)/(N13+O13)</f>
        <v>0</v>
      </c>
      <c r="P14" s="646">
        <f>(P8+O8+N8)/(N13+O13+P13)</f>
        <v>0</v>
      </c>
      <c r="Q14" s="662">
        <f>Q8-Q13</f>
        <v>-922334.39000000013</v>
      </c>
      <c r="R14" s="566"/>
      <c r="S14" s="529"/>
    </row>
    <row r="15" spans="1:21" hidden="1">
      <c r="A15" s="637" t="s">
        <v>150</v>
      </c>
      <c r="B15" s="638">
        <f>B9/(Target!$D$26/12*REALIZACJE!B18)</f>
        <v>0.94466992646889103</v>
      </c>
      <c r="C15" s="639">
        <f>C9/(Target!$D$26/12*REALIZACJE!C18)</f>
        <v>1.0287878361167291</v>
      </c>
      <c r="D15" s="638">
        <f>D9/(Target!$D$26/12*REALIZACJE!D18)</f>
        <v>0.99800959537484846</v>
      </c>
      <c r="E15" s="640"/>
      <c r="F15" s="638">
        <f>F9/(Target!$D$26/12*REALIZACJE!F18)</f>
        <v>1.0202757922185088</v>
      </c>
      <c r="G15" s="638">
        <f>G9/(Target!$D$26/12*REALIZACJE!G18)</f>
        <v>1.0152763475240707</v>
      </c>
      <c r="H15" s="638">
        <f>H9/(Target!$D$26/12*REALIZACJE!H18)</f>
        <v>0.99694238177028716</v>
      </c>
      <c r="I15" s="640"/>
      <c r="J15" s="638">
        <f>J9/(Target!$D$26/12*REALIZACJE!J18)</f>
        <v>0.85452204151738897</v>
      </c>
      <c r="K15" s="638">
        <f>K9/(Target!$D$26/12*REALIZACJE!K18)</f>
        <v>0.74770678632771537</v>
      </c>
      <c r="L15" s="638">
        <f>L9/(Target!$D$26/12*REALIZACJE!L18)</f>
        <v>0.6646282545135247</v>
      </c>
      <c r="M15" s="640"/>
      <c r="N15" s="638">
        <f>N9/(Target!$D$26/12*REALIZACJE!N18)</f>
        <v>0.59816542906217218</v>
      </c>
      <c r="O15" s="638">
        <f>O9/(Target!$D$26/12*REALIZACJE!O18)</f>
        <v>0.54378675369288387</v>
      </c>
      <c r="P15" s="638">
        <f>P9/(Target!$D$26/12*REALIZACJE!P18)</f>
        <v>0.49847119088514358</v>
      </c>
      <c r="Q15" s="613"/>
      <c r="R15" s="614"/>
      <c r="S15" s="529"/>
    </row>
    <row r="16" spans="1:21" hidden="1">
      <c r="A16" s="641" t="s">
        <v>201</v>
      </c>
      <c r="B16" s="642">
        <f>B9/(Target!$F$26/12*REALIZACJE!B18)</f>
        <v>0.8974364301454465</v>
      </c>
      <c r="C16" s="642">
        <f>C9/(Target!$F$26/12*REALIZACJE!C18)</f>
        <v>0.97734844431089274</v>
      </c>
      <c r="D16" s="642">
        <f>D9/(Target!$F$26/12*REALIZACJE!D18)</f>
        <v>0.948109115606106</v>
      </c>
      <c r="E16" s="643"/>
      <c r="F16" s="642">
        <f>F9/(Target!$F$26/12*REALIZACJE!F18)</f>
        <v>0.96926200260758344</v>
      </c>
      <c r="G16" s="642">
        <f>G9/(Target!$F$26/12*REALIZACJE!G18)</f>
        <v>0.9645125301478672</v>
      </c>
      <c r="H16" s="642">
        <f>H9/(Target!$F$26/12*REALIZACJE!H18)</f>
        <v>0.9470952626817728</v>
      </c>
      <c r="I16" s="644"/>
      <c r="J16" s="642">
        <f>J9/(Target!$F$26/12*REALIZACJE!J18)</f>
        <v>0.8117959394415194</v>
      </c>
      <c r="K16" s="642">
        <f>K9/(Target!$F$26/12*REALIZACJE!K18)</f>
        <v>0.7103214470113296</v>
      </c>
      <c r="L16" s="642">
        <f>L9/(Target!$F$26/12*REALIZACJE!L18)</f>
        <v>0.6313968417878485</v>
      </c>
      <c r="M16" s="643"/>
      <c r="N16" s="642">
        <f>N9/(Target!$F$26/12*REALIZACJE!N18)</f>
        <v>0.56825715760906359</v>
      </c>
      <c r="O16" s="642">
        <f>O9/(Target!$F$26/12*REALIZACJE!O18)</f>
        <v>0.51659741600823972</v>
      </c>
      <c r="P16" s="642">
        <f>P9/(Target!$F$26/12*REALIZACJE!P18)</f>
        <v>0.4735476313408864</v>
      </c>
      <c r="Q16" s="619"/>
      <c r="R16" s="620"/>
      <c r="S16" s="529"/>
    </row>
    <row r="17" spans="1:21" ht="13.8" hidden="1" thickBot="1">
      <c r="A17" s="645" t="s">
        <v>151</v>
      </c>
      <c r="B17" s="646">
        <f>B9/(Target!$H$26/12*REALIZACJE!B18)</f>
        <v>0.85470136204328229</v>
      </c>
      <c r="C17" s="647">
        <f>C9/(Target!$H$26/12*REALIZACJE!C18)</f>
        <v>0.93080804220085001</v>
      </c>
      <c r="D17" s="646">
        <f>D9/(Target!$H$26/12*REALIZACJE!D18)</f>
        <v>0.90296106248200558</v>
      </c>
      <c r="E17" s="648"/>
      <c r="F17" s="646">
        <f>F9/(Target!$H$26/12*REALIZACJE!F18)</f>
        <v>0.92310666915007933</v>
      </c>
      <c r="G17" s="646">
        <f>G9/(Target!$H$26/12*REALIZACJE!G18)</f>
        <v>0.91858336204558777</v>
      </c>
      <c r="H17" s="646">
        <f>H9/(Target!$H$26/12*REALIZACJE!H18)</f>
        <v>0.90199548826835485</v>
      </c>
      <c r="I17" s="648"/>
      <c r="J17" s="646">
        <f>J9/(Target!$H$26/12*REALIZACJE!J18)</f>
        <v>0.77313898994430419</v>
      </c>
      <c r="K17" s="646">
        <f>K9/(Target!$H$26/12*REALIZACJE!K18)</f>
        <v>0.67649661620126611</v>
      </c>
      <c r="L17" s="646">
        <f>L9/(Target!$H$26/12*REALIZACJE!L18)</f>
        <v>0.60133032551223653</v>
      </c>
      <c r="M17" s="648"/>
      <c r="N17" s="646">
        <f>N9/(Target!$H$26/12*REALIZACJE!N18)</f>
        <v>0.54119729296101293</v>
      </c>
      <c r="O17" s="646">
        <f>O9/(Target!$H$26/12*REALIZACJE!O18)</f>
        <v>0.49199753905546628</v>
      </c>
      <c r="P17" s="646">
        <f>P9/(Target!$H$26/12*REALIZACJE!P18)</f>
        <v>0.45099774413417743</v>
      </c>
      <c r="Q17" s="617"/>
      <c r="R17" s="618"/>
      <c r="S17" s="529"/>
    </row>
    <row r="18" spans="1:21" ht="13.8" thickBot="1">
      <c r="A18" s="679"/>
      <c r="B18" s="680">
        <v>1</v>
      </c>
      <c r="C18" s="681">
        <v>2</v>
      </c>
      <c r="D18" s="680">
        <v>3</v>
      </c>
      <c r="E18" s="682"/>
      <c r="F18" s="680">
        <v>4</v>
      </c>
      <c r="G18" s="680">
        <v>5</v>
      </c>
      <c r="H18" s="680">
        <v>6</v>
      </c>
      <c r="I18" s="682"/>
      <c r="J18" s="680">
        <v>7</v>
      </c>
      <c r="K18" s="680">
        <v>8</v>
      </c>
      <c r="L18" s="680">
        <v>9</v>
      </c>
      <c r="M18" s="682"/>
      <c r="N18" s="680">
        <v>10</v>
      </c>
      <c r="O18" s="680">
        <v>11</v>
      </c>
      <c r="P18" s="680">
        <v>12</v>
      </c>
      <c r="Q18" s="683"/>
      <c r="R18" s="684"/>
      <c r="S18" s="529"/>
    </row>
    <row r="19" spans="1:21">
      <c r="A19" s="675" t="s">
        <v>205</v>
      </c>
      <c r="B19" s="676">
        <f>DH!B16</f>
        <v>691721.1</v>
      </c>
      <c r="C19" s="676">
        <f>DH!C16</f>
        <v>997536.9</v>
      </c>
      <c r="D19" s="676">
        <f>DH!D16</f>
        <v>813771.08</v>
      </c>
      <c r="E19" s="677">
        <f>DH!E16</f>
        <v>2503029.08</v>
      </c>
      <c r="F19" s="676">
        <f>DH!F16</f>
        <v>882952.5</v>
      </c>
      <c r="G19" s="676">
        <f>DH!G16</f>
        <v>577673.01</v>
      </c>
      <c r="H19" s="676">
        <f>DH!H16</f>
        <v>790124.75</v>
      </c>
      <c r="I19" s="677">
        <f>DH!I16</f>
        <v>2250750.2599999998</v>
      </c>
      <c r="J19" s="676">
        <f>DH!J16</f>
        <v>839556.05</v>
      </c>
      <c r="K19" s="676">
        <f>DH!K16</f>
        <v>746286.5</v>
      </c>
      <c r="L19" s="676">
        <f>DH!L16</f>
        <v>679180.01</v>
      </c>
      <c r="M19" s="677">
        <f>DH!M16</f>
        <v>2265022.56</v>
      </c>
      <c r="N19" s="676">
        <f>DH!N16</f>
        <v>804813.31</v>
      </c>
      <c r="O19" s="676">
        <f>DH!O16</f>
        <v>825481.94</v>
      </c>
      <c r="P19" s="676">
        <f>DH!P16</f>
        <v>682240.2</v>
      </c>
      <c r="Q19" s="677">
        <f>DH!Q16</f>
        <v>2312535.4500000002</v>
      </c>
      <c r="R19" s="678">
        <f>DH!R16</f>
        <v>9331337.3499999996</v>
      </c>
      <c r="S19" s="532">
        <f>R22-R19</f>
        <v>549866.49735439755</v>
      </c>
      <c r="T19" s="628">
        <f>SUM(Q19,M19,I19,E19)/12</f>
        <v>777611.4458333333</v>
      </c>
      <c r="U19" s="745">
        <f>T19/T22</f>
        <v>0.94435227672166488</v>
      </c>
    </row>
    <row r="20" spans="1:21">
      <c r="A20" s="523" t="s">
        <v>207</v>
      </c>
      <c r="B20" s="543">
        <f>B19</f>
        <v>691721.1</v>
      </c>
      <c r="C20" s="544">
        <f>C19+B20</f>
        <v>1689258</v>
      </c>
      <c r="D20" s="544">
        <f>D19+C20</f>
        <v>2503029.08</v>
      </c>
      <c r="E20" s="596"/>
      <c r="F20" s="533">
        <f>F19+D20</f>
        <v>3385981.58</v>
      </c>
      <c r="G20" s="533">
        <f>G19+F20</f>
        <v>3963654.59</v>
      </c>
      <c r="H20" s="533">
        <f>H19+G20</f>
        <v>4753779.34</v>
      </c>
      <c r="I20" s="600">
        <f>I19+E19</f>
        <v>4753779.34</v>
      </c>
      <c r="J20" s="533">
        <f>J19+H20</f>
        <v>5593335.3899999997</v>
      </c>
      <c r="K20" s="533">
        <f>K19+J20</f>
        <v>6339621.8899999997</v>
      </c>
      <c r="L20" s="533">
        <f>L19+K20</f>
        <v>7018801.8999999994</v>
      </c>
      <c r="M20" s="596"/>
      <c r="N20" s="533">
        <f>N19+L20</f>
        <v>7823615.209999999</v>
      </c>
      <c r="O20" s="533">
        <f>O19+N20</f>
        <v>8649097.1499999985</v>
      </c>
      <c r="P20" s="533">
        <f>P19+O20</f>
        <v>9331337.3499999978</v>
      </c>
      <c r="Q20" s="596"/>
      <c r="R20" s="570"/>
      <c r="S20" s="529"/>
    </row>
    <row r="21" spans="1:21" ht="13.8" thickBot="1">
      <c r="A21" s="246" t="s">
        <v>206</v>
      </c>
      <c r="B21" s="536">
        <f>B25/B20-1</f>
        <v>6.3019824319368256E-2</v>
      </c>
      <c r="C21" s="537">
        <f>C25/C20-1</f>
        <v>-5.3220211418267493E-2</v>
      </c>
      <c r="D21" s="536">
        <f>D25/D20-1</f>
        <v>-8.8451679794307458E-2</v>
      </c>
      <c r="E21" s="588">
        <f>E24/E19-1</f>
        <v>-8.8451679794307458E-2</v>
      </c>
      <c r="F21" s="536">
        <f>F25/F20-1</f>
        <v>-5.964513194427945E-2</v>
      </c>
      <c r="G21" s="536">
        <f>G25/G20-1</f>
        <v>-2.2258468793567854E-3</v>
      </c>
      <c r="H21" s="536">
        <f>H25/H20-1</f>
        <v>-2.7476013264006394E-2</v>
      </c>
      <c r="I21" s="588">
        <f>I24/I19-1</f>
        <v>4.0334205048586869E-2</v>
      </c>
      <c r="J21" s="536">
        <f>J25/J20-1</f>
        <v>-0.17345123911834648</v>
      </c>
      <c r="K21" s="536">
        <f>K25/K20-1</f>
        <v>-0.2707507614779846</v>
      </c>
      <c r="L21" s="536">
        <f>L25/L20-1</f>
        <v>-0.34131715046694788</v>
      </c>
      <c r="M21" s="588">
        <f>M24/M19-1</f>
        <v>-1</v>
      </c>
      <c r="N21" s="635">
        <f>N25/N20-1</f>
        <v>-0.40907568793890103</v>
      </c>
      <c r="O21" s="635">
        <f>O25/O20-1</f>
        <v>-0.46547433152603668</v>
      </c>
      <c r="P21" s="635">
        <f>P25/P20-1</f>
        <v>-0.50455499973966744</v>
      </c>
      <c r="Q21" s="588">
        <f>Q24/Q19-1</f>
        <v>-1</v>
      </c>
      <c r="R21" s="538">
        <f>R22/R19-1</f>
        <v>5.8926869400386384E-2</v>
      </c>
      <c r="S21" s="529"/>
    </row>
    <row r="22" spans="1:21">
      <c r="A22" s="250" t="s">
        <v>41</v>
      </c>
      <c r="B22" s="430">
        <f>DH!B19</f>
        <v>720845.07042253518</v>
      </c>
      <c r="C22" s="431">
        <f>DH!C19</f>
        <v>800938.96713615023</v>
      </c>
      <c r="D22" s="430">
        <f>DH!D19</f>
        <v>881032.86384976527</v>
      </c>
      <c r="E22" s="589">
        <f>SUM(B22:D22)</f>
        <v>2402816.9014084507</v>
      </c>
      <c r="F22" s="430">
        <f>DH!F19</f>
        <v>747838.69459459465</v>
      </c>
      <c r="G22" s="430">
        <f>DH!G19</f>
        <v>830931.88288288296</v>
      </c>
      <c r="H22" s="430">
        <f>DH!H19</f>
        <v>914025.07117117138</v>
      </c>
      <c r="I22" s="589">
        <f>SUM(F22:H22)</f>
        <v>2492795.648648649</v>
      </c>
      <c r="J22" s="430">
        <f>DH!J19</f>
        <v>747838.69459459465</v>
      </c>
      <c r="K22" s="430">
        <f>DH!K19</f>
        <v>830931.88288288296</v>
      </c>
      <c r="L22" s="430">
        <f>DH!L19</f>
        <v>914025.07117117138</v>
      </c>
      <c r="M22" s="589">
        <f>SUM(J22:L22)</f>
        <v>2492795.648648649</v>
      </c>
      <c r="N22" s="432">
        <f>DH!N19</f>
        <v>747838.69459459465</v>
      </c>
      <c r="O22" s="432">
        <f>DH!O19</f>
        <v>830931.88288288296</v>
      </c>
      <c r="P22" s="430">
        <f>DH!P19</f>
        <v>914025.07117117138</v>
      </c>
      <c r="Q22" s="589">
        <f>SUM(N22:P22)</f>
        <v>2492795.648648649</v>
      </c>
      <c r="R22" s="571">
        <f>B22+C22+D22+F22+G22+H22+J22+K22+L22+N22+O22+P22</f>
        <v>9881203.8473543972</v>
      </c>
      <c r="S22" s="529"/>
      <c r="T22" s="628">
        <f>SUM(Q22,M22,I22,E22)/12</f>
        <v>823433.6539461998</v>
      </c>
      <c r="U22" s="745">
        <f>T22/T19</f>
        <v>1.0589268694003864</v>
      </c>
    </row>
    <row r="23" spans="1:21">
      <c r="A23" s="252" t="s">
        <v>42</v>
      </c>
      <c r="B23" s="543">
        <f>B22</f>
        <v>720845.07042253518</v>
      </c>
      <c r="C23" s="544">
        <f>C22+B23</f>
        <v>1521784.0375586855</v>
      </c>
      <c r="D23" s="543">
        <f>D22+C23</f>
        <v>2402816.9014084507</v>
      </c>
      <c r="E23" s="590">
        <f>E22/E19-1</f>
        <v>-4.0036362099136857E-2</v>
      </c>
      <c r="F23" s="543">
        <f>F22+D23</f>
        <v>3150655.5960030453</v>
      </c>
      <c r="G23" s="543">
        <f>G22+F23</f>
        <v>3981587.4788859282</v>
      </c>
      <c r="H23" s="543">
        <f>H22+G23</f>
        <v>4895612.5500570992</v>
      </c>
      <c r="I23" s="590">
        <f>I22/I19-1</f>
        <v>0.10753986923837977</v>
      </c>
      <c r="J23" s="543">
        <f>J22+H23</f>
        <v>5643451.2446516939</v>
      </c>
      <c r="K23" s="543">
        <f>K22+J23</f>
        <v>6474383.1275345767</v>
      </c>
      <c r="L23" s="543">
        <f>L22+K23</f>
        <v>7388408.1987057477</v>
      </c>
      <c r="M23" s="590">
        <f>M22/M19-1</f>
        <v>0.10056106842867329</v>
      </c>
      <c r="N23" s="572">
        <f>N22+L23</f>
        <v>8136246.8933003424</v>
      </c>
      <c r="O23" s="572">
        <f>O22+N23</f>
        <v>8967178.7761832252</v>
      </c>
      <c r="P23" s="543">
        <f>P22+O23</f>
        <v>9881203.8473543972</v>
      </c>
      <c r="Q23" s="590">
        <f>Q22/Q19-1</f>
        <v>7.7949161232814257E-2</v>
      </c>
      <c r="R23" s="707">
        <f>R24/R22</f>
        <v>0.46787461398621083</v>
      </c>
      <c r="S23" s="529"/>
    </row>
    <row r="24" spans="1:21">
      <c r="A24" s="422" t="s">
        <v>43</v>
      </c>
      <c r="B24" s="546">
        <f>DH!B21</f>
        <v>735313.2422000001</v>
      </c>
      <c r="C24" s="547">
        <f>DH!C21</f>
        <v>864042.08990000002</v>
      </c>
      <c r="D24" s="546">
        <f>DH!D21</f>
        <v>682276.62120000005</v>
      </c>
      <c r="E24" s="591">
        <f>SUM(B24:D24)</f>
        <v>2281631.9533000002</v>
      </c>
      <c r="F24" s="546">
        <f>DH!F21</f>
        <v>902392.30859999987</v>
      </c>
      <c r="G24" s="546">
        <f>DH!G21</f>
        <v>770807.83990000002</v>
      </c>
      <c r="H24" s="546">
        <f>DH!H21</f>
        <v>668332.33400000003</v>
      </c>
      <c r="I24" s="591">
        <f>SUM(F24:H24)</f>
        <v>2341532.4824999999</v>
      </c>
      <c r="J24" s="546">
        <f>DH!J21</f>
        <v>0</v>
      </c>
      <c r="K24" s="546">
        <f>DH!K21</f>
        <v>0</v>
      </c>
      <c r="L24" s="546">
        <f>DH!L21</f>
        <v>0</v>
      </c>
      <c r="M24" s="591">
        <f>SUM(J24:L24)</f>
        <v>0</v>
      </c>
      <c r="N24" s="546">
        <f>DH!N21</f>
        <v>0</v>
      </c>
      <c r="O24" s="546">
        <f>DH!O21</f>
        <v>0</v>
      </c>
      <c r="P24" s="546">
        <f>DH!P21</f>
        <v>0</v>
      </c>
      <c r="Q24" s="591">
        <f>SUM(N24:P24)</f>
        <v>0</v>
      </c>
      <c r="R24" s="573">
        <f>B24+C24+D24+F24+G24+H24+J24+K24+L24+N24+O24+P24</f>
        <v>4623164.4358000001</v>
      </c>
      <c r="S24" s="549">
        <f>R24/R22</f>
        <v>0.46787461398621083</v>
      </c>
    </row>
    <row r="25" spans="1:21">
      <c r="A25" s="252" t="s">
        <v>44</v>
      </c>
      <c r="B25" s="550">
        <f>B24</f>
        <v>735313.2422000001</v>
      </c>
      <c r="C25" s="551">
        <f>C24+B25</f>
        <v>1599355.3321000002</v>
      </c>
      <c r="D25" s="550">
        <f>D24+C25</f>
        <v>2281631.9533000002</v>
      </c>
      <c r="E25" s="597">
        <f>E24-E19</f>
        <v>-221397.12669999991</v>
      </c>
      <c r="F25" s="550">
        <f>F24+D25</f>
        <v>3184024.2619000003</v>
      </c>
      <c r="G25" s="550">
        <f>G24+F25</f>
        <v>3954832.1018000003</v>
      </c>
      <c r="H25" s="550">
        <f>H24+G25</f>
        <v>4623164.4358000001</v>
      </c>
      <c r="I25" s="623">
        <f>(E24+I24)-(E19+I19)</f>
        <v>-130614.90419999976</v>
      </c>
      <c r="J25" s="550">
        <f>J24+H25</f>
        <v>4623164.4358000001</v>
      </c>
      <c r="K25" s="550">
        <f>K24+J25</f>
        <v>4623164.4358000001</v>
      </c>
      <c r="L25" s="550">
        <f>L24+K25</f>
        <v>4623164.4358000001</v>
      </c>
      <c r="M25" s="597"/>
      <c r="N25" s="552">
        <f>N24+L25</f>
        <v>4623164.4358000001</v>
      </c>
      <c r="O25" s="552">
        <f>O24+N25</f>
        <v>4623164.4358000001</v>
      </c>
      <c r="P25" s="552">
        <f>P24+O25</f>
        <v>4623164.4358000001</v>
      </c>
      <c r="Q25" s="597"/>
      <c r="R25" s="574">
        <f>R24*1.1</f>
        <v>5085480.8793800008</v>
      </c>
      <c r="S25" s="529"/>
    </row>
    <row r="26" spans="1:21">
      <c r="A26" s="252" t="s">
        <v>45</v>
      </c>
      <c r="B26" s="554">
        <f t="shared" ref="B26:D27" si="0">B24/B22</f>
        <v>1.0200711253653774</v>
      </c>
      <c r="C26" s="555">
        <f t="shared" si="0"/>
        <v>1.0787864311178195</v>
      </c>
      <c r="D26" s="554">
        <f t="shared" si="0"/>
        <v>0.77440541572844512</v>
      </c>
      <c r="E26" s="593"/>
      <c r="F26" s="554">
        <f t="shared" ref="F26:H27" si="1">F24/F22</f>
        <v>1.2066670461458124</v>
      </c>
      <c r="G26" s="554">
        <f t="shared" si="1"/>
        <v>0.9276426332634089</v>
      </c>
      <c r="H26" s="554">
        <f t="shared" si="1"/>
        <v>0.73119693877066538</v>
      </c>
      <c r="I26" s="593"/>
      <c r="J26" s="554">
        <f t="shared" ref="J26:L27" si="2">J24/J22</f>
        <v>0</v>
      </c>
      <c r="K26" s="554">
        <f t="shared" si="2"/>
        <v>0</v>
      </c>
      <c r="L26" s="554">
        <f t="shared" si="2"/>
        <v>0</v>
      </c>
      <c r="M26" s="593"/>
      <c r="N26" s="556">
        <f t="shared" ref="N26:P27" si="3">N24/N22</f>
        <v>0</v>
      </c>
      <c r="O26" s="556">
        <f t="shared" si="3"/>
        <v>0</v>
      </c>
      <c r="P26" s="556">
        <f t="shared" si="3"/>
        <v>0</v>
      </c>
      <c r="Q26" s="593"/>
      <c r="R26" s="574"/>
      <c r="S26" s="529"/>
    </row>
    <row r="27" spans="1:21">
      <c r="A27" s="254" t="s">
        <v>46</v>
      </c>
      <c r="B27" s="567">
        <f t="shared" si="0"/>
        <v>1.0200711253653774</v>
      </c>
      <c r="C27" s="568">
        <f t="shared" si="0"/>
        <v>1.0509739178666626</v>
      </c>
      <c r="D27" s="567">
        <f t="shared" si="0"/>
        <v>0.94956546708264955</v>
      </c>
      <c r="E27" s="595"/>
      <c r="F27" s="567">
        <f t="shared" si="1"/>
        <v>1.0105910230046364</v>
      </c>
      <c r="G27" s="567">
        <f>G25/G23</f>
        <v>0.99328022372287195</v>
      </c>
      <c r="H27" s="567">
        <f t="shared" si="1"/>
        <v>0.94434851380264528</v>
      </c>
      <c r="I27" s="595"/>
      <c r="J27" s="567">
        <f t="shared" si="2"/>
        <v>0.81920871384888438</v>
      </c>
      <c r="K27" s="567">
        <f t="shared" si="2"/>
        <v>0.71407025885421849</v>
      </c>
      <c r="L27" s="567">
        <f t="shared" si="2"/>
        <v>0.62573213491504909</v>
      </c>
      <c r="M27" s="595"/>
      <c r="N27" s="569">
        <f t="shared" si="3"/>
        <v>0.56821830709277865</v>
      </c>
      <c r="O27" s="569">
        <f t="shared" si="3"/>
        <v>0.51556510148756018</v>
      </c>
      <c r="P27" s="567">
        <f t="shared" si="3"/>
        <v>0.46787461398621083</v>
      </c>
      <c r="Q27" s="595"/>
      <c r="R27" s="575"/>
      <c r="S27" s="529"/>
    </row>
    <row r="28" spans="1:21" ht="13.8" thickBot="1">
      <c r="A28" s="255" t="s">
        <v>47</v>
      </c>
      <c r="B28" s="576">
        <f>B25-B23</f>
        <v>14468.171777464915</v>
      </c>
      <c r="C28" s="577">
        <f>C25-C23</f>
        <v>77571.29454131471</v>
      </c>
      <c r="D28" s="576">
        <f>D25-D23</f>
        <v>-121184.94810845051</v>
      </c>
      <c r="E28" s="598"/>
      <c r="F28" s="576">
        <f>F25-F23</f>
        <v>33368.665896954946</v>
      </c>
      <c r="G28" s="576">
        <f>G25-G23</f>
        <v>-26755.377085927874</v>
      </c>
      <c r="H28" s="576">
        <f>H25-H23</f>
        <v>-272448.11425709911</v>
      </c>
      <c r="I28" s="598"/>
      <c r="J28" s="576">
        <f>J25-J23</f>
        <v>-1020286.8088516938</v>
      </c>
      <c r="K28" s="576">
        <f>K25-K23</f>
        <v>-1851218.6917345766</v>
      </c>
      <c r="L28" s="576">
        <f>L25-L23</f>
        <v>-2765243.7629057476</v>
      </c>
      <c r="M28" s="598"/>
      <c r="N28" s="578">
        <f>N25-N23</f>
        <v>-3513082.4575003423</v>
      </c>
      <c r="O28" s="578">
        <f>O25-O23</f>
        <v>-4344014.3403832251</v>
      </c>
      <c r="P28" s="578">
        <f>P25-P23</f>
        <v>-5258039.4115543971</v>
      </c>
      <c r="Q28" s="598"/>
      <c r="R28" s="579"/>
      <c r="S28" s="529"/>
    </row>
    <row r="29" spans="1:21" hidden="1">
      <c r="A29" s="637" t="s">
        <v>150</v>
      </c>
      <c r="B29" s="638">
        <f>B25/(Target!$D$27/12*B18)</f>
        <v>0.93998336775347069</v>
      </c>
      <c r="C29" s="639">
        <f>C25/(Target!$D$27/12*C18)</f>
        <v>1.0222632512396148</v>
      </c>
      <c r="D29" s="638">
        <f>D25/(Target!$D$27/12*D18)</f>
        <v>0.97223693901304775</v>
      </c>
      <c r="E29" s="640"/>
      <c r="F29" s="638">
        <f>F25/(Target!$D$27/12*F18)</f>
        <v>1.0175696821924856</v>
      </c>
      <c r="G29" s="638">
        <f>G25/(Target!$D$27/12*G18)</f>
        <v>1.0111272814364394</v>
      </c>
      <c r="H29" s="638">
        <f>H25/(Target!$D$27/12*H18)</f>
        <v>0.98499918733939118</v>
      </c>
      <c r="I29" s="640"/>
      <c r="J29" s="638">
        <f>J25/(Target!$D$27/12*J18)</f>
        <v>0.84428501771947817</v>
      </c>
      <c r="K29" s="638">
        <f>K25/(Target!$D$27/12*K18)</f>
        <v>0.73874939050454347</v>
      </c>
      <c r="L29" s="638">
        <f>L25/(Target!$D$27/12*L18)</f>
        <v>0.65666612489292753</v>
      </c>
      <c r="M29" s="640"/>
      <c r="N29" s="638">
        <f>N25/(Target!$D$27/12*N18)</f>
        <v>0.59099951240363469</v>
      </c>
      <c r="O29" s="638">
        <f>O25/(Target!$D$27/12*O18)</f>
        <v>0.53727228400330429</v>
      </c>
      <c r="P29" s="638">
        <f>P25/(Target!$D$27/12*P18)</f>
        <v>0.49249959366969559</v>
      </c>
      <c r="Q29" s="613"/>
      <c r="R29" s="614"/>
      <c r="S29" s="529"/>
    </row>
    <row r="30" spans="1:21" s="294" customFormat="1" ht="12" hidden="1">
      <c r="A30" s="649" t="s">
        <v>174</v>
      </c>
      <c r="B30" s="650">
        <f>B25/(Target!$F$27/12*REALIZACJE!B18)</f>
        <v>0.89298419936579709</v>
      </c>
      <c r="C30" s="650">
        <f>C25/(Target!$F$27/12*REALIZACJE!C18)</f>
        <v>0.97115008867763397</v>
      </c>
      <c r="D30" s="642">
        <f>D25/(Target!$F$27/12*REALIZACJE!D18)</f>
        <v>0.9236250920623954</v>
      </c>
      <c r="E30" s="643"/>
      <c r="F30" s="642">
        <f>F25/(Target!$F$27/12*REALIZACJE!F18)</f>
        <v>0.9666911980828613</v>
      </c>
      <c r="G30" s="642">
        <f>G25/(Target!$F$27/12*REALIZACJE!G18)</f>
        <v>0.96057091736461742</v>
      </c>
      <c r="H30" s="642">
        <f>H25/(Target!$F$27/12*REALIZACJE!H18)</f>
        <v>0.93574922797242166</v>
      </c>
      <c r="I30" s="644"/>
      <c r="J30" s="642">
        <f>J25/(Target!$F$27/12*REALIZACJE!J18)</f>
        <v>0.8020707668335042</v>
      </c>
      <c r="K30" s="642">
        <f>K25/(Target!$F$27/12*REALIZACJE!K18)</f>
        <v>0.70181192097931622</v>
      </c>
      <c r="L30" s="642">
        <f>L25/(Target!$F$27/12*REALIZACJE!L18)</f>
        <v>0.62383281864828111</v>
      </c>
      <c r="M30" s="643"/>
      <c r="N30" s="642">
        <f>N25/(Target!$F$27/12*REALIZACJE!N18)</f>
        <v>0.561449536783453</v>
      </c>
      <c r="O30" s="642">
        <f>O25/(Target!$F$27/12*REALIZACJE!O18)</f>
        <v>0.51040866980313904</v>
      </c>
      <c r="P30" s="642">
        <f>P25/(Target!$F$27/12*REALIZACJE!P18)</f>
        <v>0.46787461398621083</v>
      </c>
      <c r="Q30" s="615"/>
      <c r="R30" s="616"/>
      <c r="S30" s="580"/>
    </row>
    <row r="31" spans="1:21" hidden="1">
      <c r="A31" s="663" t="s">
        <v>151</v>
      </c>
      <c r="B31" s="664">
        <f>B25/(Target!$H$27/12*B18)</f>
        <v>0.85046114225314029</v>
      </c>
      <c r="C31" s="665">
        <f>C25/(Target!$H$27/12*C18)</f>
        <v>0.92490484635965153</v>
      </c>
      <c r="D31" s="664">
        <f>D25/(Target!$H$27/12*D18)</f>
        <v>0.87964294482132899</v>
      </c>
      <c r="E31" s="666"/>
      <c r="F31" s="664">
        <f>F25/(Target!$H$27/12*F18)</f>
        <v>0.9206582838884394</v>
      </c>
      <c r="G31" s="664">
        <f>G25/(Target!$H$27/12*G18)</f>
        <v>0.91482944510915953</v>
      </c>
      <c r="H31" s="664">
        <f>H25/(Target!$H$27/12*H18)</f>
        <v>0.89118974092611591</v>
      </c>
      <c r="I31" s="666"/>
      <c r="J31" s="664">
        <f>J25/(Target!$H$27/12*J18)</f>
        <v>0.76387692079381364</v>
      </c>
      <c r="K31" s="664">
        <f>K25/(Target!$H$27/12*K18)</f>
        <v>0.66839230569458696</v>
      </c>
      <c r="L31" s="664">
        <f>L25/(Target!$H$27/12*L18)</f>
        <v>0.59412649395074402</v>
      </c>
      <c r="M31" s="666"/>
      <c r="N31" s="664">
        <f>N25/(Target!$H$27/12*N18)</f>
        <v>0.5347138445556695</v>
      </c>
      <c r="O31" s="664">
        <f>O25/(Target!$H$27/12*O18)</f>
        <v>0.48610349505060868</v>
      </c>
      <c r="P31" s="664">
        <f>P25/(Target!$H$27/12*P18)</f>
        <v>0.44559487046305796</v>
      </c>
      <c r="Q31" s="667"/>
      <c r="R31" s="668"/>
      <c r="S31" s="529"/>
    </row>
    <row r="32" spans="1:21" ht="13.8" thickBot="1">
      <c r="A32" s="679"/>
      <c r="B32" s="685"/>
      <c r="C32" s="686"/>
      <c r="D32" s="685"/>
      <c r="E32" s="683"/>
      <c r="F32" s="685"/>
      <c r="G32" s="685"/>
      <c r="H32" s="685"/>
      <c r="I32" s="683"/>
      <c r="J32" s="685"/>
      <c r="K32" s="685"/>
      <c r="L32" s="685"/>
      <c r="M32" s="683"/>
      <c r="N32" s="687"/>
      <c r="O32" s="687"/>
      <c r="P32" s="685"/>
      <c r="Q32" s="683"/>
      <c r="R32" s="684"/>
      <c r="S32" s="529"/>
    </row>
    <row r="33" spans="1:19">
      <c r="A33" s="669" t="s">
        <v>193</v>
      </c>
      <c r="B33" s="670">
        <f>B8/B24</f>
        <v>0.36817899904808754</v>
      </c>
      <c r="C33" s="671">
        <f t="shared" ref="B33:D34" si="4">C8/C24</f>
        <v>0.36912613555308704</v>
      </c>
      <c r="D33" s="670">
        <f t="shared" si="4"/>
        <v>0.39334792012656467</v>
      </c>
      <c r="E33" s="672">
        <f>E6/E22</f>
        <v>0.35499999999999998</v>
      </c>
      <c r="F33" s="670">
        <f t="shared" ref="F33:H34" si="5">F8/F24</f>
        <v>0.34523529293299215</v>
      </c>
      <c r="G33" s="670">
        <f t="shared" si="5"/>
        <v>0.37004099444162902</v>
      </c>
      <c r="H33" s="670">
        <f t="shared" si="5"/>
        <v>0.38818450013822015</v>
      </c>
      <c r="I33" s="672">
        <f>I6/I22</f>
        <v>0.37</v>
      </c>
      <c r="J33" s="670" t="e">
        <f t="shared" ref="J33:L34" si="6">J8/J24</f>
        <v>#DIV/0!</v>
      </c>
      <c r="K33" s="670" t="e">
        <f t="shared" si="6"/>
        <v>#DIV/0!</v>
      </c>
      <c r="L33" s="670" t="e">
        <f t="shared" si="6"/>
        <v>#DIV/0!</v>
      </c>
      <c r="M33" s="672">
        <f>M6/M22</f>
        <v>0.37</v>
      </c>
      <c r="N33" s="673" t="e">
        <f t="shared" ref="N33:O34" si="7">N8/N24</f>
        <v>#DIV/0!</v>
      </c>
      <c r="O33" s="673" t="e">
        <f t="shared" si="7"/>
        <v>#DIV/0!</v>
      </c>
      <c r="P33" s="670" t="e">
        <f>P8/P24</f>
        <v>#DIV/0!</v>
      </c>
      <c r="Q33" s="672">
        <f>Q6/Q22</f>
        <v>0.37</v>
      </c>
      <c r="R33" s="674"/>
      <c r="S33" s="529"/>
    </row>
    <row r="34" spans="1:19" ht="13.8" thickBot="1">
      <c r="A34" s="228" t="s">
        <v>194</v>
      </c>
      <c r="B34" s="581">
        <f t="shared" si="4"/>
        <v>0.36817899904808754</v>
      </c>
      <c r="C34" s="582">
        <f t="shared" si="4"/>
        <v>0.36869068384306414</v>
      </c>
      <c r="D34" s="581">
        <f t="shared" si="4"/>
        <v>0.37606393956702305</v>
      </c>
      <c r="E34" s="599"/>
      <c r="F34" s="581">
        <f t="shared" si="5"/>
        <v>0.36732671543843048</v>
      </c>
      <c r="G34" s="581">
        <f t="shared" si="5"/>
        <v>0.36785573600908611</v>
      </c>
      <c r="H34" s="581">
        <f t="shared" si="5"/>
        <v>0.37079449593563168</v>
      </c>
      <c r="I34" s="599"/>
      <c r="J34" s="581">
        <f t="shared" si="6"/>
        <v>0.37079449593563168</v>
      </c>
      <c r="K34" s="581">
        <f t="shared" si="6"/>
        <v>0.37079449593563168</v>
      </c>
      <c r="L34" s="581">
        <f t="shared" si="6"/>
        <v>0.37079449593563168</v>
      </c>
      <c r="M34" s="599"/>
      <c r="N34" s="583">
        <f t="shared" si="7"/>
        <v>0.37079449593563168</v>
      </c>
      <c r="O34" s="583">
        <f t="shared" si="7"/>
        <v>0.37079449593563168</v>
      </c>
      <c r="P34" s="581">
        <f>P9/P25</f>
        <v>0.37079449593563168</v>
      </c>
      <c r="Q34" s="599"/>
      <c r="R34" s="584">
        <f>R6/R22</f>
        <v>0.36635244307496229</v>
      </c>
      <c r="S34" s="529"/>
    </row>
    <row r="35" spans="1:19">
      <c r="I35" s="503"/>
      <c r="Q35" s="503"/>
    </row>
    <row r="37" spans="1:19">
      <c r="F37" s="752"/>
      <c r="G37" s="722"/>
      <c r="I37" s="503"/>
    </row>
    <row r="38" spans="1:19">
      <c r="F38" s="752"/>
      <c r="G38" s="722"/>
      <c r="I38" s="503"/>
    </row>
    <row r="39" spans="1:19">
      <c r="F39" s="752"/>
      <c r="G39" s="722"/>
    </row>
    <row r="40" spans="1:19">
      <c r="G40" s="722"/>
    </row>
  </sheetData>
  <mergeCells count="1">
    <mergeCell ref="B1:R1"/>
  </mergeCells>
  <pageMargins left="0.25" right="0.25" top="0.75" bottom="0.75" header="0.3" footer="0.3"/>
  <pageSetup paperSize="9" scale="54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Normal="100" workbookViewId="0">
      <selection activeCell="U4" sqref="U4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22" s="2" customFormat="1" ht="12.75" customHeight="1">
      <c r="A1" s="788"/>
      <c r="B1" s="789"/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89"/>
      <c r="N1" s="789"/>
      <c r="O1" s="789"/>
      <c r="P1" s="790"/>
    </row>
    <row r="2" spans="1:22" ht="12.75" customHeight="1">
      <c r="A2" s="787" t="s">
        <v>27</v>
      </c>
      <c r="B2" s="787"/>
      <c r="C2" s="787"/>
      <c r="D2" s="787"/>
      <c r="E2" s="787"/>
      <c r="F2" s="787"/>
      <c r="G2" s="787"/>
      <c r="H2" s="787"/>
      <c r="I2" s="787"/>
      <c r="J2" s="787"/>
      <c r="K2" s="787"/>
      <c r="L2" s="787"/>
      <c r="M2" s="787"/>
      <c r="N2" s="787"/>
      <c r="O2" s="787"/>
      <c r="P2" s="787"/>
      <c r="R2" s="751" t="s">
        <v>232</v>
      </c>
    </row>
    <row r="3" spans="1:22" ht="12.75" customHeight="1">
      <c r="A3" s="39"/>
      <c r="B3" s="39" t="s">
        <v>28</v>
      </c>
      <c r="C3" s="39" t="s">
        <v>22</v>
      </c>
      <c r="D3" s="39" t="s">
        <v>14</v>
      </c>
      <c r="E3" s="39"/>
      <c r="F3" s="518" t="s">
        <v>15</v>
      </c>
      <c r="G3" s="518" t="s">
        <v>16</v>
      </c>
      <c r="H3" s="518" t="s">
        <v>17</v>
      </c>
      <c r="I3" s="519"/>
      <c r="J3" s="39" t="s">
        <v>29</v>
      </c>
      <c r="K3" s="39" t="s">
        <v>30</v>
      </c>
      <c r="L3" s="39" t="s">
        <v>18</v>
      </c>
      <c r="M3" s="519"/>
      <c r="N3" s="39" t="s">
        <v>19</v>
      </c>
      <c r="O3" s="39" t="s">
        <v>20</v>
      </c>
      <c r="P3" s="39" t="s">
        <v>21</v>
      </c>
      <c r="R3" s="3" t="s">
        <v>230</v>
      </c>
      <c r="S3" s="3" t="s">
        <v>229</v>
      </c>
      <c r="V3" s="4" t="s">
        <v>231</v>
      </c>
    </row>
    <row r="4" spans="1:22" ht="12.75" customHeight="1">
      <c r="A4" s="1" t="s">
        <v>31</v>
      </c>
      <c r="B4" s="55">
        <f>TOMEK!B31</f>
        <v>2440</v>
      </c>
      <c r="C4" s="55">
        <f>TOMEK!C31</f>
        <v>2440</v>
      </c>
      <c r="D4" s="55">
        <f>TOMEK!D31</f>
        <v>2440</v>
      </c>
      <c r="E4" s="55"/>
      <c r="F4" s="334">
        <f>TOMEK!F31</f>
        <v>2181.0830283580772</v>
      </c>
      <c r="G4" s="334">
        <f>TOMEK!G31</f>
        <v>2181.0830283580772</v>
      </c>
      <c r="H4" s="334">
        <f>TOMEK!H31</f>
        <v>1265.5415141790386</v>
      </c>
      <c r="I4" s="242"/>
      <c r="J4" s="55">
        <f>TOMEK!J31</f>
        <v>0</v>
      </c>
      <c r="K4" s="55">
        <f>TOMEK!K31</f>
        <v>0</v>
      </c>
      <c r="L4" s="55">
        <f>TOMEK!L31</f>
        <v>0</v>
      </c>
      <c r="M4" s="242"/>
      <c r="N4" s="55">
        <f>TOMEK!N31</f>
        <v>0</v>
      </c>
      <c r="O4" s="55">
        <f>TOMEK!O31</f>
        <v>0</v>
      </c>
      <c r="P4" s="55">
        <f>TOMEK!P31</f>
        <v>0</v>
      </c>
      <c r="Q4" s="628">
        <f>SUM(N4:P4,J4:L4,F4:H4,B4:D4)</f>
        <v>12947.707570895192</v>
      </c>
      <c r="R4" s="628">
        <v>6800</v>
      </c>
      <c r="S4" s="628">
        <f>R4*15%</f>
        <v>1020</v>
      </c>
      <c r="T4" s="747">
        <f t="shared" ref="T4:T7" si="0">SUM(R4:S4)</f>
        <v>7820</v>
      </c>
      <c r="U4" s="749">
        <f>F4</f>
        <v>2181.0830283580772</v>
      </c>
      <c r="V4" s="750">
        <f>SUM(T4:U4)</f>
        <v>10001.083028358076</v>
      </c>
    </row>
    <row r="5" spans="1:22" s="2" customFormat="1" ht="12.75" customHeight="1">
      <c r="A5" s="1" t="s">
        <v>75</v>
      </c>
      <c r="B5" s="131">
        <f>BARTEK!B31</f>
        <v>2560</v>
      </c>
      <c r="C5" s="131">
        <f>BARTEK!C31</f>
        <v>2560</v>
      </c>
      <c r="D5" s="55">
        <f>BARTEK!D31</f>
        <v>2560</v>
      </c>
      <c r="E5" s="55"/>
      <c r="F5" s="334">
        <f>BARTEK!F31</f>
        <v>3087.7682144108276</v>
      </c>
      <c r="G5" s="334">
        <f>BARTEK!G31</f>
        <v>3087.7682144108276</v>
      </c>
      <c r="H5" s="334">
        <f>BARTEK!H31</f>
        <v>3087.7682144108276</v>
      </c>
      <c r="I5" s="242"/>
      <c r="J5" s="55">
        <f>BARTEK!J31</f>
        <v>0</v>
      </c>
      <c r="K5" s="55">
        <f>BARTEK!K31</f>
        <v>0</v>
      </c>
      <c r="L5" s="55">
        <f>BARTEK!L31</f>
        <v>0</v>
      </c>
      <c r="M5" s="242"/>
      <c r="N5" s="55">
        <f>BARTEK!N31</f>
        <v>0</v>
      </c>
      <c r="O5" s="55">
        <f>BARTEK!O31</f>
        <v>0</v>
      </c>
      <c r="P5" s="55">
        <f>BARTEK!P31</f>
        <v>0</v>
      </c>
      <c r="Q5" s="628">
        <f t="shared" ref="Q5:Q7" si="1">SUM(N5:P5,J5:L5,F5:H5,B5:D5)</f>
        <v>16943.304643232485</v>
      </c>
      <c r="R5" s="746">
        <v>6800</v>
      </c>
      <c r="S5" s="628">
        <f t="shared" ref="S5:S7" si="2">R5*15%</f>
        <v>1020</v>
      </c>
      <c r="T5" s="748">
        <f t="shared" si="0"/>
        <v>7820</v>
      </c>
      <c r="U5" s="749">
        <f t="shared" ref="U5:U7" si="3">F5</f>
        <v>3087.7682144108276</v>
      </c>
      <c r="V5" s="750">
        <f t="shared" ref="V5:V7" si="4">SUM(T5:U5)</f>
        <v>10907.768214410828</v>
      </c>
    </row>
    <row r="6" spans="1:22" ht="12.75" customHeight="1">
      <c r="A6" s="1" t="s">
        <v>24</v>
      </c>
      <c r="B6" s="55">
        <f>PIOTR!B31</f>
        <v>2880</v>
      </c>
      <c r="C6" s="55">
        <f>PIOTR!C31</f>
        <v>2880</v>
      </c>
      <c r="D6" s="55">
        <f>PIOTR!D31</f>
        <v>2880</v>
      </c>
      <c r="E6" s="55"/>
      <c r="F6" s="334">
        <f>PIOTR!F31</f>
        <v>2843.3880867219968</v>
      </c>
      <c r="G6" s="334">
        <f>PIOTR!G31</f>
        <v>2843.3880867219968</v>
      </c>
      <c r="H6" s="334">
        <f>PIOTR!H31</f>
        <v>2843.3880867219968</v>
      </c>
      <c r="I6" s="242"/>
      <c r="J6" s="55">
        <f>PIOTR!J31</f>
        <v>0</v>
      </c>
      <c r="K6" s="55">
        <f>PIOTR!K31</f>
        <v>0</v>
      </c>
      <c r="L6" s="55">
        <f>PIOTR!L31</f>
        <v>0</v>
      </c>
      <c r="M6" s="242"/>
      <c r="N6" s="55">
        <f>PIOTR!N31</f>
        <v>0</v>
      </c>
      <c r="O6" s="55">
        <f>PIOTR!O31</f>
        <v>0</v>
      </c>
      <c r="P6" s="55">
        <f>PIOTR!P31</f>
        <v>0</v>
      </c>
      <c r="Q6" s="628">
        <f t="shared" si="1"/>
        <v>17170.164260165991</v>
      </c>
      <c r="R6" s="628">
        <v>7500</v>
      </c>
      <c r="S6" s="628">
        <f t="shared" si="2"/>
        <v>1125</v>
      </c>
      <c r="T6" s="747">
        <f t="shared" si="0"/>
        <v>8625</v>
      </c>
      <c r="U6" s="749">
        <f t="shared" si="3"/>
        <v>2843.3880867219968</v>
      </c>
      <c r="V6" s="750">
        <f t="shared" si="4"/>
        <v>11468.388086721996</v>
      </c>
    </row>
    <row r="7" spans="1:22" ht="12.75" customHeight="1">
      <c r="A7" s="1" t="s">
        <v>25</v>
      </c>
      <c r="B7" s="55">
        <f>KRZYSZTOF!B31</f>
        <v>2560</v>
      </c>
      <c r="C7" s="55">
        <f>KRZYSZTOF!C31</f>
        <v>2560</v>
      </c>
      <c r="D7" s="55">
        <f>KRZYSZTOF!D31</f>
        <v>2560</v>
      </c>
      <c r="E7" s="55"/>
      <c r="F7" s="334">
        <f>KRZYSZTOF!F31</f>
        <v>2492.7487031032206</v>
      </c>
      <c r="G7" s="334">
        <f>KRZYSZTOF!G31</f>
        <v>2492.7487031032206</v>
      </c>
      <c r="H7" s="334">
        <f>KRZYSZTOF!H31</f>
        <v>1421.3743515516103</v>
      </c>
      <c r="I7" s="242"/>
      <c r="J7" s="55">
        <f>KRZYSZTOF!J31</f>
        <v>0</v>
      </c>
      <c r="K7" s="55">
        <f>KRZYSZTOF!K31</f>
        <v>0</v>
      </c>
      <c r="L7" s="55">
        <f>KRZYSZTOF!L31</f>
        <v>0</v>
      </c>
      <c r="M7" s="242"/>
      <c r="N7" s="55">
        <f>KRZYSZTOF!N31</f>
        <v>0</v>
      </c>
      <c r="O7" s="55">
        <f>KRZYSZTOF!O31</f>
        <v>0</v>
      </c>
      <c r="P7" s="55">
        <f>KRZYSZTOF!P31</f>
        <v>0</v>
      </c>
      <c r="Q7" s="628">
        <f t="shared" si="1"/>
        <v>14086.871757758052</v>
      </c>
      <c r="R7" s="628">
        <v>6800</v>
      </c>
      <c r="S7" s="628">
        <f t="shared" si="2"/>
        <v>1020</v>
      </c>
      <c r="T7" s="747">
        <f t="shared" si="0"/>
        <v>7820</v>
      </c>
      <c r="U7" s="749">
        <f t="shared" si="3"/>
        <v>2492.7487031032206</v>
      </c>
      <c r="V7" s="750">
        <f t="shared" si="4"/>
        <v>10312.748703103221</v>
      </c>
    </row>
    <row r="8" spans="1:22" ht="12.75" customHeight="1">
      <c r="A8" s="270" t="s">
        <v>159</v>
      </c>
      <c r="B8" s="242" t="e">
        <f>'1'!N39</f>
        <v>#REF!</v>
      </c>
      <c r="C8" s="242" t="e">
        <f>'1'!O39</f>
        <v>#REF!</v>
      </c>
      <c r="D8" s="242" t="e">
        <f>'1'!P39</f>
        <v>#REF!</v>
      </c>
      <c r="E8" s="55"/>
      <c r="F8" s="242" t="e">
        <f>'1'!J39</f>
        <v>#REF!</v>
      </c>
      <c r="G8" s="242" t="e">
        <f>'1'!K39</f>
        <v>#REF!</v>
      </c>
      <c r="H8" s="242" t="e">
        <f>'1'!L39</f>
        <v>#REF!</v>
      </c>
      <c r="I8" s="242"/>
      <c r="J8" s="242" t="e">
        <f>'1'!F39</f>
        <v>#REF!</v>
      </c>
      <c r="K8" s="242" t="e">
        <f>'1'!G39</f>
        <v>#REF!</v>
      </c>
      <c r="L8" s="242" t="e">
        <f>'1'!H39</f>
        <v>#REF!</v>
      </c>
      <c r="M8" s="242"/>
      <c r="N8" s="242" t="e">
        <f>'1'!B39</f>
        <v>#REF!</v>
      </c>
      <c r="O8" s="242" t="e">
        <f>'1'!C39</f>
        <v>#REF!</v>
      </c>
      <c r="P8" s="242" t="e">
        <f>'1'!D39</f>
        <v>#REF!</v>
      </c>
    </row>
    <row r="9" spans="1:22" ht="12.75" customHeight="1">
      <c r="A9" s="270"/>
      <c r="B9" s="55"/>
      <c r="C9" s="55"/>
      <c r="D9" s="55"/>
      <c r="E9" s="55"/>
      <c r="F9" s="242"/>
      <c r="G9" s="242"/>
      <c r="H9" s="242"/>
      <c r="I9" s="242"/>
      <c r="J9" s="269"/>
      <c r="K9" s="269"/>
      <c r="L9" s="242"/>
      <c r="M9" s="242"/>
      <c r="N9" s="242"/>
      <c r="O9" s="242"/>
      <c r="P9" s="303"/>
    </row>
    <row r="10" spans="1:22" ht="12.75" customHeight="1">
      <c r="B10" s="749">
        <f>SUM(B4:B7)</f>
        <v>10440</v>
      </c>
      <c r="C10" s="749">
        <f t="shared" ref="C10:D10" si="5">SUM(C4:C7)</f>
        <v>10440</v>
      </c>
      <c r="D10" s="749">
        <f t="shared" si="5"/>
        <v>10440</v>
      </c>
      <c r="F10" s="749">
        <f t="shared" ref="F10:H10" si="6">SUM(F4:F7)</f>
        <v>10604.988032594123</v>
      </c>
      <c r="G10" s="749">
        <f t="shared" si="6"/>
        <v>10604.988032594123</v>
      </c>
      <c r="H10" s="749">
        <f t="shared" si="6"/>
        <v>8618.0721668634724</v>
      </c>
    </row>
    <row r="11" spans="1:22" ht="12.75" customHeight="1">
      <c r="A11" s="787" t="s">
        <v>23</v>
      </c>
      <c r="B11" s="787"/>
      <c r="C11" s="787"/>
      <c r="D11" s="787"/>
      <c r="E11" s="787"/>
      <c r="F11" s="787"/>
      <c r="G11" s="787"/>
      <c r="H11" s="787"/>
      <c r="I11" s="787"/>
      <c r="J11" s="787"/>
      <c r="K11" s="787"/>
      <c r="L11" s="787"/>
      <c r="M11" s="787"/>
      <c r="N11" s="787"/>
      <c r="O11" s="787"/>
      <c r="P11" s="787"/>
    </row>
    <row r="12" spans="1:22" ht="12.75" customHeight="1">
      <c r="A12" s="39"/>
      <c r="B12" s="791" t="s">
        <v>70</v>
      </c>
      <c r="C12" s="792"/>
      <c r="D12" s="793"/>
      <c r="E12" s="520"/>
      <c r="F12" s="797" t="s">
        <v>71</v>
      </c>
      <c r="G12" s="798"/>
      <c r="H12" s="799"/>
      <c r="I12" s="521"/>
      <c r="J12" s="791" t="s">
        <v>72</v>
      </c>
      <c r="K12" s="792"/>
      <c r="L12" s="793"/>
      <c r="M12" s="521"/>
      <c r="N12" s="791" t="s">
        <v>73</v>
      </c>
      <c r="O12" s="792"/>
      <c r="P12" s="793"/>
    </row>
    <row r="13" spans="1:22" ht="12.75" customHeight="1">
      <c r="A13" s="1" t="s">
        <v>31</v>
      </c>
      <c r="B13" s="794">
        <f>TOMEK!B37</f>
        <v>6100</v>
      </c>
      <c r="C13" s="795"/>
      <c r="D13" s="796"/>
      <c r="E13" s="702"/>
      <c r="F13" s="800">
        <f>TOMEK!F37</f>
        <v>0</v>
      </c>
      <c r="G13" s="801"/>
      <c r="H13" s="802"/>
      <c r="I13" s="703"/>
      <c r="J13" s="794">
        <f>TOMEK!J37</f>
        <v>0</v>
      </c>
      <c r="K13" s="803"/>
      <c r="L13" s="804"/>
      <c r="M13" s="703"/>
      <c r="N13" s="794">
        <f>TOMEK!N37</f>
        <v>0</v>
      </c>
      <c r="O13" s="803"/>
      <c r="P13" s="804"/>
      <c r="Q13" s="628">
        <f>SUM(B13:P13)</f>
        <v>6100</v>
      </c>
    </row>
    <row r="14" spans="1:22" ht="12.75" customHeight="1">
      <c r="A14" s="1" t="s">
        <v>75</v>
      </c>
      <c r="B14" s="794">
        <f>BARTEK!B37</f>
        <v>4480</v>
      </c>
      <c r="C14" s="808"/>
      <c r="D14" s="809"/>
      <c r="E14" s="704"/>
      <c r="F14" s="800">
        <f>BARTEK!F37</f>
        <v>3500</v>
      </c>
      <c r="G14" s="801"/>
      <c r="H14" s="802"/>
      <c r="I14" s="703"/>
      <c r="J14" s="794">
        <f>BARTEK!J37</f>
        <v>0</v>
      </c>
      <c r="K14" s="803"/>
      <c r="L14" s="804"/>
      <c r="M14" s="703"/>
      <c r="N14" s="794">
        <f>BARTEK!N37</f>
        <v>0</v>
      </c>
      <c r="O14" s="803"/>
      <c r="P14" s="804"/>
      <c r="Q14" s="628">
        <f t="shared" ref="Q14:Q16" si="7">SUM(B14:P14)</f>
        <v>7980</v>
      </c>
    </row>
    <row r="15" spans="1:22" ht="12.75" customHeight="1">
      <c r="A15" s="1" t="s">
        <v>24</v>
      </c>
      <c r="B15" s="794">
        <f>PIOTR!B37</f>
        <v>0</v>
      </c>
      <c r="C15" s="795"/>
      <c r="D15" s="796"/>
      <c r="E15" s="702"/>
      <c r="F15" s="800">
        <f>PIOTR!F37</f>
        <v>7000</v>
      </c>
      <c r="G15" s="801"/>
      <c r="H15" s="802"/>
      <c r="I15" s="703"/>
      <c r="J15" s="794">
        <f>PIOTR!J37</f>
        <v>0</v>
      </c>
      <c r="K15" s="803"/>
      <c r="L15" s="804"/>
      <c r="M15" s="703"/>
      <c r="N15" s="794">
        <f>PIOTR!N37</f>
        <v>0</v>
      </c>
      <c r="O15" s="803"/>
      <c r="P15" s="804"/>
      <c r="Q15" s="628">
        <f t="shared" si="7"/>
        <v>7000</v>
      </c>
    </row>
    <row r="16" spans="1:22" ht="12.75" customHeight="1">
      <c r="A16" s="1" t="s">
        <v>25</v>
      </c>
      <c r="B16" s="794">
        <f>KRZYSZTOF!B37</f>
        <v>4480</v>
      </c>
      <c r="C16" s="795"/>
      <c r="D16" s="796"/>
      <c r="E16" s="702"/>
      <c r="F16" s="800">
        <f>KRZYSZTOF!F37</f>
        <v>0</v>
      </c>
      <c r="G16" s="801"/>
      <c r="H16" s="802"/>
      <c r="I16" s="703"/>
      <c r="J16" s="794">
        <f>KRZYSZTOF!J37</f>
        <v>0</v>
      </c>
      <c r="K16" s="803"/>
      <c r="L16" s="804"/>
      <c r="M16" s="703"/>
      <c r="N16" s="794">
        <f>KRZYSZTOF!N37</f>
        <v>0</v>
      </c>
      <c r="O16" s="803"/>
      <c r="P16" s="804"/>
      <c r="Q16" s="628">
        <f t="shared" si="7"/>
        <v>4480</v>
      </c>
    </row>
    <row r="17" spans="1:16" ht="12.75" customHeight="1">
      <c r="A17" s="270" t="s">
        <v>159</v>
      </c>
      <c r="B17" s="805" t="e">
        <f>'1'!N45</f>
        <v>#REF!</v>
      </c>
      <c r="C17" s="806"/>
      <c r="D17" s="807"/>
      <c r="E17" s="178"/>
      <c r="F17" s="805" t="e">
        <f>'1'!J45</f>
        <v>#REF!</v>
      </c>
      <c r="G17" s="806"/>
      <c r="H17" s="807"/>
      <c r="I17" s="370"/>
      <c r="J17" s="805" t="e">
        <f>'1'!F45</f>
        <v>#REF!</v>
      </c>
      <c r="K17" s="806"/>
      <c r="L17" s="807"/>
      <c r="M17" s="444"/>
      <c r="N17" s="810" t="e">
        <f>'1'!B45</f>
        <v>#REF!</v>
      </c>
      <c r="O17" s="811"/>
      <c r="P17" s="812"/>
    </row>
    <row r="18" spans="1:16" ht="12.75" customHeight="1">
      <c r="A18" s="270"/>
      <c r="B18" s="805"/>
      <c r="C18" s="806"/>
      <c r="D18" s="807"/>
      <c r="E18" s="262"/>
      <c r="F18" s="805"/>
      <c r="G18" s="806"/>
      <c r="H18" s="807"/>
      <c r="I18" s="370"/>
      <c r="J18" s="805"/>
      <c r="K18" s="806"/>
      <c r="L18" s="807"/>
      <c r="M18" s="444"/>
      <c r="N18" s="805"/>
      <c r="O18" s="806"/>
      <c r="P18" s="807"/>
    </row>
    <row r="19" spans="1:16" ht="12.75" customHeight="1">
      <c r="C19" s="261"/>
    </row>
    <row r="20" spans="1:16" ht="12.75" customHeight="1">
      <c r="A20" s="788"/>
      <c r="B20" s="789"/>
      <c r="C20" s="789"/>
      <c r="D20" s="789"/>
      <c r="E20" s="789"/>
      <c r="F20" s="789"/>
      <c r="G20" s="789"/>
      <c r="H20" s="789"/>
      <c r="I20" s="789"/>
      <c r="J20" s="789"/>
      <c r="K20" s="789"/>
      <c r="L20" s="789"/>
      <c r="M20" s="789"/>
      <c r="N20" s="789"/>
      <c r="O20" s="789"/>
      <c r="P20" s="790"/>
    </row>
    <row r="21" spans="1:16" ht="12.75" customHeight="1">
      <c r="A21" s="787" t="s">
        <v>200</v>
      </c>
      <c r="B21" s="787"/>
      <c r="C21" s="787"/>
      <c r="D21" s="787"/>
      <c r="E21" s="787"/>
      <c r="F21" s="787"/>
      <c r="G21" s="787"/>
      <c r="H21" s="787"/>
      <c r="I21" s="787"/>
      <c r="J21" s="787"/>
      <c r="K21" s="787"/>
      <c r="L21" s="787"/>
      <c r="M21" s="787"/>
      <c r="N21" s="787"/>
      <c r="O21" s="787"/>
      <c r="P21" s="787"/>
    </row>
    <row r="22" spans="1:16" ht="12.75" customHeight="1">
      <c r="A22" s="39"/>
      <c r="B22" s="39" t="s">
        <v>28</v>
      </c>
      <c r="C22" s="39" t="s">
        <v>22</v>
      </c>
      <c r="D22" s="39" t="s">
        <v>14</v>
      </c>
      <c r="E22" s="39"/>
      <c r="F22" s="518" t="s">
        <v>15</v>
      </c>
      <c r="G22" s="518" t="s">
        <v>16</v>
      </c>
      <c r="H22" s="518" t="s">
        <v>17</v>
      </c>
      <c r="I22" s="519"/>
      <c r="J22" s="518" t="s">
        <v>29</v>
      </c>
      <c r="K22" s="518" t="s">
        <v>30</v>
      </c>
      <c r="L22" s="518" t="s">
        <v>18</v>
      </c>
      <c r="M22" s="519"/>
      <c r="N22" s="39" t="s">
        <v>19</v>
      </c>
      <c r="O22" s="39" t="s">
        <v>20</v>
      </c>
      <c r="P22" s="39" t="s">
        <v>21</v>
      </c>
    </row>
    <row r="23" spans="1:16" ht="12.75" customHeight="1">
      <c r="A23" s="1" t="s">
        <v>31</v>
      </c>
      <c r="B23" s="708"/>
      <c r="C23" s="708"/>
      <c r="D23" s="708"/>
      <c r="E23" s="708"/>
      <c r="F23" s="709"/>
      <c r="G23" s="709"/>
      <c r="H23" s="709"/>
      <c r="I23" s="710"/>
      <c r="J23" s="709"/>
      <c r="K23" s="709"/>
      <c r="L23" s="709"/>
      <c r="M23" s="710"/>
      <c r="N23" s="708"/>
      <c r="O23" s="708"/>
      <c r="P23" s="708"/>
    </row>
    <row r="24" spans="1:16" ht="12.75" customHeight="1">
      <c r="A24" s="1" t="s">
        <v>75</v>
      </c>
      <c r="B24" s="711"/>
      <c r="C24" s="711"/>
      <c r="D24" s="708"/>
      <c r="E24" s="708"/>
      <c r="F24" s="709"/>
      <c r="G24" s="709"/>
      <c r="H24" s="709"/>
      <c r="I24" s="710"/>
      <c r="J24" s="709"/>
      <c r="K24" s="709"/>
      <c r="L24" s="709"/>
      <c r="M24" s="710"/>
      <c r="N24" s="708"/>
      <c r="O24" s="708"/>
      <c r="P24" s="708"/>
    </row>
    <row r="25" spans="1:16" ht="12.75" customHeight="1">
      <c r="A25" s="1" t="s">
        <v>24</v>
      </c>
      <c r="B25" s="708"/>
      <c r="C25" s="708"/>
      <c r="D25" s="708"/>
      <c r="E25" s="708"/>
      <c r="F25" s="709"/>
      <c r="G25" s="709"/>
      <c r="H25" s="709"/>
      <c r="I25" s="710"/>
      <c r="J25" s="709"/>
      <c r="K25" s="709"/>
      <c r="L25" s="709"/>
      <c r="M25" s="710"/>
      <c r="N25" s="708"/>
      <c r="O25" s="708"/>
      <c r="P25" s="708"/>
    </row>
    <row r="26" spans="1:16" ht="12.75" customHeight="1">
      <c r="A26" s="1" t="s">
        <v>25</v>
      </c>
      <c r="B26" s="712"/>
      <c r="C26" s="708"/>
      <c r="D26" s="708">
        <f>RCKIK!B34</f>
        <v>0</v>
      </c>
      <c r="E26" s="708"/>
      <c r="F26" s="709"/>
      <c r="G26" s="709"/>
      <c r="H26" s="708">
        <f>RCKIK!F34</f>
        <v>0</v>
      </c>
      <c r="I26" s="710"/>
      <c r="J26" s="709"/>
      <c r="K26" s="709"/>
      <c r="L26" s="709">
        <f>RCKIK!J34</f>
        <v>0</v>
      </c>
      <c r="M26" s="710"/>
      <c r="N26" s="708"/>
      <c r="O26" s="708"/>
      <c r="P26" s="709">
        <f>RCKIK!N34</f>
        <v>0</v>
      </c>
    </row>
    <row r="27" spans="1:16" ht="12.75" customHeight="1">
      <c r="A27" s="270" t="s">
        <v>159</v>
      </c>
      <c r="B27" s="708"/>
      <c r="C27" s="708"/>
      <c r="D27" s="708"/>
      <c r="E27" s="708"/>
      <c r="F27" s="709"/>
      <c r="G27" s="709"/>
      <c r="H27" s="709"/>
      <c r="I27" s="710"/>
      <c r="J27" s="709"/>
      <c r="K27" s="709"/>
      <c r="L27" s="710"/>
      <c r="M27" s="710"/>
      <c r="N27" s="708"/>
      <c r="O27" s="708"/>
      <c r="P27" s="708"/>
    </row>
    <row r="28" spans="1:16" ht="12.75" customHeight="1">
      <c r="A28" s="270"/>
      <c r="B28" s="708"/>
      <c r="C28" s="708"/>
      <c r="D28" s="708"/>
      <c r="E28" s="708"/>
      <c r="F28" s="709"/>
      <c r="G28" s="709"/>
      <c r="H28" s="709"/>
      <c r="I28" s="710"/>
      <c r="J28" s="713"/>
      <c r="K28" s="713"/>
      <c r="L28" s="710"/>
      <c r="M28" s="710"/>
      <c r="N28" s="708"/>
      <c r="O28" s="708"/>
      <c r="P28" s="714"/>
    </row>
  </sheetData>
  <mergeCells count="33">
    <mergeCell ref="A20:P20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  <mergeCell ref="F16:H16"/>
    <mergeCell ref="B18:D18"/>
    <mergeCell ref="F18:H18"/>
    <mergeCell ref="B17:D17"/>
    <mergeCell ref="B14:D14"/>
    <mergeCell ref="B15:D15"/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6"/>
  <sheetViews>
    <sheetView zoomScaleNormal="100" workbookViewId="0">
      <pane xSplit="1" topLeftCell="I1" activePane="topRight" state="frozen"/>
      <selection activeCell="A24" sqref="A24"/>
      <selection pane="topRight" activeCell="I64" sqref="I64"/>
    </sheetView>
  </sheetViews>
  <sheetFormatPr defaultRowHeight="13.8"/>
  <cols>
    <col min="1" max="1" width="20.6640625" style="311" customWidth="1"/>
    <col min="2" max="2" width="15.77734375" style="129" customWidth="1"/>
    <col min="3" max="5" width="14.5546875" customWidth="1"/>
    <col min="6" max="6" width="14.88671875" customWidth="1"/>
    <col min="7" max="7" width="13.6640625" customWidth="1"/>
    <col min="8" max="8" width="16.6640625" customWidth="1"/>
    <col min="9" max="9" width="15.88671875" customWidth="1"/>
    <col min="10" max="10" width="15.6640625" customWidth="1"/>
    <col min="11" max="11" width="17.21875" style="129" customWidth="1"/>
    <col min="12" max="12" width="16.109375" style="129" customWidth="1"/>
    <col min="13" max="13" width="17.5546875" customWidth="1"/>
    <col min="14" max="14" width="17.109375" customWidth="1"/>
    <col min="15" max="15" width="16.109375" customWidth="1"/>
    <col min="16" max="16" width="14.88671875" customWidth="1"/>
    <col min="17" max="17" width="18.21875" customWidth="1"/>
    <col min="18" max="19" width="13.109375" customWidth="1"/>
    <col min="20" max="20" width="12.5546875" customWidth="1"/>
    <col min="21" max="21" width="13.77734375" customWidth="1"/>
    <col min="22" max="22" width="13.6640625" customWidth="1"/>
    <col min="23" max="23" width="12.77734375" customWidth="1"/>
    <col min="24" max="24" width="11.77734375" customWidth="1"/>
    <col min="25" max="25" width="12.44140625" customWidth="1"/>
  </cols>
  <sheetData>
    <row r="1" spans="1:25" ht="13.2">
      <c r="A1" s="817" t="s">
        <v>90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</row>
    <row r="2" spans="1:25">
      <c r="A2" s="312"/>
      <c r="B2" s="83"/>
      <c r="C2" s="497" t="s">
        <v>77</v>
      </c>
      <c r="D2" s="497" t="s">
        <v>78</v>
      </c>
      <c r="E2" s="497" t="s">
        <v>79</v>
      </c>
      <c r="F2" s="497" t="s">
        <v>80</v>
      </c>
      <c r="G2" s="497" t="s">
        <v>81</v>
      </c>
      <c r="H2" s="497" t="s">
        <v>82</v>
      </c>
      <c r="I2" s="497" t="s">
        <v>83</v>
      </c>
      <c r="J2" s="497" t="s">
        <v>84</v>
      </c>
      <c r="K2" s="497" t="s">
        <v>85</v>
      </c>
      <c r="L2" s="497" t="s">
        <v>86</v>
      </c>
      <c r="M2" s="497" t="s">
        <v>87</v>
      </c>
      <c r="N2" s="497" t="s">
        <v>88</v>
      </c>
      <c r="O2" s="82" t="s">
        <v>157</v>
      </c>
      <c r="P2" s="265" t="s">
        <v>158</v>
      </c>
      <c r="Q2" s="265" t="s">
        <v>189</v>
      </c>
      <c r="R2" s="462" t="s">
        <v>190</v>
      </c>
      <c r="S2" s="462" t="s">
        <v>191</v>
      </c>
    </row>
    <row r="3" spans="1:25" ht="14.4">
      <c r="A3" s="312" t="s">
        <v>76</v>
      </c>
      <c r="B3" s="83"/>
      <c r="C3" s="459">
        <f>C14</f>
        <v>47400</v>
      </c>
      <c r="D3" s="460">
        <f>E14</f>
        <v>52666.666666666664</v>
      </c>
      <c r="E3" s="460">
        <f>G14</f>
        <v>57933.333333333336</v>
      </c>
      <c r="F3" s="460">
        <f>I14</f>
        <v>51700.127999999997</v>
      </c>
      <c r="G3" s="460">
        <f>K14</f>
        <v>57444.586666666662</v>
      </c>
      <c r="H3" s="460">
        <f>M14</f>
        <v>63189.045333333335</v>
      </c>
      <c r="I3" s="461">
        <f>C50</f>
        <v>51700.127999999997</v>
      </c>
      <c r="J3" s="461">
        <f>E50</f>
        <v>57444.586666666662</v>
      </c>
      <c r="K3" s="461">
        <f>G50</f>
        <v>63189.045333333335</v>
      </c>
      <c r="L3" s="461">
        <f>C59</f>
        <v>51700.127999999997</v>
      </c>
      <c r="M3" s="461">
        <f>E59</f>
        <v>57444.586666666662</v>
      </c>
      <c r="N3" s="461">
        <f>G59</f>
        <v>63189.045333333335</v>
      </c>
      <c r="O3" s="496">
        <f t="shared" ref="O3:O8" si="0">SUM(C3:N3)</f>
        <v>675001.27999999991</v>
      </c>
      <c r="P3" s="145">
        <f>TOMEK!R6</f>
        <v>316559.41020000004</v>
      </c>
      <c r="Q3" s="266">
        <f t="shared" ref="Q3:Q8" si="1">P3/O3</f>
        <v>0.46897601468252043</v>
      </c>
      <c r="R3" s="717">
        <f>O3/O8</f>
        <v>0.1864642787039327</v>
      </c>
      <c r="S3" s="717">
        <f>P3/P8</f>
        <v>0.18466415735119923</v>
      </c>
    </row>
    <row r="4" spans="1:25" ht="14.4">
      <c r="A4" s="312" t="s">
        <v>192</v>
      </c>
      <c r="B4" s="83"/>
      <c r="C4" s="459">
        <f>C15</f>
        <v>16800</v>
      </c>
      <c r="D4" s="460">
        <f>E15</f>
        <v>18666.666666666668</v>
      </c>
      <c r="E4" s="460">
        <f>G15</f>
        <v>20533.333333333336</v>
      </c>
      <c r="F4" s="460">
        <f>I15</f>
        <v>16800</v>
      </c>
      <c r="G4" s="460">
        <f>K15</f>
        <v>18666.666666666668</v>
      </c>
      <c r="H4" s="460">
        <f>M15</f>
        <v>20533.333333333336</v>
      </c>
      <c r="I4" s="461">
        <f t="shared" ref="I4:I7" si="2">C51</f>
        <v>16800</v>
      </c>
      <c r="J4" s="461">
        <f t="shared" ref="J4:J7" si="3">E51</f>
        <v>18666.666666666668</v>
      </c>
      <c r="K4" s="461">
        <f t="shared" ref="K4:K7" si="4">G51</f>
        <v>20533.333333333336</v>
      </c>
      <c r="L4" s="461">
        <f t="shared" ref="L4:L7" si="5">C60</f>
        <v>16800</v>
      </c>
      <c r="M4" s="461">
        <f t="shared" ref="M4:M7" si="6">E60</f>
        <v>18666.666666666668</v>
      </c>
      <c r="N4" s="461">
        <f t="shared" ref="N4:N7" si="7">G60</f>
        <v>20533.333333333336</v>
      </c>
      <c r="O4" s="496">
        <f t="shared" si="0"/>
        <v>224000</v>
      </c>
      <c r="P4" s="145">
        <f>RCKIK!R6</f>
        <v>58997.062999999995</v>
      </c>
      <c r="Q4" s="266">
        <f t="shared" si="1"/>
        <v>0.26337974553571425</v>
      </c>
      <c r="R4" s="717">
        <f>O4/O8</f>
        <v>6.1878398852341331E-2</v>
      </c>
      <c r="S4" s="717">
        <f>P4/P8</f>
        <v>3.4415792341183138E-2</v>
      </c>
    </row>
    <row r="5" spans="1:25" ht="14.4">
      <c r="A5" s="312" t="s">
        <v>75</v>
      </c>
      <c r="B5" s="83"/>
      <c r="C5" s="459">
        <f>C16</f>
        <v>67800</v>
      </c>
      <c r="D5" s="460">
        <f>E16</f>
        <v>75333.333333333328</v>
      </c>
      <c r="E5" s="460">
        <f>G16</f>
        <v>82866.666666666672</v>
      </c>
      <c r="F5" s="460">
        <f>I16</f>
        <v>77300.135999999999</v>
      </c>
      <c r="G5" s="460">
        <f>K16</f>
        <v>85889.04</v>
      </c>
      <c r="H5" s="460">
        <f>M16</f>
        <v>94477.944000000003</v>
      </c>
      <c r="I5" s="461">
        <f t="shared" si="2"/>
        <v>77300.135999999999</v>
      </c>
      <c r="J5" s="461">
        <f t="shared" si="3"/>
        <v>85889.04</v>
      </c>
      <c r="K5" s="461">
        <f t="shared" si="4"/>
        <v>94477.944000000003</v>
      </c>
      <c r="L5" s="461">
        <f t="shared" si="5"/>
        <v>77300.135999999999</v>
      </c>
      <c r="M5" s="461">
        <f t="shared" si="6"/>
        <v>85889.04</v>
      </c>
      <c r="N5" s="461">
        <f t="shared" si="7"/>
        <v>94477.944000000003</v>
      </c>
      <c r="O5" s="496">
        <f t="shared" si="0"/>
        <v>999001.36000000022</v>
      </c>
      <c r="P5" s="145">
        <f>BARTEK!R6</f>
        <v>500408.86730000004</v>
      </c>
      <c r="Q5" s="266">
        <f t="shared" si="1"/>
        <v>0.50090909515878934</v>
      </c>
      <c r="R5" s="717">
        <f>O5/O8</f>
        <v>0.27596698485764037</v>
      </c>
      <c r="S5" s="717">
        <f>P5/P8</f>
        <v>0.29191228828939286</v>
      </c>
    </row>
    <row r="6" spans="1:25" ht="14.4">
      <c r="A6" s="312" t="s">
        <v>24</v>
      </c>
      <c r="B6" s="83"/>
      <c r="C6" s="459">
        <f>C17</f>
        <v>67800</v>
      </c>
      <c r="D6" s="460">
        <f>E17</f>
        <v>75333.333333333328</v>
      </c>
      <c r="E6" s="460">
        <f>G17</f>
        <v>82866.666666666672</v>
      </c>
      <c r="F6" s="460">
        <f>I17</f>
        <v>70400.130000000019</v>
      </c>
      <c r="G6" s="460">
        <f>K17</f>
        <v>78222.366666666683</v>
      </c>
      <c r="H6" s="460">
        <f>M17</f>
        <v>86044.603333333362</v>
      </c>
      <c r="I6" s="461">
        <f t="shared" si="2"/>
        <v>70400.130000000019</v>
      </c>
      <c r="J6" s="461">
        <f t="shared" si="3"/>
        <v>78222.366666666683</v>
      </c>
      <c r="K6" s="461">
        <f t="shared" si="4"/>
        <v>86044.603333333362</v>
      </c>
      <c r="L6" s="461">
        <f t="shared" si="5"/>
        <v>70400.130000000019</v>
      </c>
      <c r="M6" s="461">
        <f t="shared" si="6"/>
        <v>78222.366666666683</v>
      </c>
      <c r="N6" s="461">
        <f t="shared" si="7"/>
        <v>86044.603333333362</v>
      </c>
      <c r="O6" s="496">
        <f t="shared" si="0"/>
        <v>930001.30000000028</v>
      </c>
      <c r="P6" s="145">
        <f>PIOTR!R6</f>
        <v>475183.78909999999</v>
      </c>
      <c r="Q6" s="266">
        <f t="shared" si="1"/>
        <v>0.51094959662959594</v>
      </c>
      <c r="R6" s="717">
        <f>O6/O8</f>
        <v>0.256906211493732</v>
      </c>
      <c r="S6" s="717">
        <f>P6/P8</f>
        <v>0.27719730064464676</v>
      </c>
    </row>
    <row r="7" spans="1:25" ht="14.4">
      <c r="A7" s="312" t="s">
        <v>25</v>
      </c>
      <c r="B7" s="83"/>
      <c r="C7" s="459">
        <f>C18</f>
        <v>56100</v>
      </c>
      <c r="D7" s="460">
        <f>E18</f>
        <v>62333.333333333336</v>
      </c>
      <c r="E7" s="460">
        <f>G18</f>
        <v>68566.666666666672</v>
      </c>
      <c r="F7" s="460">
        <f>I18</f>
        <v>60499.92300000001</v>
      </c>
      <c r="G7" s="460">
        <f>K18</f>
        <v>67222.136666666673</v>
      </c>
      <c r="H7" s="460">
        <f>M18</f>
        <v>73944.35033333335</v>
      </c>
      <c r="I7" s="461">
        <f t="shared" si="2"/>
        <v>60499.92300000001</v>
      </c>
      <c r="J7" s="461">
        <f t="shared" si="3"/>
        <v>67222.136666666673</v>
      </c>
      <c r="K7" s="461">
        <f t="shared" si="4"/>
        <v>73944.35033333335</v>
      </c>
      <c r="L7" s="461">
        <f t="shared" si="5"/>
        <v>60499.92300000001</v>
      </c>
      <c r="M7" s="461">
        <f t="shared" si="6"/>
        <v>67222.136666666673</v>
      </c>
      <c r="N7" s="461">
        <f t="shared" si="7"/>
        <v>73944.35033333335</v>
      </c>
      <c r="O7" s="496">
        <f t="shared" si="0"/>
        <v>791999.2300000001</v>
      </c>
      <c r="P7" s="145">
        <f>KRZYSZTOF!R6</f>
        <v>363094.79700000002</v>
      </c>
      <c r="Q7" s="266">
        <f t="shared" si="1"/>
        <v>0.45845347223380506</v>
      </c>
      <c r="R7" s="717">
        <f>O7/O8</f>
        <v>0.21878412609235368</v>
      </c>
      <c r="S7" s="717">
        <f>P7/P8</f>
        <v>0.21181046137357801</v>
      </c>
    </row>
    <row r="8" spans="1:25">
      <c r="A8" s="312" t="s">
        <v>89</v>
      </c>
      <c r="B8" s="83"/>
      <c r="C8" s="507">
        <f t="shared" ref="C8:N8" si="8">SUM(C3:C7)</f>
        <v>255900</v>
      </c>
      <c r="D8" s="507">
        <f t="shared" si="8"/>
        <v>284333.33333333331</v>
      </c>
      <c r="E8" s="507">
        <f t="shared" si="8"/>
        <v>312766.66666666669</v>
      </c>
      <c r="F8" s="507">
        <f t="shared" si="8"/>
        <v>276700.31700000004</v>
      </c>
      <c r="G8" s="507">
        <f t="shared" si="8"/>
        <v>307444.79666666669</v>
      </c>
      <c r="H8" s="507">
        <f t="shared" si="8"/>
        <v>338189.2763333334</v>
      </c>
      <c r="I8" s="507">
        <f t="shared" si="8"/>
        <v>276700.31700000004</v>
      </c>
      <c r="J8" s="507">
        <f t="shared" si="8"/>
        <v>307444.79666666669</v>
      </c>
      <c r="K8" s="507">
        <f t="shared" si="8"/>
        <v>338189.2763333334</v>
      </c>
      <c r="L8" s="507">
        <f t="shared" si="8"/>
        <v>276700.31700000004</v>
      </c>
      <c r="M8" s="507">
        <f t="shared" si="8"/>
        <v>307444.79666666669</v>
      </c>
      <c r="N8" s="507">
        <f t="shared" si="8"/>
        <v>338189.2763333334</v>
      </c>
      <c r="O8" s="502">
        <f t="shared" si="0"/>
        <v>3620003.1700000004</v>
      </c>
      <c r="P8" s="145">
        <f>SUM(P3:P7)</f>
        <v>1714243.9266000001</v>
      </c>
      <c r="Q8" s="266">
        <f t="shared" si="1"/>
        <v>0.47354763134088634</v>
      </c>
      <c r="R8" s="463">
        <v>100</v>
      </c>
      <c r="S8" s="463">
        <v>100</v>
      </c>
    </row>
    <row r="9" spans="1:25" ht="13.2">
      <c r="A9" s="817"/>
      <c r="B9" s="817"/>
      <c r="C9" s="817"/>
      <c r="D9" s="817"/>
      <c r="E9" s="817"/>
      <c r="F9" s="817"/>
      <c r="G9" s="817"/>
      <c r="H9" s="817"/>
      <c r="I9" s="817"/>
      <c r="J9" s="817"/>
      <c r="K9" s="817"/>
      <c r="L9" s="817"/>
      <c r="M9" s="817"/>
      <c r="N9" s="817"/>
      <c r="O9" s="817"/>
    </row>
    <row r="10" spans="1:25">
      <c r="N10" s="130"/>
      <c r="O10" s="503"/>
    </row>
    <row r="12" spans="1:25">
      <c r="A12" s="312"/>
      <c r="B12" s="817" t="s">
        <v>111</v>
      </c>
      <c r="C12" s="817"/>
      <c r="D12" s="817" t="s">
        <v>112</v>
      </c>
      <c r="E12" s="817"/>
      <c r="F12" s="817" t="s">
        <v>113</v>
      </c>
      <c r="G12" s="817"/>
      <c r="H12" s="817" t="s">
        <v>15</v>
      </c>
      <c r="I12" s="817"/>
      <c r="J12" s="817" t="s">
        <v>135</v>
      </c>
      <c r="K12" s="817"/>
      <c r="L12" s="817" t="s">
        <v>17</v>
      </c>
      <c r="M12" s="817"/>
      <c r="N12" s="817" t="s">
        <v>139</v>
      </c>
      <c r="O12" s="817"/>
      <c r="P12" s="817" t="s">
        <v>140</v>
      </c>
      <c r="Q12" s="817"/>
      <c r="R12" s="817" t="s">
        <v>18</v>
      </c>
      <c r="S12" s="817"/>
      <c r="T12" s="817" t="s">
        <v>19</v>
      </c>
      <c r="U12" s="817"/>
      <c r="V12" s="817" t="s">
        <v>20</v>
      </c>
      <c r="W12" s="817"/>
      <c r="X12" s="817" t="s">
        <v>21</v>
      </c>
      <c r="Y12" s="817"/>
    </row>
    <row r="13" spans="1:25" ht="14.4">
      <c r="A13" s="312"/>
      <c r="B13" s="241" t="s">
        <v>114</v>
      </c>
      <c r="C13" s="241" t="s">
        <v>109</v>
      </c>
      <c r="D13" s="241" t="s">
        <v>114</v>
      </c>
      <c r="E13" s="241" t="s">
        <v>109</v>
      </c>
      <c r="F13" s="241" t="s">
        <v>114</v>
      </c>
      <c r="G13" s="241" t="s">
        <v>109</v>
      </c>
      <c r="H13" s="83" t="s">
        <v>114</v>
      </c>
      <c r="I13" s="83" t="s">
        <v>109</v>
      </c>
      <c r="J13" s="83" t="s">
        <v>114</v>
      </c>
      <c r="K13" s="455" t="s">
        <v>109</v>
      </c>
      <c r="L13" s="455" t="s">
        <v>114</v>
      </c>
      <c r="M13" s="83" t="s">
        <v>109</v>
      </c>
      <c r="N13" s="83" t="s">
        <v>114</v>
      </c>
      <c r="O13" s="83" t="s">
        <v>109</v>
      </c>
      <c r="P13" s="83" t="s">
        <v>114</v>
      </c>
      <c r="Q13" s="83" t="s">
        <v>109</v>
      </c>
      <c r="R13" s="83" t="s">
        <v>114</v>
      </c>
      <c r="S13" s="83" t="s">
        <v>109</v>
      </c>
      <c r="T13" s="753" t="s">
        <v>114</v>
      </c>
      <c r="U13" s="753" t="s">
        <v>109</v>
      </c>
      <c r="V13" s="753" t="s">
        <v>114</v>
      </c>
      <c r="W13" s="753" t="s">
        <v>109</v>
      </c>
      <c r="X13" s="753" t="s">
        <v>114</v>
      </c>
      <c r="Y13" s="753" t="s">
        <v>109</v>
      </c>
    </row>
    <row r="14" spans="1:25" ht="14.4">
      <c r="A14" s="273" t="s">
        <v>163</v>
      </c>
      <c r="B14" s="267">
        <f>B31</f>
        <v>0</v>
      </c>
      <c r="C14" s="268">
        <f>C31</f>
        <v>47400</v>
      </c>
      <c r="D14" s="268">
        <f t="shared" ref="D14:F14" si="9">D31</f>
        <v>0</v>
      </c>
      <c r="E14" s="268">
        <f t="shared" si="9"/>
        <v>52666.666666666664</v>
      </c>
      <c r="F14" s="268">
        <f t="shared" si="9"/>
        <v>0</v>
      </c>
      <c r="G14" s="268">
        <f>G31</f>
        <v>57933.333333333336</v>
      </c>
      <c r="H14" s="260">
        <f>B40</f>
        <v>0</v>
      </c>
      <c r="I14" s="260">
        <f t="shared" ref="I14:M14" si="10">C40</f>
        <v>51700.127999999997</v>
      </c>
      <c r="J14" s="260">
        <f t="shared" si="10"/>
        <v>0</v>
      </c>
      <c r="K14" s="456">
        <f t="shared" si="10"/>
        <v>57444.586666666662</v>
      </c>
      <c r="L14" s="456">
        <f t="shared" si="10"/>
        <v>0</v>
      </c>
      <c r="M14" s="260">
        <f t="shared" si="10"/>
        <v>63189.045333333335</v>
      </c>
      <c r="N14" s="154">
        <f>B50</f>
        <v>0</v>
      </c>
      <c r="O14" s="154">
        <f t="shared" ref="O14:S14" si="11">C50</f>
        <v>51700.127999999997</v>
      </c>
      <c r="P14" s="154">
        <f t="shared" si="11"/>
        <v>0</v>
      </c>
      <c r="Q14" s="154">
        <f t="shared" si="11"/>
        <v>57444.586666666662</v>
      </c>
      <c r="R14" s="154">
        <f t="shared" si="11"/>
        <v>0</v>
      </c>
      <c r="S14" s="154">
        <f t="shared" si="11"/>
        <v>63189.045333333335</v>
      </c>
      <c r="T14" s="154">
        <f t="shared" ref="T14:Y14" si="12">B59</f>
        <v>0</v>
      </c>
      <c r="U14" s="154">
        <f t="shared" si="12"/>
        <v>51700.127999999997</v>
      </c>
      <c r="V14" s="154">
        <f t="shared" si="12"/>
        <v>0</v>
      </c>
      <c r="W14" s="154">
        <f t="shared" si="12"/>
        <v>57444.586666666662</v>
      </c>
      <c r="X14" s="154">
        <f t="shared" si="12"/>
        <v>0</v>
      </c>
      <c r="Y14" s="154">
        <f t="shared" si="12"/>
        <v>63189.045333333335</v>
      </c>
    </row>
    <row r="15" spans="1:25" ht="14.4">
      <c r="A15" s="273" t="s">
        <v>192</v>
      </c>
      <c r="B15" s="268">
        <f t="shared" ref="B15:G15" si="13">B32</f>
        <v>0</v>
      </c>
      <c r="C15" s="268">
        <f t="shared" si="13"/>
        <v>16800</v>
      </c>
      <c r="D15" s="268">
        <f t="shared" si="13"/>
        <v>0</v>
      </c>
      <c r="E15" s="268">
        <f t="shared" si="13"/>
        <v>18666.666666666668</v>
      </c>
      <c r="F15" s="268">
        <f t="shared" si="13"/>
        <v>0</v>
      </c>
      <c r="G15" s="268">
        <f t="shared" si="13"/>
        <v>20533.333333333336</v>
      </c>
      <c r="H15" s="260">
        <f t="shared" ref="H15:M15" si="14">B41</f>
        <v>0</v>
      </c>
      <c r="I15" s="260">
        <f t="shared" si="14"/>
        <v>16800</v>
      </c>
      <c r="J15" s="260">
        <f t="shared" si="14"/>
        <v>0</v>
      </c>
      <c r="K15" s="456">
        <f t="shared" si="14"/>
        <v>18666.666666666668</v>
      </c>
      <c r="L15" s="456">
        <f t="shared" si="14"/>
        <v>0</v>
      </c>
      <c r="M15" s="260">
        <f t="shared" si="14"/>
        <v>20533.333333333336</v>
      </c>
      <c r="N15" s="154">
        <f>B51</f>
        <v>0</v>
      </c>
      <c r="O15" s="154">
        <f>C51</f>
        <v>16800</v>
      </c>
      <c r="P15" s="154">
        <f>D51</f>
        <v>0</v>
      </c>
      <c r="Q15" s="154">
        <f>E51</f>
        <v>18666.666666666668</v>
      </c>
      <c r="R15" s="154">
        <f>F51</f>
        <v>0</v>
      </c>
      <c r="S15" s="154">
        <f>G51</f>
        <v>20533.333333333336</v>
      </c>
      <c r="T15" s="154">
        <f t="shared" ref="T15:T18" si="15">B60</f>
        <v>0</v>
      </c>
      <c r="U15" s="154">
        <f t="shared" ref="U15:U18" si="16">C60</f>
        <v>16800</v>
      </c>
      <c r="V15" s="154">
        <f t="shared" ref="V15:V18" si="17">D60</f>
        <v>0</v>
      </c>
      <c r="W15" s="154">
        <f t="shared" ref="W15:W18" si="18">E60</f>
        <v>18666.666666666668</v>
      </c>
      <c r="X15" s="154">
        <f t="shared" ref="X15:X18" si="19">F60</f>
        <v>0</v>
      </c>
      <c r="Y15" s="154">
        <f t="shared" ref="Y15:Y18" si="20">G60</f>
        <v>20533.333333333336</v>
      </c>
    </row>
    <row r="16" spans="1:25" ht="14.4">
      <c r="A16" s="273" t="s">
        <v>164</v>
      </c>
      <c r="B16" s="268">
        <f t="shared" ref="B16:G16" si="21">B33</f>
        <v>0</v>
      </c>
      <c r="C16" s="268">
        <f t="shared" si="21"/>
        <v>67800</v>
      </c>
      <c r="D16" s="268">
        <f t="shared" si="21"/>
        <v>0</v>
      </c>
      <c r="E16" s="268">
        <f t="shared" si="21"/>
        <v>75333.333333333328</v>
      </c>
      <c r="F16" s="268">
        <f t="shared" si="21"/>
        <v>0</v>
      </c>
      <c r="G16" s="268">
        <f t="shared" si="21"/>
        <v>82866.666666666672</v>
      </c>
      <c r="H16" s="260">
        <f t="shared" ref="H16:M18" si="22">B42</f>
        <v>0</v>
      </c>
      <c r="I16" s="260">
        <f t="shared" si="22"/>
        <v>77300.135999999999</v>
      </c>
      <c r="J16" s="260">
        <f t="shared" si="22"/>
        <v>0</v>
      </c>
      <c r="K16" s="456">
        <f t="shared" si="22"/>
        <v>85889.04</v>
      </c>
      <c r="L16" s="456">
        <f>F42</f>
        <v>0</v>
      </c>
      <c r="M16" s="260">
        <f t="shared" si="22"/>
        <v>94477.944000000003</v>
      </c>
      <c r="N16" s="154">
        <f t="shared" ref="N16:S18" si="23">B52</f>
        <v>0</v>
      </c>
      <c r="O16" s="154">
        <f t="shared" si="23"/>
        <v>77300.135999999999</v>
      </c>
      <c r="P16" s="154">
        <f t="shared" si="23"/>
        <v>0</v>
      </c>
      <c r="Q16" s="154">
        <f t="shared" si="23"/>
        <v>85889.04</v>
      </c>
      <c r="R16" s="154">
        <f t="shared" si="23"/>
        <v>0</v>
      </c>
      <c r="S16" s="154">
        <f t="shared" si="23"/>
        <v>94477.944000000003</v>
      </c>
      <c r="T16" s="154">
        <f t="shared" si="15"/>
        <v>0</v>
      </c>
      <c r="U16" s="154">
        <f t="shared" si="16"/>
        <v>77300.135999999999</v>
      </c>
      <c r="V16" s="154">
        <f t="shared" si="17"/>
        <v>0</v>
      </c>
      <c r="W16" s="154">
        <f t="shared" si="18"/>
        <v>85889.04</v>
      </c>
      <c r="X16" s="154">
        <f t="shared" si="19"/>
        <v>0</v>
      </c>
      <c r="Y16" s="154">
        <f t="shared" si="20"/>
        <v>94477.944000000003</v>
      </c>
    </row>
    <row r="17" spans="1:25" ht="14.4">
      <c r="A17" s="273" t="s">
        <v>165</v>
      </c>
      <c r="B17" s="268">
        <f t="shared" ref="B17:G17" si="24">B34</f>
        <v>0</v>
      </c>
      <c r="C17" s="268">
        <f t="shared" si="24"/>
        <v>67800</v>
      </c>
      <c r="D17" s="268">
        <f t="shared" si="24"/>
        <v>0</v>
      </c>
      <c r="E17" s="268">
        <f t="shared" si="24"/>
        <v>75333.333333333328</v>
      </c>
      <c r="F17" s="268">
        <f t="shared" si="24"/>
        <v>0</v>
      </c>
      <c r="G17" s="268">
        <f t="shared" si="24"/>
        <v>82866.666666666672</v>
      </c>
      <c r="H17" s="260">
        <f t="shared" si="22"/>
        <v>0</v>
      </c>
      <c r="I17" s="260">
        <f t="shared" si="22"/>
        <v>70400.130000000019</v>
      </c>
      <c r="J17" s="260">
        <f t="shared" si="22"/>
        <v>0</v>
      </c>
      <c r="K17" s="456">
        <f t="shared" si="22"/>
        <v>78222.366666666683</v>
      </c>
      <c r="L17" s="456">
        <f t="shared" si="22"/>
        <v>0</v>
      </c>
      <c r="M17" s="260">
        <f t="shared" si="22"/>
        <v>86044.603333333362</v>
      </c>
      <c r="N17" s="154">
        <f t="shared" si="23"/>
        <v>0</v>
      </c>
      <c r="O17" s="154">
        <f t="shared" si="23"/>
        <v>70400.130000000019</v>
      </c>
      <c r="P17" s="154">
        <f t="shared" si="23"/>
        <v>0</v>
      </c>
      <c r="Q17" s="154">
        <f t="shared" si="23"/>
        <v>78222.366666666683</v>
      </c>
      <c r="R17" s="154">
        <f t="shared" si="23"/>
        <v>0</v>
      </c>
      <c r="S17" s="154">
        <f t="shared" si="23"/>
        <v>86044.603333333362</v>
      </c>
      <c r="T17" s="154">
        <f t="shared" si="15"/>
        <v>0</v>
      </c>
      <c r="U17" s="154">
        <f t="shared" si="16"/>
        <v>70400.130000000019</v>
      </c>
      <c r="V17" s="154">
        <f t="shared" si="17"/>
        <v>0</v>
      </c>
      <c r="W17" s="154">
        <f t="shared" si="18"/>
        <v>78222.366666666683</v>
      </c>
      <c r="X17" s="154">
        <f t="shared" si="19"/>
        <v>0</v>
      </c>
      <c r="Y17" s="154">
        <f t="shared" si="20"/>
        <v>86044.603333333362</v>
      </c>
    </row>
    <row r="18" spans="1:25" ht="14.4">
      <c r="A18" s="273" t="s">
        <v>166</v>
      </c>
      <c r="B18" s="268">
        <f t="shared" ref="B18:G18" si="25">B35</f>
        <v>0</v>
      </c>
      <c r="C18" s="268">
        <f t="shared" si="25"/>
        <v>56100</v>
      </c>
      <c r="D18" s="268">
        <f t="shared" si="25"/>
        <v>0</v>
      </c>
      <c r="E18" s="268">
        <f t="shared" si="25"/>
        <v>62333.333333333336</v>
      </c>
      <c r="F18" s="268">
        <f t="shared" si="25"/>
        <v>0</v>
      </c>
      <c r="G18" s="268">
        <f t="shared" si="25"/>
        <v>68566.666666666672</v>
      </c>
      <c r="H18" s="260">
        <f t="shared" si="22"/>
        <v>0</v>
      </c>
      <c r="I18" s="260">
        <f t="shared" si="22"/>
        <v>60499.92300000001</v>
      </c>
      <c r="J18" s="260">
        <f t="shared" si="22"/>
        <v>0</v>
      </c>
      <c r="K18" s="456">
        <f t="shared" si="22"/>
        <v>67222.136666666673</v>
      </c>
      <c r="L18" s="456">
        <f t="shared" si="22"/>
        <v>0</v>
      </c>
      <c r="M18" s="260">
        <f t="shared" si="22"/>
        <v>73944.35033333335</v>
      </c>
      <c r="N18" s="154">
        <f t="shared" si="23"/>
        <v>0</v>
      </c>
      <c r="O18" s="154">
        <f t="shared" si="23"/>
        <v>60499.92300000001</v>
      </c>
      <c r="P18" s="154">
        <f t="shared" si="23"/>
        <v>0</v>
      </c>
      <c r="Q18" s="154">
        <f t="shared" si="23"/>
        <v>67222.136666666673</v>
      </c>
      <c r="R18" s="154">
        <f t="shared" si="23"/>
        <v>0</v>
      </c>
      <c r="S18" s="154">
        <f t="shared" si="23"/>
        <v>73944.35033333335</v>
      </c>
      <c r="T18" s="154">
        <f t="shared" si="15"/>
        <v>0</v>
      </c>
      <c r="U18" s="154">
        <f t="shared" si="16"/>
        <v>60499.92300000001</v>
      </c>
      <c r="V18" s="154">
        <f t="shared" si="17"/>
        <v>0</v>
      </c>
      <c r="W18" s="154">
        <f t="shared" si="18"/>
        <v>67222.136666666673</v>
      </c>
      <c r="X18" s="154">
        <f t="shared" si="19"/>
        <v>0</v>
      </c>
      <c r="Y18" s="154">
        <f t="shared" si="20"/>
        <v>73944.35033333335</v>
      </c>
    </row>
    <row r="19" spans="1:25" ht="14.4">
      <c r="A19" s="312"/>
      <c r="B19" s="154"/>
      <c r="C19" s="154"/>
      <c r="D19" s="154"/>
      <c r="E19" s="154"/>
      <c r="F19" s="154"/>
      <c r="G19" s="154"/>
      <c r="H19" s="260"/>
      <c r="I19" s="260"/>
      <c r="J19" s="260"/>
      <c r="K19" s="456"/>
      <c r="L19" s="456"/>
      <c r="M19" s="260"/>
    </row>
    <row r="21" spans="1:25">
      <c r="B21" s="129" t="s">
        <v>77</v>
      </c>
      <c r="C21" s="129" t="s">
        <v>78</v>
      </c>
      <c r="D21" s="129" t="s">
        <v>79</v>
      </c>
      <c r="E21" s="129" t="s">
        <v>80</v>
      </c>
      <c r="F21" s="129" t="s">
        <v>81</v>
      </c>
      <c r="G21" s="129" t="s">
        <v>82</v>
      </c>
      <c r="H21" s="129" t="s">
        <v>83</v>
      </c>
      <c r="I21" s="129" t="s">
        <v>84</v>
      </c>
      <c r="J21" s="129" t="s">
        <v>85</v>
      </c>
      <c r="K21" s="129" t="s">
        <v>86</v>
      </c>
      <c r="L21" s="129" t="s">
        <v>87</v>
      </c>
      <c r="M21" s="129" t="s">
        <v>88</v>
      </c>
    </row>
    <row r="22" spans="1:25">
      <c r="A22" s="313" t="s">
        <v>109</v>
      </c>
      <c r="B22" s="500">
        <f t="shared" ref="B22:M22" si="26">C8</f>
        <v>255900</v>
      </c>
      <c r="C22" s="500">
        <f t="shared" si="26"/>
        <v>284333.33333333331</v>
      </c>
      <c r="D22" s="500">
        <f t="shared" si="26"/>
        <v>312766.66666666669</v>
      </c>
      <c r="E22" s="500">
        <f t="shared" si="26"/>
        <v>276700.31700000004</v>
      </c>
      <c r="F22" s="500">
        <f t="shared" si="26"/>
        <v>307444.79666666669</v>
      </c>
      <c r="G22" s="500">
        <f t="shared" si="26"/>
        <v>338189.2763333334</v>
      </c>
      <c r="H22" s="500">
        <f t="shared" si="26"/>
        <v>276700.31700000004</v>
      </c>
      <c r="I22" s="500">
        <f t="shared" si="26"/>
        <v>307444.79666666669</v>
      </c>
      <c r="J22" s="500">
        <f t="shared" si="26"/>
        <v>338189.2763333334</v>
      </c>
      <c r="K22" s="501">
        <f t="shared" si="26"/>
        <v>276700.31700000004</v>
      </c>
      <c r="L22" s="501">
        <f t="shared" si="26"/>
        <v>307444.79666666669</v>
      </c>
      <c r="M22" s="500">
        <f t="shared" si="26"/>
        <v>338189.2763333334</v>
      </c>
      <c r="N22" s="506">
        <f>SUM(B22:M22)</f>
        <v>3620003.1700000004</v>
      </c>
      <c r="O22" s="503">
        <f>N22/12</f>
        <v>301666.93083333335</v>
      </c>
    </row>
    <row r="23" spans="1:25">
      <c r="A23" s="313" t="s">
        <v>114</v>
      </c>
      <c r="B23" s="500">
        <f t="shared" ref="B23:D23" si="27">B22*100/35.5</f>
        <v>720845.07042253518</v>
      </c>
      <c r="C23" s="500">
        <f t="shared" si="27"/>
        <v>800938.96713615023</v>
      </c>
      <c r="D23" s="500">
        <f t="shared" si="27"/>
        <v>881032.86384976527</v>
      </c>
      <c r="E23" s="500">
        <f t="shared" ref="E23:M23" si="28">E22*100/37</f>
        <v>747838.69459459465</v>
      </c>
      <c r="F23" s="500">
        <f t="shared" si="28"/>
        <v>830931.88288288296</v>
      </c>
      <c r="G23" s="500">
        <f t="shared" si="28"/>
        <v>914025.07117117138</v>
      </c>
      <c r="H23" s="500">
        <f t="shared" si="28"/>
        <v>747838.69459459465</v>
      </c>
      <c r="I23" s="500">
        <f t="shared" si="28"/>
        <v>830931.88288288296</v>
      </c>
      <c r="J23" s="500">
        <f t="shared" si="28"/>
        <v>914025.07117117138</v>
      </c>
      <c r="K23" s="500">
        <f t="shared" si="28"/>
        <v>747838.69459459465</v>
      </c>
      <c r="L23" s="500">
        <f t="shared" si="28"/>
        <v>830931.88288288296</v>
      </c>
      <c r="M23" s="500">
        <f t="shared" si="28"/>
        <v>914025.07117117138</v>
      </c>
      <c r="N23" s="506">
        <f>SUM(B23:M23)</f>
        <v>9881203.8473543972</v>
      </c>
      <c r="O23" s="503">
        <f>N23/12</f>
        <v>823433.6539461998</v>
      </c>
    </row>
    <row r="25" spans="1:25">
      <c r="B25" s="818"/>
      <c r="C25" s="818"/>
      <c r="D25" s="818" t="s">
        <v>131</v>
      </c>
      <c r="E25" s="818"/>
      <c r="F25" s="818" t="s">
        <v>132</v>
      </c>
      <c r="G25" s="818"/>
      <c r="H25" s="818" t="s">
        <v>124</v>
      </c>
      <c r="I25" s="818"/>
    </row>
    <row r="26" spans="1:25" ht="13.2">
      <c r="A26" s="505" t="s">
        <v>109</v>
      </c>
      <c r="B26" s="754">
        <f>DH!R3</f>
        <v>3447078.5200000005</v>
      </c>
      <c r="C26" s="754"/>
      <c r="D26" s="754">
        <f>F26*0.95</f>
        <v>3439003.0115</v>
      </c>
      <c r="E26" s="755">
        <f>D26/B26-1</f>
        <v>-2.3427109226396015E-3</v>
      </c>
      <c r="F26" s="754">
        <f>N22</f>
        <v>3620003.1700000004</v>
      </c>
      <c r="G26" s="755">
        <f>F26/B26-1</f>
        <v>5.0165567449853121E-2</v>
      </c>
      <c r="H26" s="754">
        <f>F26*1.05</f>
        <v>3801003.3285000008</v>
      </c>
      <c r="I26" s="755">
        <f>H26/B26-1</f>
        <v>0.10267384582234595</v>
      </c>
      <c r="J26" s="130">
        <f>H26/4</f>
        <v>950250.83212500019</v>
      </c>
      <c r="K26" s="457"/>
      <c r="L26" s="458"/>
      <c r="M26" s="243"/>
      <c r="N26" s="243"/>
    </row>
    <row r="27" spans="1:25" ht="13.2">
      <c r="A27" s="505" t="s">
        <v>114</v>
      </c>
      <c r="B27" s="754">
        <f>DH!R16</f>
        <v>9331337.3499999996</v>
      </c>
      <c r="C27" s="754"/>
      <c r="D27" s="754">
        <f>F27*0.95</f>
        <v>9387143.6549866777</v>
      </c>
      <c r="E27" s="755">
        <f>D27/B27-1</f>
        <v>5.980525930367131E-3</v>
      </c>
      <c r="F27" s="754">
        <f>N23</f>
        <v>9881203.8473543972</v>
      </c>
      <c r="G27" s="755">
        <f>F27/B27-1</f>
        <v>5.8926869400386384E-2</v>
      </c>
      <c r="H27" s="754">
        <f>F27*1.05</f>
        <v>10375264.039722117</v>
      </c>
      <c r="I27" s="755">
        <f>H27/B27-1</f>
        <v>0.11187321287040564</v>
      </c>
      <c r="J27" s="130">
        <f>H27/4</f>
        <v>2593816.0099305292</v>
      </c>
      <c r="K27" s="457"/>
      <c r="L27" s="458"/>
      <c r="M27" s="243"/>
      <c r="N27" s="243"/>
    </row>
    <row r="28" spans="1:25">
      <c r="J28" s="145">
        <f>F26/12</f>
        <v>301666.93083333335</v>
      </c>
    </row>
    <row r="29" spans="1:25" ht="14.4">
      <c r="A29" s="273"/>
      <c r="B29" s="816" t="s">
        <v>111</v>
      </c>
      <c r="C29" s="816"/>
      <c r="D29" s="816" t="s">
        <v>112</v>
      </c>
      <c r="E29" s="816"/>
      <c r="F29" s="816" t="s">
        <v>113</v>
      </c>
      <c r="G29" s="816"/>
      <c r="H29" s="816" t="s">
        <v>149</v>
      </c>
      <c r="I29" s="816"/>
      <c r="J29" s="145"/>
    </row>
    <row r="30" spans="1:25" ht="14.4">
      <c r="A30" s="273"/>
      <c r="B30" s="279" t="s">
        <v>114</v>
      </c>
      <c r="C30" s="279" t="s">
        <v>109</v>
      </c>
      <c r="D30" s="279" t="s">
        <v>114</v>
      </c>
      <c r="E30" s="279" t="s">
        <v>109</v>
      </c>
      <c r="F30" s="279" t="s">
        <v>114</v>
      </c>
      <c r="G30" s="279" t="s">
        <v>109</v>
      </c>
      <c r="H30" s="241" t="s">
        <v>114</v>
      </c>
      <c r="I30" s="241" t="s">
        <v>109</v>
      </c>
      <c r="J30" s="468" t="s">
        <v>226</v>
      </c>
      <c r="K30" s="464" t="s">
        <v>187</v>
      </c>
      <c r="L30" s="464" t="s">
        <v>188</v>
      </c>
      <c r="M30" s="463" t="s">
        <v>224</v>
      </c>
      <c r="N30" s="463" t="s">
        <v>225</v>
      </c>
      <c r="O30" s="721" t="s">
        <v>186</v>
      </c>
      <c r="P30" s="721" t="s">
        <v>185</v>
      </c>
    </row>
    <row r="31" spans="1:25">
      <c r="A31" s="273" t="s">
        <v>163</v>
      </c>
      <c r="B31" s="277"/>
      <c r="C31" s="274">
        <f>(I31/3)*0.9</f>
        <v>47400</v>
      </c>
      <c r="D31" s="277"/>
      <c r="E31" s="275">
        <f>I31/3</f>
        <v>52666.666666666664</v>
      </c>
      <c r="F31" s="277"/>
      <c r="G31" s="277">
        <f>I31/3*1.1</f>
        <v>57933.333333333336</v>
      </c>
      <c r="H31" s="277"/>
      <c r="I31" s="277">
        <v>158000</v>
      </c>
      <c r="J31" s="717">
        <f>I31/I36</f>
        <v>0.18522860492379836</v>
      </c>
      <c r="K31" s="465">
        <f>TOMEK!E6</f>
        <v>174069.15230000002</v>
      </c>
      <c r="L31" s="719">
        <f>K31/K36</f>
        <v>0.20286846013165077</v>
      </c>
      <c r="M31" s="469">
        <f>M36*J31</f>
        <v>5186.4009378663541</v>
      </c>
      <c r="N31" s="469">
        <f>N36/4</f>
        <v>7000</v>
      </c>
      <c r="O31" s="722">
        <v>6100</v>
      </c>
      <c r="P31" s="725">
        <f>O31/O36</f>
        <v>0.22181818181818183</v>
      </c>
      <c r="Q31" s="503">
        <f>O3*12%/12</f>
        <v>6750.0127999999995</v>
      </c>
    </row>
    <row r="32" spans="1:25">
      <c r="A32" s="273" t="s">
        <v>192</v>
      </c>
      <c r="B32" s="277"/>
      <c r="C32" s="274">
        <f>(I32/3)*0.9</f>
        <v>16800</v>
      </c>
      <c r="D32" s="277"/>
      <c r="E32" s="275">
        <f>I32/3</f>
        <v>18666.666666666668</v>
      </c>
      <c r="F32" s="277"/>
      <c r="G32" s="277">
        <f>I32/3*1.1</f>
        <v>20533.333333333336</v>
      </c>
      <c r="H32" s="277"/>
      <c r="I32" s="277">
        <v>56000</v>
      </c>
      <c r="J32" s="717">
        <f>I32/I36</f>
        <v>6.5650644783118411E-2</v>
      </c>
      <c r="K32" s="466">
        <f>RCKIK!E6</f>
        <v>30724.161099999998</v>
      </c>
      <c r="L32" s="719">
        <f>K32/K36</f>
        <v>3.5807397053623527E-2</v>
      </c>
      <c r="M32" s="469">
        <f>M36*J32</f>
        <v>1838.2180539273156</v>
      </c>
      <c r="N32" s="469"/>
      <c r="O32" s="723">
        <v>1400</v>
      </c>
      <c r="P32" s="725">
        <f>O32/O36</f>
        <v>5.0909090909090911E-2</v>
      </c>
      <c r="Q32" s="503">
        <f>O4*12%/12</f>
        <v>2240</v>
      </c>
    </row>
    <row r="33" spans="1:17">
      <c r="A33" s="273" t="s">
        <v>164</v>
      </c>
      <c r="B33" s="274"/>
      <c r="C33" s="274">
        <f t="shared" ref="C33:C35" si="29">(I33/3)*0.9</f>
        <v>67800</v>
      </c>
      <c r="D33" s="277"/>
      <c r="E33" s="275">
        <f t="shared" ref="E33:E35" si="30">I33/3</f>
        <v>75333.333333333328</v>
      </c>
      <c r="F33" s="277"/>
      <c r="G33" s="277">
        <f t="shared" ref="G33:G35" si="31">I33/3*1.1</f>
        <v>82866.666666666672</v>
      </c>
      <c r="H33" s="277"/>
      <c r="I33" s="277">
        <v>226000</v>
      </c>
      <c r="J33" s="717">
        <f>I33/I36</f>
        <v>0.26494724501758499</v>
      </c>
      <c r="K33" s="515">
        <f>BARTEK!E6</f>
        <v>240082.65630000003</v>
      </c>
      <c r="L33" s="719">
        <f>K33/K36</f>
        <v>0.2798037340008197</v>
      </c>
      <c r="M33" s="469">
        <f>M36*J33</f>
        <v>7418.5228604923796</v>
      </c>
      <c r="N33" s="469">
        <f>N36/4</f>
        <v>7000</v>
      </c>
      <c r="O33" s="722">
        <v>6400</v>
      </c>
      <c r="P33" s="725">
        <f>O33/O36</f>
        <v>0.23272727272727273</v>
      </c>
      <c r="Q33" s="503">
        <f>O5*12%/12</f>
        <v>9990.013600000002</v>
      </c>
    </row>
    <row r="34" spans="1:17">
      <c r="A34" s="273" t="s">
        <v>165</v>
      </c>
      <c r="B34" s="274"/>
      <c r="C34" s="274">
        <f t="shared" si="29"/>
        <v>67800</v>
      </c>
      <c r="D34" s="277"/>
      <c r="E34" s="275">
        <f t="shared" si="30"/>
        <v>75333.333333333328</v>
      </c>
      <c r="F34" s="277"/>
      <c r="G34" s="277">
        <f t="shared" si="31"/>
        <v>82866.666666666672</v>
      </c>
      <c r="H34" s="277"/>
      <c r="I34" s="277">
        <v>226000</v>
      </c>
      <c r="J34" s="717">
        <f>I34/I36</f>
        <v>0.26494724501758499</v>
      </c>
      <c r="K34" s="465">
        <f>PIOTR!E6</f>
        <v>215558.04690000002</v>
      </c>
      <c r="L34" s="719">
        <f>K34/K36</f>
        <v>0.25122158903964031</v>
      </c>
      <c r="M34" s="469">
        <f>M36*J34</f>
        <v>7418.5228604923796</v>
      </c>
      <c r="N34" s="469">
        <f>N36/4</f>
        <v>7000</v>
      </c>
      <c r="O34" s="722">
        <v>7200</v>
      </c>
      <c r="P34" s="725">
        <f>O34/O36</f>
        <v>0.26181818181818184</v>
      </c>
      <c r="Q34" s="503">
        <f>O6*12%/12</f>
        <v>9300.0130000000026</v>
      </c>
    </row>
    <row r="35" spans="1:17">
      <c r="A35" s="273" t="s">
        <v>166</v>
      </c>
      <c r="B35" s="274"/>
      <c r="C35" s="274">
        <f t="shared" si="29"/>
        <v>56100</v>
      </c>
      <c r="D35" s="277"/>
      <c r="E35" s="275">
        <f t="shared" si="30"/>
        <v>62333.333333333336</v>
      </c>
      <c r="F35" s="277"/>
      <c r="G35" s="277">
        <f t="shared" si="31"/>
        <v>68566.666666666672</v>
      </c>
      <c r="H35" s="277"/>
      <c r="I35" s="277">
        <v>187000</v>
      </c>
      <c r="J35" s="717">
        <f>I35/I36</f>
        <v>0.21922626025791325</v>
      </c>
      <c r="K35" s="465">
        <f>KRZYSZTOF!E6</f>
        <v>197605.48440000002</v>
      </c>
      <c r="L35" s="719">
        <f>K35/K36</f>
        <v>0.23029881977426589</v>
      </c>
      <c r="M35" s="469">
        <f>M36*J35</f>
        <v>6138.335287221571</v>
      </c>
      <c r="N35" s="469">
        <f>N36/4</f>
        <v>7000</v>
      </c>
      <c r="O35" s="722">
        <v>6400</v>
      </c>
      <c r="P35" s="725">
        <f>O35/O36</f>
        <v>0.23272727272727273</v>
      </c>
      <c r="Q35" s="503">
        <f>O7*12%/12</f>
        <v>7919.9923000000008</v>
      </c>
    </row>
    <row r="36" spans="1:17" ht="14.4">
      <c r="A36" s="273" t="s">
        <v>142</v>
      </c>
      <c r="B36" s="235"/>
      <c r="C36" s="235"/>
      <c r="D36" s="235"/>
      <c r="E36" s="235"/>
      <c r="F36" s="235"/>
      <c r="G36" s="235"/>
      <c r="H36" s="236"/>
      <c r="I36" s="236">
        <f>SUM(I31:I35)</f>
        <v>853000</v>
      </c>
      <c r="J36" s="718">
        <v>1</v>
      </c>
      <c r="K36" s="467">
        <f>SUM(K31:K35)</f>
        <v>858039.50099999993</v>
      </c>
      <c r="L36" s="720">
        <v>1</v>
      </c>
      <c r="M36" s="469">
        <v>28000</v>
      </c>
      <c r="N36" s="469">
        <v>28000</v>
      </c>
      <c r="O36" s="724">
        <f>SUM(O31:O35)</f>
        <v>27500</v>
      </c>
      <c r="P36" s="726">
        <v>1</v>
      </c>
    </row>
    <row r="37" spans="1:17">
      <c r="J37" s="463"/>
      <c r="K37" s="464"/>
      <c r="L37" s="464"/>
      <c r="M37" s="463"/>
      <c r="N37" s="463"/>
    </row>
    <row r="38" spans="1:17">
      <c r="A38" s="271"/>
      <c r="B38" s="815" t="s">
        <v>153</v>
      </c>
      <c r="C38" s="814"/>
      <c r="D38" s="815" t="s">
        <v>154</v>
      </c>
      <c r="E38" s="814"/>
      <c r="F38" s="815" t="s">
        <v>155</v>
      </c>
      <c r="G38" s="814"/>
      <c r="H38" s="815" t="s">
        <v>152</v>
      </c>
      <c r="I38" s="814"/>
      <c r="J38" s="463"/>
      <c r="K38" s="464"/>
      <c r="L38" s="464"/>
      <c r="M38" s="463"/>
      <c r="N38" s="463"/>
    </row>
    <row r="39" spans="1:17" ht="14.4">
      <c r="A39" s="271"/>
      <c r="B39" s="272" t="s">
        <v>114</v>
      </c>
      <c r="C39" s="272" t="s">
        <v>109</v>
      </c>
      <c r="D39" s="279" t="s">
        <v>114</v>
      </c>
      <c r="E39" s="279" t="s">
        <v>109</v>
      </c>
      <c r="F39" s="279" t="s">
        <v>114</v>
      </c>
      <c r="G39" s="279" t="s">
        <v>109</v>
      </c>
      <c r="H39" s="504" t="s">
        <v>114</v>
      </c>
      <c r="I39" s="504" t="s">
        <v>109</v>
      </c>
      <c r="J39" s="468" t="s">
        <v>226</v>
      </c>
      <c r="K39" s="464" t="s">
        <v>187</v>
      </c>
      <c r="L39" s="464" t="s">
        <v>188</v>
      </c>
      <c r="M39" s="463" t="s">
        <v>224</v>
      </c>
      <c r="N39" s="463" t="s">
        <v>225</v>
      </c>
      <c r="O39" s="721" t="s">
        <v>186</v>
      </c>
    </row>
    <row r="40" spans="1:17">
      <c r="A40" s="273" t="s">
        <v>163</v>
      </c>
      <c r="B40" s="277"/>
      <c r="C40" s="274">
        <f>(I40/3)*0.9</f>
        <v>51700.127999999997</v>
      </c>
      <c r="D40" s="277"/>
      <c r="E40" s="275">
        <f>I40/3</f>
        <v>57444.586666666662</v>
      </c>
      <c r="F40" s="277"/>
      <c r="G40" s="277">
        <f>I40/3*1.1</f>
        <v>63189.045333333335</v>
      </c>
      <c r="H40" s="277"/>
      <c r="I40" s="277">
        <f>I31*1.09072</f>
        <v>172333.75999999998</v>
      </c>
      <c r="J40" s="717">
        <f>I40/I45</f>
        <v>0.18684520697531398</v>
      </c>
      <c r="K40" s="465">
        <f>TOMEK!I6</f>
        <v>142490.2579</v>
      </c>
      <c r="L40" s="719">
        <f>K40/K45</f>
        <v>0.16642083787425824</v>
      </c>
      <c r="M40" s="469">
        <f>M45*J40</f>
        <v>5231.6657953087915</v>
      </c>
      <c r="N40" s="469">
        <f>N45/4</f>
        <v>7000</v>
      </c>
      <c r="O40" s="722">
        <v>6800</v>
      </c>
    </row>
    <row r="41" spans="1:17">
      <c r="A41" s="273" t="s">
        <v>192</v>
      </c>
      <c r="B41" s="277"/>
      <c r="C41" s="274">
        <f>(I41/3)*0.9</f>
        <v>16800</v>
      </c>
      <c r="D41" s="277"/>
      <c r="E41" s="275">
        <f>I41/3</f>
        <v>18666.666666666668</v>
      </c>
      <c r="F41" s="277"/>
      <c r="G41" s="277">
        <f>I41/3*1.1</f>
        <v>20533.333333333336</v>
      </c>
      <c r="H41" s="277"/>
      <c r="I41" s="277">
        <f>I32</f>
        <v>56000</v>
      </c>
      <c r="J41" s="717">
        <f>I41/I45</f>
        <v>6.0715506878150777E-2</v>
      </c>
      <c r="K41" s="466">
        <f>RCKIK!I6</f>
        <v>28272.901899999997</v>
      </c>
      <c r="L41" s="719">
        <f>K41/K45</f>
        <v>3.3021205047132608E-2</v>
      </c>
      <c r="M41" s="469">
        <f>M45*J41</f>
        <v>1700.0341925882217</v>
      </c>
      <c r="N41" s="469"/>
      <c r="O41" s="723">
        <v>1400</v>
      </c>
    </row>
    <row r="42" spans="1:17">
      <c r="A42" s="273" t="s">
        <v>164</v>
      </c>
      <c r="B42" s="274"/>
      <c r="C42" s="274">
        <f t="shared" ref="C42:C44" si="32">(I42/3)*0.9</f>
        <v>77300.135999999999</v>
      </c>
      <c r="D42" s="277"/>
      <c r="E42" s="275">
        <f t="shared" ref="E42:E44" si="33">I42/3</f>
        <v>85889.04</v>
      </c>
      <c r="F42" s="277"/>
      <c r="G42" s="277">
        <f t="shared" ref="G42:G44" si="34">I42/3*1.1</f>
        <v>94477.944000000003</v>
      </c>
      <c r="H42" s="277"/>
      <c r="I42" s="277">
        <f>I33*1.14012</f>
        <v>257667.12</v>
      </c>
      <c r="J42" s="717">
        <f>I42/I45</f>
        <v>0.27936410351130897</v>
      </c>
      <c r="K42" s="465">
        <f>BARTEK!I6</f>
        <v>260326.21100000001</v>
      </c>
      <c r="L42" s="719">
        <f>K42/K45</f>
        <v>0.30404679445282234</v>
      </c>
      <c r="M42" s="469">
        <f>M45*J42</f>
        <v>7822.1948983166512</v>
      </c>
      <c r="N42" s="469">
        <f>N45/4</f>
        <v>7000</v>
      </c>
      <c r="O42" s="722">
        <v>6800</v>
      </c>
    </row>
    <row r="43" spans="1:17">
      <c r="A43" s="273" t="s">
        <v>165</v>
      </c>
      <c r="B43" s="274"/>
      <c r="C43" s="274">
        <f t="shared" si="32"/>
        <v>70400.130000000019</v>
      </c>
      <c r="D43" s="277"/>
      <c r="E43" s="275">
        <f t="shared" si="33"/>
        <v>78222.366666666683</v>
      </c>
      <c r="F43" s="277"/>
      <c r="G43" s="277">
        <f t="shared" si="34"/>
        <v>86044.603333333362</v>
      </c>
      <c r="H43" s="277"/>
      <c r="I43" s="277">
        <f>I34*1.03835</f>
        <v>234667.10000000003</v>
      </c>
      <c r="J43" s="717">
        <f>I43/I45</f>
        <v>0.25442735578795889</v>
      </c>
      <c r="K43" s="465">
        <f>PIOTR!I6</f>
        <v>259625.74219999998</v>
      </c>
      <c r="L43" s="719">
        <f>K43/K45</f>
        <v>0.30322868515665846</v>
      </c>
      <c r="M43" s="469">
        <f>M45*J43</f>
        <v>7123.965962062849</v>
      </c>
      <c r="N43" s="469">
        <f>N45/4</f>
        <v>7000</v>
      </c>
      <c r="O43" s="722">
        <v>7500</v>
      </c>
    </row>
    <row r="44" spans="1:17">
      <c r="A44" s="273" t="s">
        <v>166</v>
      </c>
      <c r="B44" s="274"/>
      <c r="C44" s="274">
        <f t="shared" si="32"/>
        <v>60499.92300000001</v>
      </c>
      <c r="D44" s="277"/>
      <c r="E44" s="275">
        <f t="shared" si="33"/>
        <v>67222.136666666673</v>
      </c>
      <c r="F44" s="277"/>
      <c r="G44" s="277">
        <f t="shared" si="34"/>
        <v>73944.35033333335</v>
      </c>
      <c r="H44" s="277"/>
      <c r="I44" s="277">
        <f>I35*1.07843</f>
        <v>201666.41</v>
      </c>
      <c r="J44" s="717">
        <f>I44/I45</f>
        <v>0.21864782684726741</v>
      </c>
      <c r="K44" s="465">
        <f>KRZYSZTOF!I6</f>
        <v>165489.3126</v>
      </c>
      <c r="L44" s="719">
        <f>K44/K45</f>
        <v>0.19328247746912838</v>
      </c>
      <c r="M44" s="469">
        <f>M45*J44</f>
        <v>6122.1391517234879</v>
      </c>
      <c r="N44" s="469">
        <f>N45/4</f>
        <v>7000</v>
      </c>
      <c r="O44" s="722">
        <v>6800</v>
      </c>
    </row>
    <row r="45" spans="1:17" ht="14.4">
      <c r="A45" s="271" t="s">
        <v>142</v>
      </c>
      <c r="B45" s="235"/>
      <c r="C45" s="235"/>
      <c r="D45" s="235"/>
      <c r="E45" s="235"/>
      <c r="F45" s="235"/>
      <c r="G45" s="235"/>
      <c r="H45" s="236"/>
      <c r="I45" s="236">
        <f>SUM(I40:I44)</f>
        <v>922334.39</v>
      </c>
      <c r="J45" s="718">
        <v>1</v>
      </c>
      <c r="K45" s="467">
        <f>SUM(K40:K44)</f>
        <v>856204.42559999996</v>
      </c>
      <c r="L45" s="720">
        <v>1</v>
      </c>
      <c r="M45" s="469">
        <v>28000</v>
      </c>
      <c r="N45" s="469">
        <v>28000</v>
      </c>
      <c r="O45" s="724">
        <f>SUM(O40:O44)</f>
        <v>29300</v>
      </c>
    </row>
    <row r="46" spans="1:17">
      <c r="J46" s="463"/>
      <c r="K46" s="464"/>
      <c r="L46" s="464"/>
      <c r="M46" s="463"/>
      <c r="N46" s="463"/>
    </row>
    <row r="47" spans="1:17">
      <c r="J47" s="463"/>
      <c r="K47" s="464"/>
      <c r="L47" s="464"/>
      <c r="M47" s="463"/>
      <c r="N47" s="463"/>
    </row>
    <row r="48" spans="1:17">
      <c r="A48" s="312"/>
      <c r="B48" s="817" t="s">
        <v>7</v>
      </c>
      <c r="C48" s="817"/>
      <c r="D48" s="817" t="s">
        <v>8</v>
      </c>
      <c r="E48" s="817"/>
      <c r="F48" s="817" t="s">
        <v>9</v>
      </c>
      <c r="G48" s="817"/>
      <c r="H48" s="817" t="s">
        <v>141</v>
      </c>
      <c r="I48" s="817"/>
      <c r="J48" s="463"/>
      <c r="K48" s="464"/>
      <c r="L48" s="464"/>
      <c r="M48" s="463"/>
      <c r="N48" s="463"/>
    </row>
    <row r="49" spans="1:15">
      <c r="A49" s="312"/>
      <c r="B49" s="83" t="s">
        <v>114</v>
      </c>
      <c r="C49" s="83" t="s">
        <v>109</v>
      </c>
      <c r="D49" s="83" t="s">
        <v>114</v>
      </c>
      <c r="E49" s="83" t="s">
        <v>109</v>
      </c>
      <c r="F49" s="83" t="s">
        <v>114</v>
      </c>
      <c r="G49" s="83" t="s">
        <v>109</v>
      </c>
      <c r="H49" s="83" t="s">
        <v>114</v>
      </c>
      <c r="I49" s="83" t="s">
        <v>109</v>
      </c>
      <c r="J49" s="468" t="s">
        <v>226</v>
      </c>
      <c r="K49" s="464" t="s">
        <v>187</v>
      </c>
      <c r="L49" s="464" t="s">
        <v>188</v>
      </c>
      <c r="M49" s="463" t="s">
        <v>224</v>
      </c>
      <c r="N49" s="463" t="s">
        <v>225</v>
      </c>
      <c r="O49" s="721" t="s">
        <v>186</v>
      </c>
    </row>
    <row r="50" spans="1:15">
      <c r="A50" s="273" t="s">
        <v>163</v>
      </c>
      <c r="B50" s="277"/>
      <c r="C50" s="274">
        <f>(I50/3)*0.9</f>
        <v>51700.127999999997</v>
      </c>
      <c r="D50" s="277"/>
      <c r="E50" s="275">
        <f>I50/3</f>
        <v>57444.586666666662</v>
      </c>
      <c r="F50" s="277"/>
      <c r="G50" s="277">
        <f>I50/3*1.1</f>
        <v>63189.045333333335</v>
      </c>
      <c r="H50" s="277"/>
      <c r="I50" s="277">
        <f>I31*1.09072</f>
        <v>172333.75999999998</v>
      </c>
      <c r="J50" s="717">
        <f>I50/I55</f>
        <v>0.18684520697531398</v>
      </c>
      <c r="K50" s="465">
        <f>TOMEK!M6</f>
        <v>0</v>
      </c>
      <c r="L50" s="719" t="e">
        <f>K50/K55</f>
        <v>#DIV/0!</v>
      </c>
      <c r="M50" s="469">
        <f>M55*J50</f>
        <v>5231.6657953087915</v>
      </c>
      <c r="N50" s="469">
        <f>N55/4</f>
        <v>7000</v>
      </c>
      <c r="O50" s="722">
        <v>6800</v>
      </c>
    </row>
    <row r="51" spans="1:15">
      <c r="A51" s="273" t="s">
        <v>192</v>
      </c>
      <c r="B51" s="277"/>
      <c r="C51" s="274">
        <f>(I51/3)*0.9</f>
        <v>16800</v>
      </c>
      <c r="D51" s="277"/>
      <c r="E51" s="275">
        <f>I51/3</f>
        <v>18666.666666666668</v>
      </c>
      <c r="F51" s="277"/>
      <c r="G51" s="277">
        <f>I51/3*1.1</f>
        <v>20533.333333333336</v>
      </c>
      <c r="H51" s="277"/>
      <c r="I51" s="277">
        <f>I32</f>
        <v>56000</v>
      </c>
      <c r="J51" s="717">
        <f>I51/I55</f>
        <v>6.0715506878150777E-2</v>
      </c>
      <c r="K51" s="466">
        <f>RCKIK!M6</f>
        <v>0</v>
      </c>
      <c r="L51" s="719" t="e">
        <f>K51/K55</f>
        <v>#DIV/0!</v>
      </c>
      <c r="M51" s="469">
        <f>M55*J51</f>
        <v>1700.0341925882217</v>
      </c>
      <c r="N51" s="469"/>
      <c r="O51" s="723">
        <v>1400</v>
      </c>
    </row>
    <row r="52" spans="1:15">
      <c r="A52" s="273" t="s">
        <v>164</v>
      </c>
      <c r="B52" s="274"/>
      <c r="C52" s="274">
        <f t="shared" ref="C52:C54" si="35">(I52/3)*0.9</f>
        <v>77300.135999999999</v>
      </c>
      <c r="D52" s="277"/>
      <c r="E52" s="275">
        <f t="shared" ref="E52:E54" si="36">I52/3</f>
        <v>85889.04</v>
      </c>
      <c r="F52" s="277"/>
      <c r="G52" s="277">
        <f t="shared" ref="G52:G54" si="37">I52/3*1.1</f>
        <v>94477.944000000003</v>
      </c>
      <c r="H52" s="277"/>
      <c r="I52" s="277">
        <f>I33*1.14012</f>
        <v>257667.12</v>
      </c>
      <c r="J52" s="717">
        <f>I52/I55</f>
        <v>0.27936410351130897</v>
      </c>
      <c r="K52" s="465">
        <f>BARTEK!M6</f>
        <v>0</v>
      </c>
      <c r="L52" s="719" t="e">
        <f>K52/K55</f>
        <v>#DIV/0!</v>
      </c>
      <c r="M52" s="469">
        <f>M55*J52</f>
        <v>7822.1948983166512</v>
      </c>
      <c r="N52" s="469">
        <f>N55/4</f>
        <v>7000</v>
      </c>
      <c r="O52" s="722">
        <v>6800</v>
      </c>
    </row>
    <row r="53" spans="1:15">
      <c r="A53" s="273" t="s">
        <v>165</v>
      </c>
      <c r="B53" s="274"/>
      <c r="C53" s="274">
        <f t="shared" si="35"/>
        <v>70400.130000000019</v>
      </c>
      <c r="D53" s="277"/>
      <c r="E53" s="275">
        <f t="shared" si="36"/>
        <v>78222.366666666683</v>
      </c>
      <c r="F53" s="277"/>
      <c r="G53" s="277">
        <f t="shared" si="37"/>
        <v>86044.603333333362</v>
      </c>
      <c r="H53" s="277"/>
      <c r="I53" s="277">
        <f>I34*1.03835</f>
        <v>234667.10000000003</v>
      </c>
      <c r="J53" s="717">
        <f>I53/I55</f>
        <v>0.25442735578795889</v>
      </c>
      <c r="K53" s="465">
        <f>PIOTR!M6</f>
        <v>0</v>
      </c>
      <c r="L53" s="719" t="e">
        <f>K53/K55</f>
        <v>#DIV/0!</v>
      </c>
      <c r="M53" s="469">
        <f>M55*J53</f>
        <v>7123.965962062849</v>
      </c>
      <c r="N53" s="469">
        <f>N55/4</f>
        <v>7000</v>
      </c>
      <c r="O53" s="722">
        <v>7500</v>
      </c>
    </row>
    <row r="54" spans="1:15">
      <c r="A54" s="273" t="s">
        <v>166</v>
      </c>
      <c r="B54" s="274"/>
      <c r="C54" s="274">
        <f t="shared" si="35"/>
        <v>60499.92300000001</v>
      </c>
      <c r="D54" s="277"/>
      <c r="E54" s="275">
        <f t="shared" si="36"/>
        <v>67222.136666666673</v>
      </c>
      <c r="F54" s="277"/>
      <c r="G54" s="277">
        <f t="shared" si="37"/>
        <v>73944.35033333335</v>
      </c>
      <c r="H54" s="277"/>
      <c r="I54" s="277">
        <f>I35*1.07843</f>
        <v>201666.41</v>
      </c>
      <c r="J54" s="717">
        <f>I54/I55</f>
        <v>0.21864782684726741</v>
      </c>
      <c r="K54" s="465">
        <f>KRZYSZTOF!M6</f>
        <v>0</v>
      </c>
      <c r="L54" s="719" t="e">
        <f>K54/K55</f>
        <v>#DIV/0!</v>
      </c>
      <c r="M54" s="469">
        <f>M55*J54</f>
        <v>6122.1391517234879</v>
      </c>
      <c r="N54" s="469">
        <f>N55/4</f>
        <v>7000</v>
      </c>
      <c r="O54" s="722">
        <v>6800</v>
      </c>
    </row>
    <row r="55" spans="1:15" ht="14.4">
      <c r="A55" s="312" t="s">
        <v>142</v>
      </c>
      <c r="B55" s="235"/>
      <c r="C55" s="235"/>
      <c r="D55" s="235"/>
      <c r="E55" s="235"/>
      <c r="F55" s="235"/>
      <c r="G55" s="235"/>
      <c r="H55" s="236"/>
      <c r="I55" s="236">
        <f>SUM(I50:I54)</f>
        <v>922334.39</v>
      </c>
      <c r="J55" s="718">
        <v>1</v>
      </c>
      <c r="K55" s="467">
        <f>SUM(K50:K54)</f>
        <v>0</v>
      </c>
      <c r="L55" s="720">
        <v>1</v>
      </c>
      <c r="M55" s="469">
        <v>28000</v>
      </c>
      <c r="N55" s="469">
        <v>28000</v>
      </c>
      <c r="O55" s="724">
        <f>SUM(O50:O54)</f>
        <v>29300</v>
      </c>
    </row>
    <row r="56" spans="1:15">
      <c r="J56" s="463"/>
      <c r="K56" s="464"/>
      <c r="L56" s="464"/>
      <c r="M56" s="463"/>
      <c r="N56" s="463"/>
    </row>
    <row r="57" spans="1:15">
      <c r="A57" s="312"/>
      <c r="B57" s="813" t="s">
        <v>10</v>
      </c>
      <c r="C57" s="814"/>
      <c r="D57" s="813" t="s">
        <v>11</v>
      </c>
      <c r="E57" s="814"/>
      <c r="F57" s="813" t="s">
        <v>12</v>
      </c>
      <c r="G57" s="814"/>
      <c r="H57" s="813" t="s">
        <v>146</v>
      </c>
      <c r="I57" s="814"/>
      <c r="J57" s="463"/>
      <c r="K57" s="464"/>
      <c r="L57" s="464"/>
      <c r="M57" s="463"/>
      <c r="N57" s="463"/>
    </row>
    <row r="58" spans="1:15">
      <c r="A58" s="312"/>
      <c r="B58" s="259" t="s">
        <v>114</v>
      </c>
      <c r="C58" s="259" t="s">
        <v>109</v>
      </c>
      <c r="D58" s="259" t="s">
        <v>114</v>
      </c>
      <c r="E58" s="259" t="s">
        <v>109</v>
      </c>
      <c r="F58" s="259" t="s">
        <v>114</v>
      </c>
      <c r="G58" s="259" t="s">
        <v>109</v>
      </c>
      <c r="H58" s="259" t="s">
        <v>114</v>
      </c>
      <c r="I58" s="259" t="s">
        <v>109</v>
      </c>
      <c r="J58" s="468" t="s">
        <v>226</v>
      </c>
      <c r="K58" s="464" t="s">
        <v>187</v>
      </c>
      <c r="L58" s="464" t="s">
        <v>188</v>
      </c>
      <c r="M58" s="463" t="s">
        <v>224</v>
      </c>
      <c r="N58" s="463" t="s">
        <v>225</v>
      </c>
      <c r="O58" s="721" t="s">
        <v>186</v>
      </c>
    </row>
    <row r="59" spans="1:15">
      <c r="A59" s="273" t="s">
        <v>163</v>
      </c>
      <c r="B59" s="277"/>
      <c r="C59" s="274">
        <f>(I59/3)*0.9</f>
        <v>51700.127999999997</v>
      </c>
      <c r="D59" s="277"/>
      <c r="E59" s="275">
        <f>I59/3</f>
        <v>57444.586666666662</v>
      </c>
      <c r="F59" s="277"/>
      <c r="G59" s="277">
        <f>I59/3*1.1</f>
        <v>63189.045333333335</v>
      </c>
      <c r="H59" s="277"/>
      <c r="I59" s="277">
        <f>I31*1.09072</f>
        <v>172333.75999999998</v>
      </c>
      <c r="J59" s="717">
        <f>I59/I64</f>
        <v>0.18684520697531398</v>
      </c>
      <c r="K59" s="465">
        <f>TOMEK!Q6</f>
        <v>0</v>
      </c>
      <c r="L59" s="719" t="e">
        <f>K59/K64</f>
        <v>#DIV/0!</v>
      </c>
      <c r="M59" s="469">
        <f>M64*J59</f>
        <v>5231.6657953087915</v>
      </c>
      <c r="N59" s="469">
        <f>N64/4</f>
        <v>7000</v>
      </c>
      <c r="O59" s="722">
        <v>6800</v>
      </c>
    </row>
    <row r="60" spans="1:15">
      <c r="A60" s="273" t="s">
        <v>192</v>
      </c>
      <c r="B60" s="277"/>
      <c r="C60" s="274">
        <f>(I60/3)*0.9</f>
        <v>16800</v>
      </c>
      <c r="D60" s="277"/>
      <c r="E60" s="275">
        <f>I60/3</f>
        <v>18666.666666666668</v>
      </c>
      <c r="F60" s="277"/>
      <c r="G60" s="277">
        <f>I60/3*1.1</f>
        <v>20533.333333333336</v>
      </c>
      <c r="H60" s="277"/>
      <c r="I60" s="277">
        <f>I32</f>
        <v>56000</v>
      </c>
      <c r="J60" s="717">
        <f>I60/I64</f>
        <v>6.0715506878150777E-2</v>
      </c>
      <c r="K60" s="466">
        <f>RCKIK!Q6</f>
        <v>0</v>
      </c>
      <c r="L60" s="719" t="e">
        <f>K60/K64</f>
        <v>#DIV/0!</v>
      </c>
      <c r="M60" s="469">
        <f>M64*J60</f>
        <v>1700.0341925882217</v>
      </c>
      <c r="N60" s="469"/>
      <c r="O60" s="723">
        <v>1400</v>
      </c>
    </row>
    <row r="61" spans="1:15">
      <c r="A61" s="273" t="s">
        <v>164</v>
      </c>
      <c r="B61" s="274"/>
      <c r="C61" s="274">
        <f t="shared" ref="C61:C63" si="38">(I61/3)*0.9</f>
        <v>77300.135999999999</v>
      </c>
      <c r="D61" s="277"/>
      <c r="E61" s="275">
        <f t="shared" ref="E61:E63" si="39">I61/3</f>
        <v>85889.04</v>
      </c>
      <c r="F61" s="277"/>
      <c r="G61" s="277">
        <f t="shared" ref="G61:G63" si="40">I61/3*1.1</f>
        <v>94477.944000000003</v>
      </c>
      <c r="H61" s="277"/>
      <c r="I61" s="277">
        <f>I33*1.14012</f>
        <v>257667.12</v>
      </c>
      <c r="J61" s="717">
        <f>I61/I64</f>
        <v>0.27936410351130897</v>
      </c>
      <c r="K61" s="465">
        <f>BARTEK!Q6</f>
        <v>0</v>
      </c>
      <c r="L61" s="719" t="e">
        <f>K61/K64</f>
        <v>#DIV/0!</v>
      </c>
      <c r="M61" s="469">
        <f>M64*J61</f>
        <v>7822.1948983166512</v>
      </c>
      <c r="N61" s="469">
        <f>N64/4</f>
        <v>7000</v>
      </c>
      <c r="O61" s="722">
        <v>6800</v>
      </c>
    </row>
    <row r="62" spans="1:15">
      <c r="A62" s="273" t="s">
        <v>165</v>
      </c>
      <c r="B62" s="274"/>
      <c r="C62" s="274">
        <f t="shared" si="38"/>
        <v>70400.130000000019</v>
      </c>
      <c r="D62" s="277"/>
      <c r="E62" s="275">
        <f t="shared" si="39"/>
        <v>78222.366666666683</v>
      </c>
      <c r="F62" s="277"/>
      <c r="G62" s="277">
        <f t="shared" si="40"/>
        <v>86044.603333333362</v>
      </c>
      <c r="H62" s="277"/>
      <c r="I62" s="277">
        <f>I34*1.03835</f>
        <v>234667.10000000003</v>
      </c>
      <c r="J62" s="717">
        <f>I62/I64</f>
        <v>0.25442735578795889</v>
      </c>
      <c r="K62" s="465">
        <f>PIOTR!Q6</f>
        <v>0</v>
      </c>
      <c r="L62" s="719" t="e">
        <f>K62/K64</f>
        <v>#DIV/0!</v>
      </c>
      <c r="M62" s="469">
        <f>M64*J62</f>
        <v>7123.965962062849</v>
      </c>
      <c r="N62" s="469">
        <f>N64/4</f>
        <v>7000</v>
      </c>
      <c r="O62" s="722">
        <v>7500</v>
      </c>
    </row>
    <row r="63" spans="1:15">
      <c r="A63" s="273" t="s">
        <v>166</v>
      </c>
      <c r="B63" s="274"/>
      <c r="C63" s="274">
        <f t="shared" si="38"/>
        <v>60499.92300000001</v>
      </c>
      <c r="D63" s="277"/>
      <c r="E63" s="275">
        <f t="shared" si="39"/>
        <v>67222.136666666673</v>
      </c>
      <c r="F63" s="277"/>
      <c r="G63" s="277">
        <f t="shared" si="40"/>
        <v>73944.35033333335</v>
      </c>
      <c r="H63" s="277"/>
      <c r="I63" s="277">
        <f>I35*1.07843</f>
        <v>201666.41</v>
      </c>
      <c r="J63" s="717">
        <f>I63/I64</f>
        <v>0.21864782684726741</v>
      </c>
      <c r="K63" s="465">
        <f>KRZYSZTOF!Q6</f>
        <v>0</v>
      </c>
      <c r="L63" s="719" t="e">
        <f>K63/K64</f>
        <v>#DIV/0!</v>
      </c>
      <c r="M63" s="469">
        <f>M64*J63</f>
        <v>6122.1391517234879</v>
      </c>
      <c r="N63" s="469">
        <f>N64/4</f>
        <v>7000</v>
      </c>
      <c r="O63" s="722">
        <v>6800</v>
      </c>
    </row>
    <row r="64" spans="1:15" ht="14.4">
      <c r="A64" s="312" t="s">
        <v>142</v>
      </c>
      <c r="B64" s="235"/>
      <c r="C64" s="235"/>
      <c r="D64" s="235"/>
      <c r="E64" s="235"/>
      <c r="F64" s="235"/>
      <c r="G64" s="235"/>
      <c r="H64" s="236"/>
      <c r="I64" s="236">
        <f>SUM(I59:I63)</f>
        <v>922334.39</v>
      </c>
      <c r="J64" s="718">
        <v>1</v>
      </c>
      <c r="K64" s="467">
        <f>SUM(K59:K63)</f>
        <v>0</v>
      </c>
      <c r="L64" s="720">
        <v>1</v>
      </c>
      <c r="M64" s="469">
        <v>28000</v>
      </c>
      <c r="N64" s="469">
        <v>28000</v>
      </c>
      <c r="O64" s="724">
        <f>SUM(O59:O63)</f>
        <v>29300</v>
      </c>
    </row>
    <row r="65" spans="2:9">
      <c r="B65" s="171"/>
      <c r="C65" s="171"/>
      <c r="D65" s="171"/>
      <c r="E65" s="171"/>
      <c r="F65" s="171"/>
      <c r="G65" s="171"/>
      <c r="H65" s="171"/>
      <c r="I65" s="171"/>
    </row>
    <row r="66" spans="2:9">
      <c r="I66" s="145"/>
    </row>
  </sheetData>
  <mergeCells count="34">
    <mergeCell ref="T12:U12"/>
    <mergeCell ref="V12:W12"/>
    <mergeCell ref="X12:Y12"/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B57:C57"/>
    <mergeCell ref="D57:E57"/>
    <mergeCell ref="F57:G57"/>
    <mergeCell ref="H57:I57"/>
    <mergeCell ref="F38:G38"/>
    <mergeCell ref="H38:I38"/>
  </mergeCells>
  <pageMargins left="0.25" right="0.25" top="0.75" bottom="0.75" header="0.3" footer="0.3"/>
  <pageSetup paperSize="9" orientation="landscape" verticalDpi="3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41" t="s">
        <v>210</v>
      </c>
      <c r="B1" s="141" t="s">
        <v>211</v>
      </c>
      <c r="C1" s="141" t="s">
        <v>212</v>
      </c>
      <c r="D1" s="141" t="s">
        <v>177</v>
      </c>
      <c r="E1" s="141" t="s">
        <v>213</v>
      </c>
      <c r="F1" s="141" t="s">
        <v>214</v>
      </c>
      <c r="G1" s="141" t="s">
        <v>178</v>
      </c>
      <c r="H1" s="141" t="s">
        <v>179</v>
      </c>
      <c r="I1" s="141" t="s">
        <v>180</v>
      </c>
      <c r="J1" s="141" t="s">
        <v>109</v>
      </c>
    </row>
    <row r="2" spans="1:10">
      <c r="A2" s="141" t="s">
        <v>192</v>
      </c>
      <c r="B2" s="141"/>
      <c r="C2" s="141"/>
      <c r="D2" s="171">
        <v>1187.2349999999999</v>
      </c>
      <c r="E2" s="171"/>
      <c r="F2" s="171">
        <v>35724.339800000002</v>
      </c>
      <c r="G2" s="171">
        <v>29044.179700000001</v>
      </c>
      <c r="H2" s="171">
        <v>24518.0013</v>
      </c>
      <c r="I2" s="653">
        <v>4526.1787000000004</v>
      </c>
      <c r="J2" s="171">
        <v>15.5837</v>
      </c>
    </row>
    <row r="3" spans="1:10">
      <c r="A3" s="141" t="s">
        <v>75</v>
      </c>
      <c r="B3" s="141"/>
      <c r="C3" s="141"/>
      <c r="D3" s="171">
        <v>5760.8670000000002</v>
      </c>
      <c r="E3" s="171"/>
      <c r="F3" s="171">
        <v>176707.875</v>
      </c>
      <c r="G3" s="171">
        <v>143664.9063</v>
      </c>
      <c r="H3" s="171">
        <v>82800.718500000003</v>
      </c>
      <c r="I3" s="653">
        <v>60864.179700000001</v>
      </c>
      <c r="J3" s="171">
        <v>42.365299999999998</v>
      </c>
    </row>
    <row r="4" spans="1:10">
      <c r="A4" s="141" t="s">
        <v>25</v>
      </c>
      <c r="B4" s="141"/>
      <c r="C4" s="141"/>
      <c r="D4" s="171">
        <v>3683.181</v>
      </c>
      <c r="E4" s="171"/>
      <c r="F4" s="171">
        <v>204896.23439999999</v>
      </c>
      <c r="G4" s="171">
        <v>166582.26560000001</v>
      </c>
      <c r="H4" s="171">
        <v>102406.5779</v>
      </c>
      <c r="I4" s="653">
        <v>64175.683599999997</v>
      </c>
      <c r="J4" s="171">
        <v>38.524900000000002</v>
      </c>
    </row>
    <row r="5" spans="1:10">
      <c r="A5" s="141" t="s">
        <v>76</v>
      </c>
      <c r="B5" s="141"/>
      <c r="C5" s="141"/>
      <c r="D5" s="171">
        <v>3244.64</v>
      </c>
      <c r="E5" s="171"/>
      <c r="F5" s="171">
        <v>198314.4063</v>
      </c>
      <c r="G5" s="171">
        <v>161231.20310000001</v>
      </c>
      <c r="H5" s="171">
        <v>94586.989799999996</v>
      </c>
      <c r="I5" s="653">
        <v>66644.210900000005</v>
      </c>
      <c r="J5" s="171">
        <v>41.334499999999998</v>
      </c>
    </row>
    <row r="6" spans="1:10">
      <c r="A6" s="141" t="s">
        <v>24</v>
      </c>
      <c r="B6" s="141"/>
      <c r="C6" s="141"/>
      <c r="D6" s="171">
        <v>4942.2190000000001</v>
      </c>
      <c r="E6" s="171"/>
      <c r="F6" s="171">
        <v>288792.75</v>
      </c>
      <c r="G6" s="171">
        <v>234790.6875</v>
      </c>
      <c r="H6" s="171">
        <v>160274.03640000001</v>
      </c>
      <c r="I6" s="653">
        <v>74516.640599999999</v>
      </c>
      <c r="J6" s="171">
        <v>31.737400000000001</v>
      </c>
    </row>
    <row r="7" spans="1:10">
      <c r="A7" s="141" t="s">
        <v>215</v>
      </c>
      <c r="B7" s="141"/>
      <c r="C7" s="141"/>
      <c r="D7" s="171">
        <v>18818.142</v>
      </c>
      <c r="E7" s="171"/>
      <c r="F7" s="171">
        <v>904435.625</v>
      </c>
      <c r="G7" s="171">
        <v>735313.25</v>
      </c>
      <c r="H7" s="171">
        <v>464586.32390000002</v>
      </c>
      <c r="I7" s="653">
        <v>270726.90629999997</v>
      </c>
      <c r="J7" s="171">
        <v>36.817900000000002</v>
      </c>
    </row>
    <row r="8" spans="1:10">
      <c r="A8" s="141"/>
      <c r="B8" s="141"/>
      <c r="C8" s="141"/>
      <c r="D8" s="171"/>
      <c r="E8" s="171"/>
      <c r="F8" s="171"/>
      <c r="G8" s="171"/>
      <c r="H8" s="171"/>
      <c r="I8" s="171"/>
      <c r="J8" s="171"/>
    </row>
    <row r="9" spans="1:10">
      <c r="A9" s="141"/>
      <c r="B9" s="141"/>
      <c r="C9" s="141"/>
      <c r="D9" s="141"/>
      <c r="E9" s="141"/>
      <c r="F9" s="141"/>
      <c r="G9" s="141"/>
      <c r="H9" s="141"/>
      <c r="I9" s="302"/>
      <c r="J9" s="141"/>
    </row>
    <row r="10" spans="1:10" ht="14.4">
      <c r="A10" s="373"/>
      <c r="B10" s="141"/>
      <c r="C10" s="141"/>
      <c r="D10" s="141"/>
      <c r="E10" s="141"/>
      <c r="F10" s="141"/>
      <c r="G10" s="141"/>
      <c r="H10" s="141"/>
      <c r="I10" s="141"/>
      <c r="J10" s="141"/>
    </row>
    <row r="11" spans="1:10">
      <c r="A11" s="141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4.4">
      <c r="A12" s="316"/>
      <c r="B12" s="141"/>
      <c r="C12" s="141"/>
      <c r="D12" s="141"/>
      <c r="E12" s="141"/>
      <c r="F12" s="141"/>
      <c r="G12" s="141"/>
      <c r="H12" s="141"/>
      <c r="I12" s="141"/>
      <c r="J12" s="141"/>
    </row>
    <row r="13" spans="1:10">
      <c r="A13" s="141"/>
      <c r="B13" s="141"/>
      <c r="C13" s="141"/>
      <c r="D13" s="141"/>
      <c r="E13" s="141"/>
      <c r="F13" s="141"/>
      <c r="G13" s="141"/>
      <c r="H13" s="141"/>
      <c r="I13" s="141"/>
      <c r="J13" s="141"/>
    </row>
    <row r="15" spans="1:10" ht="14.4">
      <c r="A15" s="238"/>
      <c r="B15" s="310"/>
      <c r="C15" s="238"/>
    </row>
    <row r="16" spans="1:10" ht="14.4">
      <c r="A16" s="238"/>
      <c r="B16" s="238"/>
      <c r="C16" s="308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7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s="141" t="s">
        <v>210</v>
      </c>
      <c r="B1" s="141" t="s">
        <v>211</v>
      </c>
      <c r="C1" s="141" t="s">
        <v>212</v>
      </c>
      <c r="D1" s="141" t="s">
        <v>177</v>
      </c>
      <c r="E1" s="141" t="s">
        <v>213</v>
      </c>
      <c r="F1" s="141" t="s">
        <v>214</v>
      </c>
      <c r="G1" s="141" t="s">
        <v>178</v>
      </c>
      <c r="H1" s="141" t="s">
        <v>179</v>
      </c>
      <c r="I1" s="141" t="s">
        <v>180</v>
      </c>
      <c r="J1" s="141" t="s">
        <v>109</v>
      </c>
    </row>
    <row r="2" spans="1:10">
      <c r="A2" s="141" t="s">
        <v>192</v>
      </c>
      <c r="B2" s="141"/>
      <c r="C2" s="141"/>
      <c r="D2" s="651">
        <v>937.11500000000001</v>
      </c>
      <c r="E2" s="651"/>
      <c r="F2" s="651">
        <v>74141.429699999993</v>
      </c>
      <c r="G2" s="652">
        <v>60277.550799999997</v>
      </c>
      <c r="H2" s="651">
        <v>44066.926599999999</v>
      </c>
      <c r="I2" s="652">
        <v>16210.623</v>
      </c>
      <c r="J2" s="276">
        <v>26.8933</v>
      </c>
    </row>
    <row r="3" spans="1:10">
      <c r="A3" s="141" t="s">
        <v>76</v>
      </c>
      <c r="B3" s="141"/>
      <c r="C3" s="141"/>
      <c r="D3" s="651">
        <v>2639.5039999999999</v>
      </c>
      <c r="E3" s="651"/>
      <c r="F3" s="651">
        <v>129866.75</v>
      </c>
      <c r="G3" s="652">
        <v>105582.71090000001</v>
      </c>
      <c r="H3" s="651">
        <v>62170.707399999999</v>
      </c>
      <c r="I3" s="652">
        <v>43412.003900000003</v>
      </c>
      <c r="J3" s="276">
        <v>41.116500000000002</v>
      </c>
    </row>
    <row r="4" spans="1:10">
      <c r="A4" s="141" t="s">
        <v>24</v>
      </c>
      <c r="B4" s="141"/>
      <c r="C4" s="141"/>
      <c r="D4" s="651">
        <v>5279.4129999999996</v>
      </c>
      <c r="E4" s="651"/>
      <c r="F4" s="651">
        <v>326526.8125</v>
      </c>
      <c r="G4" s="652">
        <v>265468.9375</v>
      </c>
      <c r="H4" s="651">
        <v>186176.4786</v>
      </c>
      <c r="I4" s="652">
        <v>79292.468800000002</v>
      </c>
      <c r="J4" s="276">
        <v>29.8688</v>
      </c>
    </row>
    <row r="5" spans="1:10">
      <c r="A5" s="141" t="s">
        <v>25</v>
      </c>
      <c r="B5" s="141"/>
      <c r="C5" s="141"/>
      <c r="D5" s="651">
        <v>4795.5</v>
      </c>
      <c r="E5" s="651"/>
      <c r="F5" s="651">
        <v>243508.20310000001</v>
      </c>
      <c r="G5" s="652">
        <v>198400.04689999999</v>
      </c>
      <c r="H5" s="651">
        <v>112540.8397</v>
      </c>
      <c r="I5" s="652">
        <v>85859.203099999999</v>
      </c>
      <c r="J5" s="276">
        <v>43.275700000000001</v>
      </c>
    </row>
    <row r="6" spans="1:10">
      <c r="A6" s="141" t="s">
        <v>75</v>
      </c>
      <c r="B6" s="141"/>
      <c r="C6" s="141"/>
      <c r="D6" s="651">
        <v>4005.64</v>
      </c>
      <c r="E6" s="651"/>
      <c r="F6" s="651">
        <v>288204.8125</v>
      </c>
      <c r="G6" s="652">
        <v>234312.8438</v>
      </c>
      <c r="H6" s="651">
        <v>140146.62179999999</v>
      </c>
      <c r="I6" s="652">
        <v>94166.218800000002</v>
      </c>
      <c r="J6" s="276">
        <v>40.188200000000002</v>
      </c>
    </row>
    <row r="7" spans="1:10">
      <c r="A7" s="141" t="s">
        <v>215</v>
      </c>
      <c r="B7" s="141"/>
      <c r="C7" s="141"/>
      <c r="D7" s="651">
        <v>17657.171999999999</v>
      </c>
      <c r="E7" s="651"/>
      <c r="F7" s="651">
        <v>1062248</v>
      </c>
      <c r="G7" s="652">
        <v>864042.0625</v>
      </c>
      <c r="H7" s="651">
        <v>545101.57409999997</v>
      </c>
      <c r="I7" s="652">
        <v>318940.53129999997</v>
      </c>
      <c r="J7" s="276">
        <v>36.912599999999998</v>
      </c>
    </row>
    <row r="8" spans="1:10">
      <c r="A8" s="141"/>
      <c r="B8" s="141"/>
      <c r="C8" s="141"/>
      <c r="D8" s="651"/>
      <c r="E8" s="651"/>
      <c r="F8" s="651"/>
      <c r="G8" s="652"/>
      <c r="H8" s="651"/>
      <c r="I8" s="652"/>
      <c r="J8" s="276"/>
    </row>
    <row r="9" spans="1:10">
      <c r="A9" s="141"/>
      <c r="B9" s="141"/>
      <c r="C9" s="141"/>
      <c r="D9" s="141"/>
      <c r="E9" s="141"/>
      <c r="F9" s="141"/>
      <c r="G9" s="141"/>
      <c r="H9" s="141"/>
      <c r="I9" s="141"/>
      <c r="J9" s="141"/>
    </row>
    <row r="10" spans="1:10" ht="14.4">
      <c r="A10" s="373"/>
      <c r="B10" s="141"/>
      <c r="C10" s="141"/>
      <c r="D10" s="141"/>
      <c r="E10" s="141"/>
      <c r="F10" s="141"/>
      <c r="G10" s="141"/>
      <c r="H10" s="141"/>
      <c r="I10" s="141"/>
      <c r="J10" s="141"/>
    </row>
    <row r="11" spans="1:10" ht="14.4">
      <c r="A11" s="373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4.4">
      <c r="A12" s="373"/>
      <c r="B12" s="316"/>
      <c r="C12" s="316"/>
      <c r="D12" s="141"/>
      <c r="E12" s="141"/>
      <c r="F12" s="141"/>
      <c r="G12" s="141"/>
      <c r="H12" s="141"/>
      <c r="I12" s="141"/>
      <c r="J12" s="141"/>
    </row>
    <row r="13" spans="1:10" ht="14.4">
      <c r="A13" s="373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0" ht="14.4">
      <c r="E14" s="293"/>
    </row>
    <row r="17" spans="1:3">
      <c r="A17" s="238"/>
      <c r="B17" s="238"/>
      <c r="C17" s="238"/>
    </row>
    <row r="18" spans="1:3" ht="14.4">
      <c r="A18" s="373"/>
      <c r="B18" s="238"/>
      <c r="C18" s="238"/>
    </row>
    <row r="19" spans="1:3" ht="14.4">
      <c r="A19" s="316"/>
      <c r="B19" s="238"/>
      <c r="C19" s="238"/>
    </row>
    <row r="20" spans="1:3" ht="14.4">
      <c r="A20" s="373"/>
      <c r="B20" s="314"/>
      <c r="C20" s="238"/>
    </row>
    <row r="21" spans="1:3" ht="14.4">
      <c r="A21" s="373"/>
      <c r="B21" s="238"/>
      <c r="C21" s="238"/>
    </row>
    <row r="22" spans="1:3" ht="14.4">
      <c r="A22" s="373"/>
      <c r="B22" s="238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7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498" t="s">
        <v>210</v>
      </c>
      <c r="B1" s="498" t="s">
        <v>211</v>
      </c>
      <c r="C1" s="498" t="s">
        <v>212</v>
      </c>
      <c r="D1" s="498" t="s">
        <v>177</v>
      </c>
      <c r="E1" s="498" t="s">
        <v>213</v>
      </c>
      <c r="F1" s="498" t="s">
        <v>214</v>
      </c>
      <c r="G1" s="498" t="s">
        <v>178</v>
      </c>
      <c r="H1" s="498" t="s">
        <v>179</v>
      </c>
      <c r="I1" s="498" t="s">
        <v>180</v>
      </c>
      <c r="J1" s="141" t="s">
        <v>109</v>
      </c>
    </row>
    <row r="2" spans="1:10">
      <c r="A2" s="141" t="s">
        <v>192</v>
      </c>
      <c r="B2" s="141"/>
      <c r="C2" s="141"/>
      <c r="D2" s="171">
        <v>1739.14</v>
      </c>
      <c r="E2" s="171"/>
      <c r="F2" s="171">
        <v>51388.039100000002</v>
      </c>
      <c r="G2" s="653">
        <v>41778.878900000003</v>
      </c>
      <c r="H2" s="171">
        <v>31791.5203</v>
      </c>
      <c r="I2" s="653">
        <v>9987.3593999999994</v>
      </c>
      <c r="J2" s="141">
        <v>23.905200000000001</v>
      </c>
    </row>
    <row r="3" spans="1:10">
      <c r="A3" s="141" t="s">
        <v>25</v>
      </c>
      <c r="B3" s="141"/>
      <c r="C3" s="141"/>
      <c r="D3" s="171">
        <v>4381.1499999999996</v>
      </c>
      <c r="E3" s="171"/>
      <c r="F3" s="171">
        <v>166402.375</v>
      </c>
      <c r="G3" s="653">
        <v>135286.4063</v>
      </c>
      <c r="H3" s="171">
        <v>87715.811000000002</v>
      </c>
      <c r="I3" s="653">
        <v>47570.597699999998</v>
      </c>
      <c r="J3" s="141">
        <v>35.162799999999997</v>
      </c>
    </row>
    <row r="4" spans="1:10">
      <c r="A4" s="141" t="s">
        <v>24</v>
      </c>
      <c r="B4" s="141"/>
      <c r="C4" s="141"/>
      <c r="D4" s="171">
        <v>4229.5730000000003</v>
      </c>
      <c r="E4" s="171"/>
      <c r="F4" s="171">
        <v>243591.6875</v>
      </c>
      <c r="G4" s="653">
        <v>199307.95310000001</v>
      </c>
      <c r="H4" s="171">
        <v>137559.01070000001</v>
      </c>
      <c r="I4" s="653">
        <v>61748.9375</v>
      </c>
      <c r="J4" s="141">
        <v>30.9816</v>
      </c>
    </row>
    <row r="5" spans="1:10">
      <c r="A5" s="141" t="s">
        <v>76</v>
      </c>
      <c r="B5" s="141"/>
      <c r="C5" s="141"/>
      <c r="D5" s="171">
        <v>2773.2339999999999</v>
      </c>
      <c r="E5" s="171"/>
      <c r="F5" s="171">
        <v>158140.29689999999</v>
      </c>
      <c r="G5" s="653">
        <v>128569.28909999999</v>
      </c>
      <c r="H5" s="171">
        <v>64556.353199999998</v>
      </c>
      <c r="I5" s="653">
        <v>64012.9375</v>
      </c>
      <c r="J5" s="141">
        <v>49.788600000000002</v>
      </c>
    </row>
    <row r="6" spans="1:10">
      <c r="A6" s="141" t="s">
        <v>75</v>
      </c>
      <c r="B6" s="141"/>
      <c r="C6" s="141"/>
      <c r="D6" s="171">
        <v>2438.0500000000002</v>
      </c>
      <c r="E6" s="171"/>
      <c r="F6" s="171">
        <v>218120.95310000001</v>
      </c>
      <c r="G6" s="653">
        <v>177334.0938</v>
      </c>
      <c r="H6" s="171">
        <v>92281.84</v>
      </c>
      <c r="I6" s="653">
        <v>85052.257800000007</v>
      </c>
      <c r="J6" s="141">
        <v>47.961500000000001</v>
      </c>
    </row>
    <row r="7" spans="1:10">
      <c r="A7" s="141" t="s">
        <v>215</v>
      </c>
      <c r="B7" s="141"/>
      <c r="C7" s="141"/>
      <c r="D7" s="171">
        <v>15561.147000000001</v>
      </c>
      <c r="E7" s="171"/>
      <c r="F7" s="171">
        <v>837643.3125</v>
      </c>
      <c r="G7" s="653">
        <v>682276.625</v>
      </c>
      <c r="H7" s="171">
        <v>413904.53519999998</v>
      </c>
      <c r="I7" s="653">
        <v>268372.09379999997</v>
      </c>
      <c r="J7" s="141">
        <v>39.334699999999998</v>
      </c>
    </row>
    <row r="8" spans="1:10">
      <c r="A8" s="141"/>
      <c r="B8" s="141"/>
      <c r="C8" s="141"/>
      <c r="D8" s="141"/>
      <c r="E8" s="141"/>
      <c r="F8" s="141"/>
      <c r="G8" s="141"/>
      <c r="H8" s="141"/>
      <c r="I8" s="238"/>
      <c r="J8" s="141"/>
    </row>
    <row r="9" spans="1:10">
      <c r="I9" s="298"/>
    </row>
    <row r="10" spans="1:10" ht="14.4">
      <c r="A10" s="373"/>
      <c r="C10" s="689"/>
      <c r="I10" s="298"/>
    </row>
    <row r="11" spans="1:10" ht="14.4">
      <c r="A11" s="316"/>
      <c r="C11" s="689"/>
    </row>
    <row r="12" spans="1:10" ht="14.4">
      <c r="A12" s="373"/>
      <c r="C12" s="517"/>
    </row>
    <row r="13" spans="1:10" ht="14.4">
      <c r="A13" s="373"/>
    </row>
    <row r="14" spans="1:10" ht="14.4">
      <c r="A14" s="373"/>
      <c r="B14" s="238"/>
      <c r="C14" s="308"/>
    </row>
    <row r="15" spans="1:10" ht="14.4">
      <c r="A15" s="308"/>
      <c r="B15" s="238"/>
      <c r="C15" s="238"/>
    </row>
    <row r="17" spans="1:3">
      <c r="A17" s="238"/>
      <c r="B17" s="238"/>
      <c r="C17" s="238"/>
    </row>
    <row r="18" spans="1:3" ht="14.4">
      <c r="A18" s="238"/>
      <c r="B18" s="308"/>
      <c r="C18" s="238"/>
    </row>
    <row r="19" spans="1:3" ht="14.4">
      <c r="A19" s="316"/>
      <c r="B19" s="316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7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s="141" t="s">
        <v>210</v>
      </c>
      <c r="B1" s="141" t="s">
        <v>211</v>
      </c>
      <c r="C1" s="141" t="s">
        <v>212</v>
      </c>
      <c r="D1" s="141" t="s">
        <v>177</v>
      </c>
      <c r="E1" s="141" t="s">
        <v>213</v>
      </c>
      <c r="F1" s="141" t="s">
        <v>214</v>
      </c>
      <c r="G1" s="141" t="s">
        <v>178</v>
      </c>
      <c r="H1" s="141" t="s">
        <v>179</v>
      </c>
      <c r="I1" s="141" t="s">
        <v>180</v>
      </c>
      <c r="J1" s="141" t="s">
        <v>109</v>
      </c>
    </row>
    <row r="2" spans="1:10">
      <c r="A2" s="141" t="s">
        <v>192</v>
      </c>
      <c r="B2" s="141"/>
      <c r="C2" s="141"/>
      <c r="D2" s="141">
        <v>995.91499999999996</v>
      </c>
      <c r="E2" s="141"/>
      <c r="F2" s="651">
        <v>65595.6875</v>
      </c>
      <c r="G2" s="651">
        <v>53329.839800000002</v>
      </c>
      <c r="H2" s="651">
        <v>40701.214</v>
      </c>
      <c r="I2" s="652">
        <v>12628.626</v>
      </c>
      <c r="J2" s="141">
        <v>23.680199999999999</v>
      </c>
    </row>
    <row r="3" spans="1:10">
      <c r="A3" s="141" t="s">
        <v>76</v>
      </c>
      <c r="B3" s="141"/>
      <c r="C3" s="141"/>
      <c r="D3" s="141">
        <v>3129.14</v>
      </c>
      <c r="E3" s="141"/>
      <c r="F3" s="651">
        <v>160413.07810000001</v>
      </c>
      <c r="G3" s="651">
        <v>130849.0625</v>
      </c>
      <c r="H3" s="651">
        <v>79863.583700000003</v>
      </c>
      <c r="I3" s="652">
        <v>50985.476600000002</v>
      </c>
      <c r="J3" s="141">
        <v>38.9651</v>
      </c>
    </row>
    <row r="4" spans="1:10">
      <c r="A4" s="141" t="s">
        <v>25</v>
      </c>
      <c r="B4" s="141"/>
      <c r="C4" s="141"/>
      <c r="D4" s="141">
        <v>4575.3379999999997</v>
      </c>
      <c r="E4" s="141"/>
      <c r="F4" s="651">
        <v>247181.5313</v>
      </c>
      <c r="G4" s="651">
        <v>201594.29689999999</v>
      </c>
      <c r="H4" s="651">
        <v>138403.00440000001</v>
      </c>
      <c r="I4" s="652">
        <v>63191.296900000001</v>
      </c>
      <c r="J4" s="141">
        <v>31.345700000000001</v>
      </c>
    </row>
    <row r="5" spans="1:10">
      <c r="A5" s="141" t="s">
        <v>75</v>
      </c>
      <c r="B5" s="141"/>
      <c r="C5" s="141"/>
      <c r="D5" s="141">
        <v>7946.5</v>
      </c>
      <c r="E5" s="141"/>
      <c r="F5" s="651">
        <v>251017.01560000001</v>
      </c>
      <c r="G5" s="651">
        <v>204078.89060000001</v>
      </c>
      <c r="H5" s="651">
        <v>117378.2985</v>
      </c>
      <c r="I5" s="652">
        <v>86700.593800000002</v>
      </c>
      <c r="J5" s="141">
        <v>42.483800000000002</v>
      </c>
    </row>
    <row r="6" spans="1:10">
      <c r="A6" s="141" t="s">
        <v>24</v>
      </c>
      <c r="B6" s="141"/>
      <c r="C6" s="141"/>
      <c r="D6" s="141">
        <v>5894.0959999999995</v>
      </c>
      <c r="E6" s="141"/>
      <c r="F6" s="651">
        <v>384424.5625</v>
      </c>
      <c r="G6" s="651">
        <v>312540.21879999997</v>
      </c>
      <c r="H6" s="651">
        <v>214508.5307</v>
      </c>
      <c r="I6" s="652">
        <v>98031.679699999993</v>
      </c>
      <c r="J6" s="141">
        <v>31.366099999999999</v>
      </c>
    </row>
    <row r="7" spans="1:10">
      <c r="A7" s="141" t="s">
        <v>215</v>
      </c>
      <c r="B7" s="141"/>
      <c r="C7" s="141"/>
      <c r="D7" s="141">
        <v>22540.989000000001</v>
      </c>
      <c r="E7" s="141"/>
      <c r="F7" s="651">
        <v>1108631.875</v>
      </c>
      <c r="G7" s="651">
        <v>902392.3125</v>
      </c>
      <c r="H7" s="651">
        <v>590854.63130000001</v>
      </c>
      <c r="I7" s="652">
        <v>311537.65629999997</v>
      </c>
      <c r="J7" s="141">
        <v>34.523499999999999</v>
      </c>
    </row>
    <row r="14" spans="1:10" ht="14.4">
      <c r="A14" s="238"/>
      <c r="B14" s="310"/>
      <c r="C14" s="310"/>
    </row>
    <row r="15" spans="1:10" ht="14.4">
      <c r="A15" s="373"/>
    </row>
    <row r="16" spans="1:10" ht="14.4">
      <c r="A16" s="373"/>
    </row>
    <row r="17" spans="1:1" ht="14.4">
      <c r="A17" s="373"/>
    </row>
    <row r="18" spans="1:1" ht="14.4">
      <c r="A18" s="373"/>
    </row>
    <row r="19" spans="1:1" ht="14.4">
      <c r="A19" s="373"/>
    </row>
    <row r="20" spans="1:1" ht="14.4">
      <c r="A20" s="373"/>
    </row>
    <row r="21" spans="1:1" ht="14.4">
      <c r="A21" s="373"/>
    </row>
    <row r="22" spans="1:1" ht="14.4">
      <c r="A22" s="373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J7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141" t="s">
        <v>210</v>
      </c>
      <c r="B1" s="141" t="s">
        <v>211</v>
      </c>
      <c r="C1" s="141" t="s">
        <v>212</v>
      </c>
      <c r="D1" s="141" t="s">
        <v>177</v>
      </c>
      <c r="E1" s="141" t="s">
        <v>213</v>
      </c>
      <c r="F1" s="141" t="s">
        <v>214</v>
      </c>
      <c r="G1" s="141" t="s">
        <v>178</v>
      </c>
      <c r="H1" s="141" t="s">
        <v>179</v>
      </c>
      <c r="I1" s="141" t="s">
        <v>180</v>
      </c>
      <c r="J1" s="141" t="s">
        <v>109</v>
      </c>
      <c r="K1" s="141"/>
    </row>
    <row r="2" spans="1:11">
      <c r="A2" s="141" t="s">
        <v>192</v>
      </c>
      <c r="B2" s="141"/>
      <c r="C2" s="141"/>
      <c r="D2" s="141">
        <v>1021.145</v>
      </c>
      <c r="E2" s="141"/>
      <c r="F2" s="171">
        <v>52275.558599999997</v>
      </c>
      <c r="G2" s="171">
        <v>42500.449200000003</v>
      </c>
      <c r="H2" s="171">
        <v>35252.095099999999</v>
      </c>
      <c r="I2" s="653">
        <v>7248.3549999999996</v>
      </c>
      <c r="J2" s="141">
        <v>17.0547</v>
      </c>
      <c r="K2" s="141"/>
    </row>
    <row r="3" spans="1:11">
      <c r="A3" s="141" t="s">
        <v>76</v>
      </c>
      <c r="B3" s="141"/>
      <c r="C3" s="141"/>
      <c r="D3" s="141">
        <v>2202.61</v>
      </c>
      <c r="E3" s="141"/>
      <c r="F3" s="171">
        <v>118754</v>
      </c>
      <c r="G3" s="171">
        <v>96547.9375</v>
      </c>
      <c r="H3" s="171">
        <v>49843.0844</v>
      </c>
      <c r="I3" s="653">
        <v>46704.855499999998</v>
      </c>
      <c r="J3" s="141">
        <v>48.374699999999997</v>
      </c>
      <c r="K3" s="141"/>
    </row>
    <row r="4" spans="1:11">
      <c r="A4" s="141" t="s">
        <v>25</v>
      </c>
      <c r="B4" s="141"/>
      <c r="C4" s="141"/>
      <c r="D4" s="141">
        <v>3260.13</v>
      </c>
      <c r="E4" s="141"/>
      <c r="F4" s="171">
        <v>184700.79689999999</v>
      </c>
      <c r="G4" s="171">
        <v>150974.79689999999</v>
      </c>
      <c r="H4" s="171">
        <v>87896.681500000006</v>
      </c>
      <c r="I4" s="653">
        <v>63078.109400000001</v>
      </c>
      <c r="J4" s="141">
        <v>41.780500000000004</v>
      </c>
      <c r="K4" s="141"/>
    </row>
    <row r="5" spans="1:11">
      <c r="A5" s="141" t="s">
        <v>75</v>
      </c>
      <c r="B5" s="141"/>
      <c r="C5" s="141"/>
      <c r="D5" s="141">
        <v>3285.95</v>
      </c>
      <c r="E5" s="141"/>
      <c r="F5" s="171">
        <v>227632.98439999999</v>
      </c>
      <c r="G5" s="171">
        <v>185067.4063</v>
      </c>
      <c r="H5" s="171">
        <v>104342.16</v>
      </c>
      <c r="I5" s="653">
        <v>80725.25</v>
      </c>
      <c r="J5" s="141">
        <v>43.619300000000003</v>
      </c>
      <c r="K5" s="141"/>
    </row>
    <row r="6" spans="1:11">
      <c r="A6" s="141" t="s">
        <v>24</v>
      </c>
      <c r="B6" s="141"/>
      <c r="C6" s="141"/>
      <c r="D6" s="141">
        <v>7520.6260000000002</v>
      </c>
      <c r="E6" s="141"/>
      <c r="F6" s="171">
        <v>363732.28129999997</v>
      </c>
      <c r="G6" s="171">
        <v>295717.25</v>
      </c>
      <c r="H6" s="171">
        <v>208243.31880000001</v>
      </c>
      <c r="I6" s="653">
        <v>87473.929699999993</v>
      </c>
      <c r="J6" s="141">
        <v>29.580200000000001</v>
      </c>
      <c r="K6" s="141"/>
    </row>
    <row r="7" spans="1:11">
      <c r="A7" s="141" t="s">
        <v>215</v>
      </c>
      <c r="B7" s="141"/>
      <c r="C7" s="141"/>
      <c r="D7" s="141">
        <v>17290.460999999999</v>
      </c>
      <c r="E7" s="141"/>
      <c r="F7" s="171">
        <v>947095.625</v>
      </c>
      <c r="G7" s="171">
        <v>770807.8125</v>
      </c>
      <c r="H7" s="171">
        <v>485577.33980000002</v>
      </c>
      <c r="I7" s="653">
        <v>285230.5</v>
      </c>
      <c r="J7" s="141">
        <v>37.003999999999998</v>
      </c>
    </row>
    <row r="8" spans="1:11">
      <c r="F8" s="690"/>
      <c r="G8" s="690"/>
      <c r="H8" s="690"/>
      <c r="I8" s="691"/>
    </row>
    <row r="10" spans="1:11">
      <c r="A10" s="141"/>
    </row>
    <row r="11" spans="1:11">
      <c r="A11" s="141"/>
    </row>
    <row r="12" spans="1:11" ht="14.4">
      <c r="A12" s="373"/>
    </row>
    <row r="13" spans="1:11" ht="14.4">
      <c r="A13" s="373"/>
      <c r="B13" s="692"/>
      <c r="C13" s="517"/>
    </row>
    <row r="14" spans="1:11" ht="14.4">
      <c r="A14" s="316"/>
      <c r="C14" s="517"/>
    </row>
    <row r="15" spans="1:11" ht="14.4">
      <c r="A15" s="373"/>
      <c r="D15" s="238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7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s="141" t="s">
        <v>210</v>
      </c>
      <c r="B1" s="141" t="s">
        <v>211</v>
      </c>
      <c r="C1" s="141" t="s">
        <v>212</v>
      </c>
      <c r="D1" s="141" t="s">
        <v>177</v>
      </c>
      <c r="E1" s="141" t="s">
        <v>213</v>
      </c>
      <c r="F1" s="141" t="s">
        <v>214</v>
      </c>
      <c r="G1" s="141" t="s">
        <v>178</v>
      </c>
      <c r="H1" s="141" t="s">
        <v>179</v>
      </c>
      <c r="I1" s="141" t="s">
        <v>180</v>
      </c>
      <c r="J1" s="141" t="s">
        <v>109</v>
      </c>
    </row>
    <row r="2" spans="1:10">
      <c r="A2" s="141" t="s">
        <v>192</v>
      </c>
      <c r="B2" s="141"/>
      <c r="C2" s="141"/>
      <c r="D2" s="141">
        <v>695.7</v>
      </c>
      <c r="E2" s="141"/>
      <c r="F2" s="651">
        <v>34358.261700000003</v>
      </c>
      <c r="G2" s="651">
        <v>27933.529299999998</v>
      </c>
      <c r="H2" s="651">
        <v>19537.609400000001</v>
      </c>
      <c r="I2" s="652">
        <v>8395.9208999999992</v>
      </c>
      <c r="J2" s="141">
        <v>30.056699999999999</v>
      </c>
    </row>
    <row r="3" spans="1:10">
      <c r="A3" s="141" t="s">
        <v>25</v>
      </c>
      <c r="B3" s="141"/>
      <c r="C3" s="141"/>
      <c r="D3" s="141">
        <v>4356.87</v>
      </c>
      <c r="E3" s="141"/>
      <c r="F3" s="651">
        <v>123992.1719</v>
      </c>
      <c r="G3" s="651">
        <v>100806.5625</v>
      </c>
      <c r="H3" s="651">
        <v>61586.651899999997</v>
      </c>
      <c r="I3" s="652">
        <v>39219.906300000002</v>
      </c>
      <c r="J3" s="141">
        <v>38.906100000000002</v>
      </c>
    </row>
    <row r="4" spans="1:10">
      <c r="A4" s="141" t="s">
        <v>76</v>
      </c>
      <c r="B4" s="141"/>
      <c r="C4" s="141"/>
      <c r="D4" s="141">
        <v>2180.7440000000001</v>
      </c>
      <c r="E4" s="141"/>
      <c r="F4" s="651">
        <v>126930.97659999999</v>
      </c>
      <c r="G4" s="651">
        <v>103195.86719999999</v>
      </c>
      <c r="H4" s="651">
        <v>58395.943200000002</v>
      </c>
      <c r="I4" s="652">
        <v>44799.925799999997</v>
      </c>
      <c r="J4" s="141">
        <v>43.412500000000001</v>
      </c>
    </row>
    <row r="5" spans="1:10">
      <c r="A5" s="141" t="s">
        <v>24</v>
      </c>
      <c r="B5" s="141"/>
      <c r="C5" s="141"/>
      <c r="D5" s="141">
        <v>11919.706</v>
      </c>
      <c r="E5" s="141"/>
      <c r="F5" s="651">
        <v>304165.65629999997</v>
      </c>
      <c r="G5" s="651">
        <v>247289.07810000001</v>
      </c>
      <c r="H5" s="651">
        <v>173168.94349999999</v>
      </c>
      <c r="I5" s="652">
        <v>74120.132800000007</v>
      </c>
      <c r="J5" s="141">
        <v>29.972999999999999</v>
      </c>
    </row>
    <row r="6" spans="1:10">
      <c r="A6" s="141" t="s">
        <v>75</v>
      </c>
      <c r="B6" s="141"/>
      <c r="C6" s="141"/>
      <c r="D6" s="141">
        <v>3030.7449999999999</v>
      </c>
      <c r="E6" s="141"/>
      <c r="F6" s="651">
        <v>232601.98439999999</v>
      </c>
      <c r="G6" s="651">
        <v>189107.29689999999</v>
      </c>
      <c r="H6" s="651">
        <v>96206.925300000003</v>
      </c>
      <c r="I6" s="652">
        <v>92900.367199999993</v>
      </c>
      <c r="J6" s="141">
        <v>49.125700000000002</v>
      </c>
    </row>
    <row r="7" spans="1:10">
      <c r="A7" s="141" t="s">
        <v>215</v>
      </c>
      <c r="B7" s="141"/>
      <c r="C7" s="141"/>
      <c r="D7" s="141">
        <v>22183.764999999999</v>
      </c>
      <c r="E7" s="141"/>
      <c r="F7" s="651">
        <v>822049.0625</v>
      </c>
      <c r="G7" s="651">
        <v>668332.3125</v>
      </c>
      <c r="H7" s="651">
        <v>408896.07329999999</v>
      </c>
      <c r="I7" s="652">
        <v>259436.25</v>
      </c>
      <c r="J7" s="141">
        <v>38.818399999999997</v>
      </c>
    </row>
    <row r="8" spans="1:10">
      <c r="A8" s="141"/>
      <c r="B8" s="141"/>
      <c r="C8" s="141"/>
      <c r="D8" s="141"/>
      <c r="E8" s="141"/>
      <c r="F8" s="141"/>
      <c r="G8" s="141"/>
      <c r="H8" s="141"/>
      <c r="I8" s="276"/>
      <c r="J8" s="141"/>
    </row>
    <row r="9" spans="1:10">
      <c r="A9" s="141"/>
      <c r="B9" s="141"/>
      <c r="C9" s="141"/>
      <c r="D9" s="141"/>
      <c r="E9" s="141"/>
      <c r="F9" s="141"/>
      <c r="G9" s="141"/>
      <c r="H9" s="141"/>
      <c r="I9" s="141"/>
      <c r="J9" s="141"/>
    </row>
    <row r="10" spans="1:10" ht="14.4">
      <c r="A10" s="373"/>
    </row>
    <row r="11" spans="1:10" ht="14.4">
      <c r="A11" s="373"/>
      <c r="B11" s="517"/>
    </row>
    <row r="12" spans="1:10" ht="14.4">
      <c r="A12" s="373"/>
    </row>
    <row r="13" spans="1:10" ht="14.4">
      <c r="A13" s="373"/>
    </row>
    <row r="14" spans="1:10" ht="14.4">
      <c r="A14" s="373"/>
    </row>
    <row r="15" spans="1:10" ht="14.4">
      <c r="A15" s="373"/>
    </row>
    <row r="16" spans="1:10" ht="14.4">
      <c r="A16" s="373"/>
    </row>
    <row r="17" spans="1:2" ht="14.4">
      <c r="A17" s="373"/>
      <c r="B17" s="238"/>
    </row>
    <row r="18" spans="1:2" ht="14.4">
      <c r="A18" s="373"/>
    </row>
    <row r="19" spans="1:2" ht="14.4">
      <c r="A19" s="373"/>
    </row>
    <row r="20" spans="1:2" ht="14.4">
      <c r="A20" s="373"/>
    </row>
    <row r="21" spans="1:2" ht="14.4">
      <c r="A21" s="373"/>
    </row>
  </sheetData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7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1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1">
      <c r="A2" s="171"/>
      <c r="B2" s="171"/>
      <c r="C2" s="171"/>
      <c r="D2" s="171"/>
      <c r="E2" s="171"/>
      <c r="F2" s="171"/>
      <c r="G2" s="171"/>
      <c r="H2" s="171"/>
      <c r="I2" s="653"/>
      <c r="J2" s="141"/>
      <c r="K2" s="141"/>
    </row>
    <row r="3" spans="1:11">
      <c r="A3" s="171"/>
      <c r="B3" s="171"/>
      <c r="C3" s="171"/>
      <c r="D3" s="171"/>
      <c r="E3" s="171"/>
      <c r="F3" s="171"/>
      <c r="G3" s="171"/>
      <c r="H3" s="171"/>
      <c r="I3" s="653"/>
      <c r="J3" s="141"/>
      <c r="K3" s="141"/>
    </row>
    <row r="4" spans="1:11">
      <c r="A4" s="171"/>
      <c r="B4" s="171"/>
      <c r="C4" s="171"/>
      <c r="D4" s="171"/>
      <c r="E4" s="171"/>
      <c r="F4" s="171"/>
      <c r="G4" s="171"/>
      <c r="H4" s="171"/>
      <c r="I4" s="653"/>
      <c r="J4" s="141"/>
      <c r="K4" s="141"/>
    </row>
    <row r="5" spans="1:11">
      <c r="A5" s="171"/>
      <c r="B5" s="171"/>
      <c r="C5" s="171"/>
      <c r="D5" s="171"/>
      <c r="E5" s="171"/>
      <c r="F5" s="171"/>
      <c r="G5" s="171"/>
      <c r="H5" s="171"/>
      <c r="I5" s="653"/>
      <c r="J5" s="141"/>
      <c r="K5" s="141"/>
    </row>
    <row r="6" spans="1:11">
      <c r="A6" s="171"/>
      <c r="B6" s="171"/>
      <c r="C6" s="171"/>
      <c r="D6" s="171"/>
      <c r="E6" s="171"/>
      <c r="F6" s="171"/>
      <c r="G6" s="171"/>
      <c r="H6" s="171"/>
      <c r="I6" s="653"/>
      <c r="J6" s="141"/>
      <c r="K6" s="141"/>
    </row>
    <row r="7" spans="1:11">
      <c r="A7" s="171"/>
      <c r="B7" s="171"/>
      <c r="C7" s="171"/>
      <c r="D7" s="171"/>
      <c r="E7" s="171"/>
      <c r="F7" s="171"/>
      <c r="G7" s="171"/>
      <c r="H7" s="171"/>
      <c r="I7" s="653"/>
      <c r="J7" s="141"/>
      <c r="K7" s="141"/>
    </row>
    <row r="8" spans="1:11">
      <c r="A8" s="171"/>
      <c r="B8" s="171"/>
      <c r="C8" s="171"/>
      <c r="D8" s="171"/>
      <c r="E8" s="171"/>
      <c r="F8" s="171"/>
      <c r="G8" s="171"/>
      <c r="H8" s="171"/>
      <c r="I8" s="292"/>
    </row>
    <row r="9" spans="1:11">
      <c r="D9" s="171"/>
      <c r="E9" s="171"/>
      <c r="F9" s="171"/>
      <c r="G9" s="171"/>
      <c r="H9" s="171"/>
      <c r="I9" s="171"/>
    </row>
    <row r="11" spans="1:11" ht="14.4">
      <c r="A11" s="373"/>
    </row>
    <row r="14" spans="1:11" ht="14.4">
      <c r="A14" s="316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7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A2" s="141"/>
      <c r="B2" s="141"/>
      <c r="C2" s="141"/>
      <c r="D2" s="141"/>
      <c r="E2" s="141"/>
      <c r="F2" s="651"/>
      <c r="G2" s="651"/>
      <c r="H2" s="651"/>
      <c r="I2" s="652"/>
      <c r="J2" s="141"/>
    </row>
    <row r="3" spans="1:10">
      <c r="A3" s="141"/>
      <c r="B3" s="141"/>
      <c r="C3" s="141"/>
      <c r="D3" s="141"/>
      <c r="E3" s="141"/>
      <c r="F3" s="651"/>
      <c r="G3" s="651"/>
      <c r="H3" s="651"/>
      <c r="I3" s="652"/>
      <c r="J3" s="141"/>
    </row>
    <row r="4" spans="1:10">
      <c r="A4" s="141"/>
      <c r="B4" s="141"/>
      <c r="C4" s="141"/>
      <c r="D4" s="141"/>
      <c r="E4" s="141"/>
      <c r="F4" s="651"/>
      <c r="G4" s="651"/>
      <c r="H4" s="651"/>
      <c r="I4" s="652"/>
      <c r="J4" s="141"/>
    </row>
    <row r="5" spans="1:10">
      <c r="A5" s="141"/>
      <c r="B5" s="141"/>
      <c r="C5" s="141"/>
      <c r="D5" s="141"/>
      <c r="E5" s="141"/>
      <c r="F5" s="651"/>
      <c r="G5" s="651"/>
      <c r="H5" s="651"/>
      <c r="I5" s="652"/>
      <c r="J5" s="141"/>
    </row>
    <row r="6" spans="1:10">
      <c r="A6" s="141"/>
      <c r="B6" s="141"/>
      <c r="C6" s="141"/>
      <c r="D6" s="141"/>
      <c r="E6" s="141"/>
      <c r="F6" s="651"/>
      <c r="G6" s="651"/>
      <c r="H6" s="651"/>
      <c r="I6" s="652"/>
      <c r="J6" s="141"/>
    </row>
    <row r="7" spans="1:10">
      <c r="A7" s="141"/>
      <c r="B7" s="141"/>
      <c r="C7" s="141"/>
      <c r="D7" s="141"/>
      <c r="E7" s="141"/>
      <c r="F7" s="651"/>
      <c r="G7" s="651"/>
      <c r="H7" s="651"/>
      <c r="I7" s="652"/>
      <c r="J7" s="141"/>
    </row>
    <row r="8" spans="1:10">
      <c r="A8" s="141"/>
      <c r="B8" s="141"/>
      <c r="C8" s="141"/>
      <c r="D8" s="141"/>
      <c r="E8" s="141"/>
      <c r="F8" s="141"/>
      <c r="G8" s="141"/>
      <c r="H8" s="141"/>
      <c r="I8" s="141"/>
      <c r="J8" s="141"/>
    </row>
    <row r="9" spans="1:10">
      <c r="A9" s="141"/>
      <c r="B9" s="141"/>
      <c r="C9" s="141"/>
      <c r="D9" s="141"/>
      <c r="E9" s="141"/>
      <c r="F9" s="141"/>
      <c r="G9" s="141"/>
      <c r="H9" s="141"/>
      <c r="I9" s="141"/>
      <c r="J9" s="141"/>
    </row>
    <row r="10" spans="1:10">
      <c r="A10" s="141"/>
      <c r="B10" s="141"/>
      <c r="C10" s="141"/>
      <c r="D10" s="141"/>
      <c r="E10" s="141"/>
      <c r="F10" s="141"/>
      <c r="G10" s="141"/>
      <c r="H10" s="141"/>
      <c r="I10" s="141"/>
      <c r="J10" s="141"/>
    </row>
    <row r="11" spans="1:10" ht="14.4">
      <c r="A11" s="316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4.4">
      <c r="A12" s="373"/>
      <c r="B12" s="141"/>
      <c r="C12" s="141"/>
      <c r="D12" s="141"/>
      <c r="E12" s="141"/>
      <c r="F12" s="141"/>
      <c r="G12" s="141"/>
      <c r="H12" s="141"/>
      <c r="I12" s="141"/>
      <c r="J12" s="141"/>
    </row>
    <row r="16" spans="1:10" ht="14.4">
      <c r="B16" s="310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J7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27"/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A2" s="141"/>
      <c r="B2" s="141"/>
      <c r="C2" s="141"/>
      <c r="D2" s="141"/>
      <c r="E2" s="141"/>
      <c r="F2" s="651"/>
      <c r="G2" s="651"/>
      <c r="H2" s="705"/>
      <c r="I2" s="706"/>
      <c r="J2" s="141"/>
    </row>
    <row r="3" spans="1:10">
      <c r="A3" s="141"/>
      <c r="B3" s="141"/>
      <c r="C3" s="141"/>
      <c r="D3" s="141"/>
      <c r="E3" s="141"/>
      <c r="F3" s="651"/>
      <c r="G3" s="651"/>
      <c r="H3" s="705"/>
      <c r="I3" s="706"/>
      <c r="J3" s="141"/>
    </row>
    <row r="4" spans="1:10">
      <c r="A4" s="141"/>
      <c r="B4" s="141"/>
      <c r="C4" s="141"/>
      <c r="D4" s="141"/>
      <c r="E4" s="141"/>
      <c r="F4" s="651"/>
      <c r="G4" s="651"/>
      <c r="H4" s="705"/>
      <c r="I4" s="706"/>
      <c r="J4" s="141"/>
    </row>
    <row r="5" spans="1:10">
      <c r="A5" s="141"/>
      <c r="B5" s="141"/>
      <c r="C5" s="141"/>
      <c r="D5" s="141"/>
      <c r="E5" s="141"/>
      <c r="F5" s="651"/>
      <c r="G5" s="651"/>
      <c r="H5" s="705"/>
      <c r="I5" s="706"/>
      <c r="J5" s="141"/>
    </row>
    <row r="6" spans="1:10">
      <c r="A6" s="141"/>
      <c r="B6" s="141"/>
      <c r="C6" s="141"/>
      <c r="D6" s="141"/>
      <c r="E6" s="141"/>
      <c r="F6" s="651"/>
      <c r="G6" s="651"/>
      <c r="H6" s="705"/>
      <c r="I6" s="706"/>
      <c r="J6" s="141"/>
    </row>
    <row r="7" spans="1:10">
      <c r="A7" s="141"/>
      <c r="B7" s="141"/>
      <c r="C7" s="141"/>
      <c r="D7" s="141"/>
      <c r="E7" s="141"/>
      <c r="F7" s="651"/>
      <c r="G7" s="651"/>
      <c r="H7" s="705"/>
      <c r="I7" s="706"/>
      <c r="J7" s="141"/>
    </row>
    <row r="8" spans="1:10">
      <c r="A8" s="141"/>
      <c r="B8" s="141"/>
      <c r="C8" s="141"/>
      <c r="D8" s="141"/>
      <c r="E8" s="141"/>
      <c r="F8" s="141"/>
      <c r="G8" s="141"/>
      <c r="H8" s="171"/>
      <c r="I8" s="171"/>
      <c r="J8" s="141"/>
    </row>
    <row r="9" spans="1:10">
      <c r="A9" s="141"/>
      <c r="B9" s="141"/>
      <c r="C9" s="141"/>
      <c r="D9" s="141"/>
      <c r="E9" s="141"/>
      <c r="F9" s="141"/>
      <c r="G9" s="141"/>
      <c r="H9" s="141"/>
      <c r="I9" s="141"/>
      <c r="J9" s="141"/>
    </row>
    <row r="10" spans="1:10">
      <c r="A10" s="141"/>
      <c r="B10" s="141"/>
      <c r="C10" s="141"/>
      <c r="D10" s="141"/>
      <c r="E10" s="141"/>
      <c r="F10" s="141"/>
      <c r="G10" s="141"/>
      <c r="H10" s="141"/>
      <c r="I10" s="141"/>
      <c r="J10" s="141"/>
    </row>
    <row r="11" spans="1:10" ht="14.4">
      <c r="A11" s="316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4.4">
      <c r="A12" s="373"/>
      <c r="B12" s="141"/>
      <c r="C12" s="141"/>
      <c r="D12" s="141"/>
      <c r="E12" s="141"/>
      <c r="F12" s="141"/>
      <c r="G12" s="141"/>
      <c r="H12" s="141"/>
      <c r="I12" s="141"/>
      <c r="J12" s="141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7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A2" s="141"/>
      <c r="B2" s="141"/>
      <c r="C2" s="141"/>
      <c r="D2" s="171"/>
      <c r="E2" s="171"/>
      <c r="F2" s="171"/>
      <c r="G2" s="171"/>
      <c r="H2" s="171"/>
      <c r="I2" s="653"/>
      <c r="J2" s="171"/>
    </row>
    <row r="3" spans="1:10">
      <c r="A3" s="141"/>
      <c r="B3" s="141"/>
      <c r="C3" s="141"/>
      <c r="D3" s="171"/>
      <c r="E3" s="171"/>
      <c r="F3" s="171"/>
      <c r="G3" s="171"/>
      <c r="H3" s="171"/>
      <c r="I3" s="653"/>
      <c r="J3" s="171"/>
    </row>
    <row r="4" spans="1:10">
      <c r="A4" s="141"/>
      <c r="B4" s="141"/>
      <c r="C4" s="141"/>
      <c r="D4" s="171"/>
      <c r="E4" s="171"/>
      <c r="F4" s="171"/>
      <c r="G4" s="171"/>
      <c r="H4" s="171"/>
      <c r="I4" s="653"/>
      <c r="J4" s="171"/>
    </row>
    <row r="5" spans="1:10">
      <c r="A5" s="141"/>
      <c r="B5" s="141"/>
      <c r="C5" s="141"/>
      <c r="D5" s="171"/>
      <c r="E5" s="171"/>
      <c r="F5" s="171"/>
      <c r="G5" s="171"/>
      <c r="H5" s="171"/>
      <c r="I5" s="653"/>
      <c r="J5" s="171"/>
    </row>
    <row r="6" spans="1:10">
      <c r="A6" s="141"/>
      <c r="B6" s="141"/>
      <c r="C6" s="141"/>
      <c r="D6" s="171"/>
      <c r="E6" s="171"/>
      <c r="F6" s="171"/>
      <c r="G6" s="171"/>
      <c r="H6" s="171"/>
      <c r="I6" s="653"/>
      <c r="J6" s="171"/>
    </row>
    <row r="7" spans="1:10">
      <c r="A7" s="141"/>
      <c r="B7" s="141"/>
      <c r="C7" s="141"/>
      <c r="D7" s="171"/>
      <c r="E7" s="171"/>
      <c r="F7" s="171"/>
      <c r="G7" s="171"/>
      <c r="H7" s="171"/>
      <c r="I7" s="653"/>
      <c r="J7" s="171"/>
    </row>
    <row r="8" spans="1:10">
      <c r="A8" s="141"/>
      <c r="B8" s="141"/>
      <c r="C8" s="141"/>
      <c r="D8" s="171"/>
      <c r="E8" s="171"/>
      <c r="F8" s="171"/>
      <c r="G8" s="171"/>
      <c r="H8" s="171"/>
      <c r="I8" s="171"/>
      <c r="J8" s="171"/>
    </row>
    <row r="9" spans="1:10">
      <c r="A9" s="141"/>
      <c r="B9" s="141"/>
      <c r="C9" s="141"/>
      <c r="D9" s="141"/>
      <c r="E9" s="141"/>
      <c r="F9" s="141"/>
      <c r="G9" s="141"/>
      <c r="H9" s="141"/>
      <c r="I9" s="141"/>
      <c r="J9" s="141"/>
    </row>
    <row r="10" spans="1:10">
      <c r="A10" s="141"/>
      <c r="B10" s="141"/>
      <c r="C10" s="141"/>
      <c r="D10" s="141"/>
      <c r="E10" s="141"/>
      <c r="F10" s="141"/>
      <c r="G10" s="141"/>
      <c r="H10" s="141"/>
      <c r="I10" s="141"/>
      <c r="J10" s="141"/>
    </row>
    <row r="11" spans="1:10" ht="14.4">
      <c r="A11" s="373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4.4">
      <c r="A12" s="373"/>
      <c r="B12" s="141"/>
      <c r="C12" s="141"/>
      <c r="D12" s="141"/>
      <c r="E12" s="141"/>
      <c r="F12" s="141"/>
      <c r="G12" s="141"/>
      <c r="H12" s="141"/>
      <c r="I12" s="141"/>
      <c r="J12" s="141"/>
    </row>
    <row r="13" spans="1:10" ht="14.4">
      <c r="A13" s="373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0" ht="14.4">
      <c r="A14" s="373"/>
      <c r="B14" s="141"/>
      <c r="C14" s="141"/>
      <c r="D14" s="141"/>
      <c r="E14" s="141"/>
      <c r="F14" s="141"/>
      <c r="G14" s="141"/>
      <c r="H14" s="141"/>
      <c r="I14" s="141"/>
      <c r="J14" s="141"/>
    </row>
    <row r="15" spans="1:10" ht="14.4">
      <c r="A15" s="373"/>
      <c r="B15" s="316"/>
      <c r="C15" s="141"/>
      <c r="D15" s="141"/>
      <c r="E15" s="141"/>
      <c r="F15" s="141"/>
      <c r="G15" s="141"/>
      <c r="H15" s="141"/>
      <c r="I15" s="141"/>
      <c r="J15" s="141"/>
    </row>
    <row r="16" spans="1:10" ht="14.4">
      <c r="A16" s="373"/>
      <c r="B16" s="311"/>
      <c r="C16" s="141"/>
      <c r="D16" s="141"/>
      <c r="E16" s="141"/>
      <c r="F16" s="141"/>
      <c r="G16" s="141"/>
      <c r="H16" s="141"/>
      <c r="I16" s="141"/>
      <c r="J16" s="141"/>
    </row>
    <row r="17" spans="1:10" ht="14.4">
      <c r="A17" s="373"/>
      <c r="B17" s="311"/>
      <c r="C17" s="141"/>
      <c r="D17" s="141"/>
      <c r="E17" s="141"/>
      <c r="F17" s="141"/>
      <c r="G17" s="141"/>
      <c r="H17" s="141"/>
      <c r="I17" s="141"/>
      <c r="J17" s="141"/>
    </row>
    <row r="18" spans="1:10" ht="14.4">
      <c r="A18" s="373"/>
      <c r="B18" s="141"/>
      <c r="C18" s="141"/>
      <c r="D18" s="141"/>
      <c r="E18" s="141"/>
      <c r="F18" s="141"/>
      <c r="G18" s="141"/>
      <c r="H18" s="141"/>
      <c r="I18" s="141"/>
      <c r="J18" s="141"/>
    </row>
    <row r="22" spans="1:10" ht="14.4">
      <c r="A22" s="373"/>
    </row>
    <row r="23" spans="1:10" ht="14.4">
      <c r="A23" s="373"/>
    </row>
    <row r="24" spans="1:10" ht="14.4">
      <c r="A24" s="373"/>
    </row>
    <row r="25" spans="1:10" ht="14.4">
      <c r="A25" s="373"/>
    </row>
    <row r="26" spans="1:10" ht="14.4">
      <c r="A26" s="373"/>
    </row>
    <row r="27" spans="1:10" ht="14.4">
      <c r="A27" s="373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7" sqref="A1:J7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>
      <c r="A6" s="141"/>
      <c r="B6" s="141"/>
      <c r="C6" s="141"/>
      <c r="D6" s="141"/>
      <c r="E6" s="141"/>
      <c r="F6" s="141"/>
      <c r="G6" s="141"/>
      <c r="H6" s="141"/>
      <c r="I6" s="141"/>
      <c r="J6" s="141"/>
    </row>
    <row r="7" spans="1:10">
      <c r="A7" s="141"/>
      <c r="B7" s="141"/>
      <c r="C7" s="141"/>
      <c r="D7" s="141"/>
      <c r="E7" s="141"/>
      <c r="F7" s="141"/>
      <c r="G7" s="141"/>
      <c r="H7" s="141"/>
      <c r="I7" s="141"/>
      <c r="J7" s="141"/>
    </row>
    <row r="8" spans="1:10">
      <c r="A8" s="141"/>
      <c r="B8" s="141"/>
      <c r="C8" s="141"/>
      <c r="D8" s="141"/>
      <c r="E8" s="141"/>
      <c r="F8" s="141"/>
      <c r="G8" s="141"/>
      <c r="H8" s="141"/>
      <c r="I8" s="141"/>
      <c r="J8" s="141"/>
    </row>
    <row r="9" spans="1:10">
      <c r="A9" s="141"/>
      <c r="B9" s="141"/>
      <c r="C9" s="141"/>
      <c r="D9" s="141"/>
      <c r="E9" s="141"/>
      <c r="F9" s="141"/>
      <c r="G9" s="141"/>
      <c r="H9" s="141"/>
      <c r="I9" s="141"/>
      <c r="J9" s="141"/>
    </row>
    <row r="10" spans="1:10">
      <c r="A10" s="141"/>
      <c r="B10" s="141"/>
      <c r="C10" s="141"/>
      <c r="D10" s="141"/>
      <c r="E10" s="141"/>
      <c r="F10" s="141"/>
      <c r="G10" s="141"/>
      <c r="H10" s="141"/>
      <c r="I10" s="141"/>
      <c r="J10" s="141"/>
    </row>
    <row r="11" spans="1:10">
      <c r="A11" s="141"/>
      <c r="B11" s="141"/>
      <c r="C11" s="141"/>
      <c r="D11" s="141"/>
      <c r="E11" s="141"/>
      <c r="F11" s="141"/>
      <c r="G11" s="141"/>
      <c r="H11" s="141"/>
      <c r="I11" s="141"/>
      <c r="J11" s="141"/>
    </row>
    <row r="12" spans="1:10" ht="14.4">
      <c r="A12" s="373"/>
      <c r="B12" s="141"/>
      <c r="C12" s="141"/>
      <c r="D12" s="141"/>
      <c r="E12" s="141"/>
      <c r="F12" s="141"/>
      <c r="G12" s="141"/>
      <c r="H12" s="141"/>
      <c r="I12" s="141"/>
      <c r="J12" s="141"/>
    </row>
    <row r="13" spans="1:10" ht="14.4">
      <c r="A13" s="373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0" ht="14.4">
      <c r="A14" s="373"/>
      <c r="B14" s="141"/>
      <c r="C14" s="141"/>
      <c r="D14" s="141"/>
      <c r="E14" s="141"/>
      <c r="F14" s="141"/>
      <c r="G14" s="141"/>
      <c r="H14" s="499"/>
      <c r="I14" s="141"/>
      <c r="J14" s="141"/>
    </row>
    <row r="15" spans="1:10" ht="14.4">
      <c r="A15" s="373"/>
      <c r="B15" s="141"/>
      <c r="C15" s="141"/>
      <c r="D15" s="141"/>
      <c r="E15" s="141"/>
      <c r="F15" s="141"/>
      <c r="G15" s="141"/>
      <c r="H15" s="141"/>
      <c r="I15" s="141"/>
      <c r="J15" s="141"/>
    </row>
    <row r="16" spans="1:10">
      <c r="A16" s="141"/>
      <c r="B16" s="141"/>
      <c r="C16" s="141"/>
      <c r="D16" s="141"/>
      <c r="E16" s="141"/>
      <c r="F16" s="141"/>
      <c r="G16" s="141"/>
      <c r="H16" s="141"/>
      <c r="I16" s="141"/>
      <c r="J16" s="141"/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sqref="A1:J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2" spans="1:9">
      <c r="I2" s="141"/>
    </row>
    <row r="3" spans="1:9">
      <c r="I3" s="141"/>
    </row>
    <row r="4" spans="1:9">
      <c r="I4" s="141"/>
    </row>
    <row r="5" spans="1:9">
      <c r="I5" s="141"/>
    </row>
    <row r="6" spans="1:9">
      <c r="I6" s="141"/>
    </row>
    <row r="7" spans="1:9">
      <c r="I7" s="141"/>
    </row>
    <row r="8" spans="1:9">
      <c r="I8" s="171"/>
    </row>
    <row r="11" spans="1:9">
      <c r="A11" s="238"/>
      <c r="B11" s="238"/>
      <c r="C11" s="238"/>
    </row>
    <row r="12" spans="1:9">
      <c r="A12" s="238"/>
      <c r="B12" s="238"/>
      <c r="C12" s="238"/>
    </row>
    <row r="13" spans="1:9">
      <c r="A13" s="238"/>
      <c r="B13" s="238"/>
      <c r="C13" s="238"/>
    </row>
    <row r="14" spans="1:9">
      <c r="B14" s="238"/>
      <c r="C14" s="238"/>
    </row>
    <row r="15" spans="1:9">
      <c r="A15" s="492"/>
    </row>
    <row r="18" spans="1:2">
      <c r="A18" s="238"/>
      <c r="B18" s="238"/>
    </row>
    <row r="19" spans="1:2">
      <c r="A19" s="238"/>
      <c r="B19" s="238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19" customWidth="1"/>
    <col min="6" max="8" width="12.109375" style="11" customWidth="1"/>
    <col min="9" max="9" width="11.44140625" style="119" customWidth="1"/>
    <col min="10" max="12" width="12.88671875" style="11" customWidth="1"/>
    <col min="13" max="13" width="11.44140625" style="119" customWidth="1"/>
    <col min="14" max="16" width="12" style="11" customWidth="1"/>
    <col min="17" max="18" width="11.44140625" style="119" customWidth="1"/>
    <col min="19" max="16384" width="9.109375" style="12"/>
  </cols>
  <sheetData>
    <row r="1" spans="1:19" s="18" customFormat="1" ht="15" customHeight="1">
      <c r="A1" s="29" t="s">
        <v>159</v>
      </c>
      <c r="B1" s="778" t="s">
        <v>161</v>
      </c>
      <c r="C1" s="768"/>
      <c r="D1" s="768"/>
      <c r="E1" s="768"/>
      <c r="F1" s="778" t="s">
        <v>162</v>
      </c>
      <c r="G1" s="768"/>
      <c r="H1" s="768"/>
      <c r="I1" s="768"/>
      <c r="J1" s="778" t="s">
        <v>167</v>
      </c>
      <c r="K1" s="768"/>
      <c r="L1" s="768"/>
      <c r="M1" s="768"/>
      <c r="N1" s="778" t="s">
        <v>160</v>
      </c>
      <c r="O1" s="768"/>
      <c r="P1" s="768"/>
      <c r="Q1" s="768"/>
      <c r="R1" s="150"/>
    </row>
    <row r="2" spans="1:19" s="18" customFormat="1" ht="15" customHeight="1">
      <c r="A2" s="5" t="s">
        <v>0</v>
      </c>
      <c r="B2" s="41" t="s">
        <v>10</v>
      </c>
      <c r="C2" s="41" t="s">
        <v>11</v>
      </c>
      <c r="D2" s="41" t="s">
        <v>12</v>
      </c>
      <c r="E2" s="156" t="s">
        <v>118</v>
      </c>
      <c r="F2" s="41" t="s">
        <v>7</v>
      </c>
      <c r="G2" s="41" t="s">
        <v>8</v>
      </c>
      <c r="H2" s="41" t="s">
        <v>9</v>
      </c>
      <c r="I2" s="156" t="s">
        <v>117</v>
      </c>
      <c r="J2" s="41" t="s">
        <v>4</v>
      </c>
      <c r="K2" s="41" t="s">
        <v>5</v>
      </c>
      <c r="L2" s="41" t="s">
        <v>6</v>
      </c>
      <c r="M2" s="156" t="s">
        <v>116</v>
      </c>
      <c r="N2" s="41" t="s">
        <v>1</v>
      </c>
      <c r="O2" s="41" t="s">
        <v>2</v>
      </c>
      <c r="P2" s="41" t="s">
        <v>3</v>
      </c>
      <c r="Q2" s="156" t="s">
        <v>110</v>
      </c>
      <c r="R2" s="85" t="s">
        <v>119</v>
      </c>
    </row>
    <row r="3" spans="1:19" s="18" customFormat="1" ht="1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9" s="18" customFormat="1" ht="15" customHeight="1">
      <c r="A4" s="6" t="s">
        <v>36</v>
      </c>
      <c r="B4" s="74" t="e">
        <f>Target!#REF!</f>
        <v>#REF!</v>
      </c>
      <c r="C4" s="74" t="e">
        <f>Target!#REF!</f>
        <v>#REF!</v>
      </c>
      <c r="D4" s="74" t="e">
        <f>Target!#REF!</f>
        <v>#REF!</v>
      </c>
      <c r="E4" s="157" t="e">
        <f>SUM(B4:D4)</f>
        <v>#REF!</v>
      </c>
      <c r="F4" s="74" t="e">
        <f>Target!#REF!</f>
        <v>#REF!</v>
      </c>
      <c r="G4" s="74" t="e">
        <f>Target!#REF!</f>
        <v>#REF!</v>
      </c>
      <c r="H4" s="74" t="e">
        <f>Target!#REF!</f>
        <v>#REF!</v>
      </c>
      <c r="I4" s="157" t="e">
        <f>SUM(F4:H4)</f>
        <v>#REF!</v>
      </c>
      <c r="J4" s="74" t="e">
        <f>Target!#REF!</f>
        <v>#REF!</v>
      </c>
      <c r="K4" s="74" t="e">
        <f>Target!#REF!</f>
        <v>#REF!</v>
      </c>
      <c r="L4" s="74" t="e">
        <f>Target!#REF!</f>
        <v>#REF!</v>
      </c>
      <c r="M4" s="157" t="e">
        <f>SUM(J4:L4)</f>
        <v>#REF!</v>
      </c>
      <c r="N4" s="74" t="e">
        <f>Target!#REF!</f>
        <v>#REF!</v>
      </c>
      <c r="O4" s="74" t="e">
        <f>Target!#REF!</f>
        <v>#REF!</v>
      </c>
      <c r="P4" s="74" t="e">
        <f>Target!#REF!</f>
        <v>#REF!</v>
      </c>
      <c r="Q4" s="157" t="e">
        <f>SUM(N4:P4)</f>
        <v>#REF!</v>
      </c>
      <c r="R4" s="87" t="e">
        <f>Q4+M4+I4+E4</f>
        <v>#REF!</v>
      </c>
    </row>
    <row r="5" spans="1:19" s="18" customFormat="1" ht="15" customHeight="1">
      <c r="A5" s="7" t="s">
        <v>35</v>
      </c>
      <c r="B5" s="70" t="e">
        <f>B4</f>
        <v>#REF!</v>
      </c>
      <c r="C5" s="70" t="e">
        <f>C4+B5</f>
        <v>#REF!</v>
      </c>
      <c r="D5" s="70" t="e">
        <f>D4+C5</f>
        <v>#REF!</v>
      </c>
      <c r="E5" s="158"/>
      <c r="F5" s="70" t="e">
        <f>F4</f>
        <v>#REF!</v>
      </c>
      <c r="G5" s="70" t="e">
        <f>G4+F5</f>
        <v>#REF!</v>
      </c>
      <c r="H5" s="70" t="e">
        <f>H4+G5</f>
        <v>#REF!</v>
      </c>
      <c r="I5" s="158"/>
      <c r="J5" s="70" t="e">
        <f>J4</f>
        <v>#REF!</v>
      </c>
      <c r="K5" s="70" t="e">
        <f>K4+J5</f>
        <v>#REF!</v>
      </c>
      <c r="L5" s="70" t="e">
        <f>L4+K5</f>
        <v>#REF!</v>
      </c>
      <c r="M5" s="158"/>
      <c r="N5" s="70" t="e">
        <f>N4</f>
        <v>#REF!</v>
      </c>
      <c r="O5" s="70" t="e">
        <f>O4+N5</f>
        <v>#REF!</v>
      </c>
      <c r="P5" s="70" t="e">
        <f>P4+O5</f>
        <v>#REF!</v>
      </c>
      <c r="Q5" s="158"/>
      <c r="R5" s="301" t="e">
        <f>R6/R4</f>
        <v>#REF!</v>
      </c>
    </row>
    <row r="6" spans="1:19" s="18" customFormat="1" ht="15" customHeight="1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57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57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57">
        <f>SUM(J6:L6)</f>
        <v>0</v>
      </c>
      <c r="N6" s="68">
        <f>SUMIF(I!A:A,$A$1,I!I:I)</f>
        <v>0</v>
      </c>
      <c r="O6" s="26">
        <f>SUMIF(II!A:A,$A$1,II!I:I)</f>
        <v>0</v>
      </c>
      <c r="P6" s="26">
        <f>SUMIF(III!A:A,$A$1,III!I:I)</f>
        <v>0</v>
      </c>
      <c r="Q6" s="157">
        <f>SUM(N6:P6)</f>
        <v>0</v>
      </c>
      <c r="R6" s="87">
        <f>Q6+M6+I6+E6</f>
        <v>0</v>
      </c>
    </row>
    <row r="7" spans="1:19" s="18" customFormat="1" ht="15" customHeight="1">
      <c r="A7" s="7" t="s">
        <v>38</v>
      </c>
      <c r="B7" s="70">
        <f>B6</f>
        <v>0</v>
      </c>
      <c r="C7" s="70">
        <f>C6+B7</f>
        <v>0</v>
      </c>
      <c r="D7" s="70">
        <f>D6+C7</f>
        <v>0</v>
      </c>
      <c r="E7" s="158"/>
      <c r="F7" s="70">
        <f>F6</f>
        <v>0</v>
      </c>
      <c r="G7" s="70">
        <f>G6+F7</f>
        <v>0</v>
      </c>
      <c r="H7" s="70">
        <f>H6+G7</f>
        <v>0</v>
      </c>
      <c r="I7" s="158"/>
      <c r="J7" s="70">
        <f>J6</f>
        <v>0</v>
      </c>
      <c r="K7" s="70">
        <f>K6+J7</f>
        <v>0</v>
      </c>
      <c r="L7" s="70">
        <f>L6+K7</f>
        <v>0</v>
      </c>
      <c r="M7" s="158"/>
      <c r="N7" s="70">
        <f>N6</f>
        <v>0</v>
      </c>
      <c r="O7" s="70">
        <f>O6+N7</f>
        <v>0</v>
      </c>
      <c r="P7" s="70">
        <f>P6+O7</f>
        <v>0</v>
      </c>
      <c r="Q7" s="158"/>
      <c r="R7" s="89"/>
    </row>
    <row r="8" spans="1:19" s="18" customFormat="1" ht="15" customHeight="1">
      <c r="A8" s="23" t="s">
        <v>39</v>
      </c>
      <c r="B8" s="75" t="e">
        <f t="shared" ref="B8:D9" si="0">B6/B4</f>
        <v>#REF!</v>
      </c>
      <c r="C8" s="75" t="e">
        <f t="shared" si="0"/>
        <v>#REF!</v>
      </c>
      <c r="D8" s="75" t="e">
        <f t="shared" si="0"/>
        <v>#REF!</v>
      </c>
      <c r="E8" s="159"/>
      <c r="F8" s="75" t="e">
        <f t="shared" ref="F8:H9" si="1">F6/F4</f>
        <v>#REF!</v>
      </c>
      <c r="G8" s="75" t="e">
        <f t="shared" si="1"/>
        <v>#REF!</v>
      </c>
      <c r="H8" s="75" t="e">
        <f t="shared" si="1"/>
        <v>#REF!</v>
      </c>
      <c r="I8" s="159"/>
      <c r="J8" s="75" t="e">
        <f>J6/J4</f>
        <v>#REF!</v>
      </c>
      <c r="K8" s="75" t="e">
        <f t="shared" ref="J8:L9" si="2">K6/K4</f>
        <v>#REF!</v>
      </c>
      <c r="L8" s="75" t="e">
        <f t="shared" si="2"/>
        <v>#REF!</v>
      </c>
      <c r="M8" s="159"/>
      <c r="N8" s="75" t="e">
        <f t="shared" ref="N8:P9" si="3">N6/N4</f>
        <v>#REF!</v>
      </c>
      <c r="O8" s="75" t="e">
        <f t="shared" si="3"/>
        <v>#REF!</v>
      </c>
      <c r="P8" s="75" t="e">
        <f t="shared" si="3"/>
        <v>#REF!</v>
      </c>
      <c r="Q8" s="159"/>
      <c r="R8" s="92"/>
    </row>
    <row r="9" spans="1:19" s="19" customFormat="1" ht="15" customHeight="1">
      <c r="A9" s="23" t="s">
        <v>40</v>
      </c>
      <c r="B9" s="75" t="e">
        <f t="shared" si="0"/>
        <v>#REF!</v>
      </c>
      <c r="C9" s="75" t="e">
        <f t="shared" si="0"/>
        <v>#REF!</v>
      </c>
      <c r="D9" s="75" t="e">
        <f t="shared" si="0"/>
        <v>#REF!</v>
      </c>
      <c r="E9" s="159"/>
      <c r="F9" s="75" t="e">
        <f>F7/F5</f>
        <v>#REF!</v>
      </c>
      <c r="G9" s="75" t="e">
        <f t="shared" si="1"/>
        <v>#REF!</v>
      </c>
      <c r="H9" s="75" t="e">
        <f t="shared" si="1"/>
        <v>#REF!</v>
      </c>
      <c r="I9" s="159"/>
      <c r="J9" s="75" t="e">
        <f t="shared" si="2"/>
        <v>#REF!</v>
      </c>
      <c r="K9" s="75" t="e">
        <f>K7/K5</f>
        <v>#REF!</v>
      </c>
      <c r="L9" s="75" t="e">
        <f t="shared" si="2"/>
        <v>#REF!</v>
      </c>
      <c r="M9" s="159"/>
      <c r="N9" s="75" t="e">
        <f t="shared" si="3"/>
        <v>#REF!</v>
      </c>
      <c r="O9" s="75" t="e">
        <f>O7/O5</f>
        <v>#REF!</v>
      </c>
      <c r="P9" s="75" t="e">
        <f t="shared" si="3"/>
        <v>#REF!</v>
      </c>
      <c r="Q9" s="159"/>
      <c r="R9" s="93"/>
    </row>
    <row r="10" spans="1:19" s="38" customFormat="1" ht="15" customHeight="1">
      <c r="A10" s="7" t="s">
        <v>48</v>
      </c>
      <c r="B10" s="76" t="e">
        <f>B7-B5</f>
        <v>#REF!</v>
      </c>
      <c r="C10" s="76" t="e">
        <f>C7-C5</f>
        <v>#REF!</v>
      </c>
      <c r="D10" s="76" t="e">
        <f>D7-D5</f>
        <v>#REF!</v>
      </c>
      <c r="E10" s="158"/>
      <c r="F10" s="76" t="e">
        <f>F7-F5</f>
        <v>#REF!</v>
      </c>
      <c r="G10" s="76" t="e">
        <f>G7-G5</f>
        <v>#REF!</v>
      </c>
      <c r="H10" s="76" t="e">
        <f>H7-H5</f>
        <v>#REF!</v>
      </c>
      <c r="I10" s="158"/>
      <c r="J10" s="76" t="e">
        <f>J7-J5</f>
        <v>#REF!</v>
      </c>
      <c r="K10" s="76" t="e">
        <f>K7-K5</f>
        <v>#REF!</v>
      </c>
      <c r="L10" s="76" t="e">
        <f>L7-L5</f>
        <v>#REF!</v>
      </c>
      <c r="M10" s="158"/>
      <c r="N10" s="76" t="e">
        <f>N7-N5</f>
        <v>#REF!</v>
      </c>
      <c r="O10" s="76" t="e">
        <f>O7-O5</f>
        <v>#REF!</v>
      </c>
      <c r="P10" s="76" t="e">
        <f>P7-P5</f>
        <v>#REF!</v>
      </c>
      <c r="Q10" s="158"/>
      <c r="R10" s="89"/>
    </row>
    <row r="11" spans="1:19" s="18" customFormat="1" ht="15" customHeight="1">
      <c r="A11" s="6" t="s">
        <v>41</v>
      </c>
      <c r="B11" s="74" t="e">
        <f>Target!#REF!</f>
        <v>#REF!</v>
      </c>
      <c r="C11" s="74" t="e">
        <f>Target!#REF!</f>
        <v>#REF!</v>
      </c>
      <c r="D11" s="74" t="e">
        <f>Target!#REF!</f>
        <v>#REF!</v>
      </c>
      <c r="E11" s="157" t="e">
        <f>SUM(B11:D11)</f>
        <v>#REF!</v>
      </c>
      <c r="F11" s="74" t="e">
        <f>Target!#REF!</f>
        <v>#REF!</v>
      </c>
      <c r="G11" s="74" t="e">
        <f>Target!#REF!</f>
        <v>#REF!</v>
      </c>
      <c r="H11" s="74" t="e">
        <f>Target!#REF!</f>
        <v>#REF!</v>
      </c>
      <c r="I11" s="157" t="e">
        <f>SUM(F11:H11)</f>
        <v>#REF!</v>
      </c>
      <c r="J11" s="74" t="e">
        <f>Target!#REF!</f>
        <v>#REF!</v>
      </c>
      <c r="K11" s="74" t="e">
        <f>Target!#REF!</f>
        <v>#REF!</v>
      </c>
      <c r="L11" s="74" t="e">
        <f>Target!#REF!</f>
        <v>#REF!</v>
      </c>
      <c r="M11" s="157" t="e">
        <f>SUM(J11:L11)</f>
        <v>#REF!</v>
      </c>
      <c r="N11" s="74" t="e">
        <f>Target!#REF!</f>
        <v>#REF!</v>
      </c>
      <c r="O11" s="74" t="e">
        <f>Target!#REF!</f>
        <v>#REF!</v>
      </c>
      <c r="P11" s="74" t="e">
        <f>Target!#REF!</f>
        <v>#REF!</v>
      </c>
      <c r="Q11" s="157" t="e">
        <f>SUM(N11:P11)</f>
        <v>#REF!</v>
      </c>
      <c r="R11" s="87" t="e">
        <f>Q11+M11+I11+E11</f>
        <v>#REF!</v>
      </c>
      <c r="S11" s="11"/>
    </row>
    <row r="12" spans="1:19" s="18" customFormat="1" ht="15" customHeight="1">
      <c r="A12" s="7" t="s">
        <v>42</v>
      </c>
      <c r="B12" s="70" t="e">
        <f>B11</f>
        <v>#REF!</v>
      </c>
      <c r="C12" s="70" t="e">
        <f>C11+B12</f>
        <v>#REF!</v>
      </c>
      <c r="D12" s="70" t="e">
        <f>D11+C12</f>
        <v>#REF!</v>
      </c>
      <c r="E12" s="158"/>
      <c r="F12" s="70" t="e">
        <f>F11</f>
        <v>#REF!</v>
      </c>
      <c r="G12" s="70" t="e">
        <f>G11+F12</f>
        <v>#REF!</v>
      </c>
      <c r="H12" s="70" t="e">
        <f>H11+G12</f>
        <v>#REF!</v>
      </c>
      <c r="I12" s="158"/>
      <c r="J12" s="70" t="e">
        <f>J11</f>
        <v>#REF!</v>
      </c>
      <c r="K12" s="70" t="e">
        <f>K11+J12</f>
        <v>#REF!</v>
      </c>
      <c r="L12" s="70" t="e">
        <f>L11+K12</f>
        <v>#REF!</v>
      </c>
      <c r="M12" s="158"/>
      <c r="N12" s="70" t="e">
        <f>N11</f>
        <v>#REF!</v>
      </c>
      <c r="O12" s="70" t="e">
        <f>O11+N12</f>
        <v>#REF!</v>
      </c>
      <c r="P12" s="70" t="e">
        <f>P11+O12</f>
        <v>#REF!</v>
      </c>
      <c r="Q12" s="158"/>
      <c r="R12" s="301" t="e">
        <f>R13/R11</f>
        <v>#REF!</v>
      </c>
    </row>
    <row r="13" spans="1:19" s="18" customFormat="1" ht="15" customHeight="1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57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57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57">
        <f>SUM(J13:L13)</f>
        <v>0</v>
      </c>
      <c r="N13" s="68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57">
        <f>SUM(N13:P13)</f>
        <v>0</v>
      </c>
      <c r="R13" s="87">
        <f>Q13+M13+I13+E13</f>
        <v>0</v>
      </c>
    </row>
    <row r="14" spans="1:19" customFormat="1">
      <c r="A14" s="7" t="s">
        <v>44</v>
      </c>
      <c r="B14" s="70">
        <f>B13</f>
        <v>0</v>
      </c>
      <c r="C14" s="70">
        <f>C13+B14</f>
        <v>0</v>
      </c>
      <c r="D14" s="70">
        <f>D13+C14</f>
        <v>0</v>
      </c>
      <c r="E14" s="158"/>
      <c r="F14" s="70">
        <f>F13</f>
        <v>0</v>
      </c>
      <c r="G14" s="70">
        <f>G13+F14</f>
        <v>0</v>
      </c>
      <c r="H14" s="70">
        <f>H13+G14</f>
        <v>0</v>
      </c>
      <c r="I14" s="158"/>
      <c r="J14" s="70">
        <f>J13</f>
        <v>0</v>
      </c>
      <c r="K14" s="70">
        <f>K13+J14</f>
        <v>0</v>
      </c>
      <c r="L14" s="70">
        <f>L13+K14</f>
        <v>0</v>
      </c>
      <c r="M14" s="158"/>
      <c r="N14" s="70">
        <f>N13</f>
        <v>0</v>
      </c>
      <c r="O14" s="70">
        <f>O13+N14</f>
        <v>0</v>
      </c>
      <c r="P14" s="70">
        <f>P13+O14</f>
        <v>0</v>
      </c>
      <c r="Q14" s="158"/>
      <c r="R14" s="89"/>
    </row>
    <row r="15" spans="1:19" s="18" customFormat="1" ht="15" customHeight="1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9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9"/>
      <c r="J15" s="24" t="e">
        <f t="shared" ref="J15:L16" si="6">J13/J11</f>
        <v>#REF!</v>
      </c>
      <c r="K15" s="24" t="e">
        <f t="shared" si="6"/>
        <v>#REF!</v>
      </c>
      <c r="L15" s="24" t="e">
        <f t="shared" si="6"/>
        <v>#REF!</v>
      </c>
      <c r="M15" s="159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9"/>
      <c r="R15" s="92"/>
    </row>
    <row r="16" spans="1:19" s="18" customFormat="1" ht="15" customHeight="1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9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9"/>
      <c r="J16" s="24" t="e">
        <f t="shared" si="6"/>
        <v>#REF!</v>
      </c>
      <c r="K16" s="24" t="e">
        <f>K14/K12</f>
        <v>#REF!</v>
      </c>
      <c r="L16" s="24" t="e">
        <f t="shared" si="6"/>
        <v>#REF!</v>
      </c>
      <c r="M16" s="159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9"/>
      <c r="R16" s="93"/>
    </row>
    <row r="17" spans="1:19" s="18" customFormat="1" ht="11.25" customHeight="1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8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8"/>
      <c r="J17" s="22" t="e">
        <f>J14-J12</f>
        <v>#REF!</v>
      </c>
      <c r="K17" s="22" t="e">
        <f>K14-K12</f>
        <v>#REF!</v>
      </c>
      <c r="L17" s="22" t="e">
        <f>L14-L12</f>
        <v>#REF!</v>
      </c>
      <c r="M17" s="158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8"/>
      <c r="R17" s="94"/>
    </row>
    <row r="18" spans="1:19" s="18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60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0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0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0"/>
      <c r="R18" s="96"/>
    </row>
    <row r="19" spans="1:19" s="18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0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60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0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0"/>
      <c r="R19" s="96"/>
    </row>
    <row r="20" spans="1:19" s="54" customFormat="1" ht="15" customHeight="1">
      <c r="B20" s="79"/>
      <c r="C20" s="79"/>
      <c r="D20" s="79"/>
      <c r="E20" s="161"/>
      <c r="F20" s="79"/>
      <c r="G20" s="79"/>
      <c r="H20" s="79"/>
      <c r="I20" s="161"/>
      <c r="J20" s="79"/>
      <c r="K20" s="79"/>
      <c r="L20" s="79"/>
      <c r="M20" s="161"/>
      <c r="O20" s="79"/>
      <c r="P20" s="79"/>
      <c r="Q20" s="161"/>
      <c r="R20" s="97"/>
      <c r="S20" s="53"/>
    </row>
    <row r="21" spans="1:19" s="18" customFormat="1" ht="15" customHeight="1">
      <c r="A21" s="43"/>
      <c r="B21" s="152"/>
      <c r="C21" s="152"/>
      <c r="D21" s="152"/>
      <c r="E21" s="162"/>
      <c r="F21" s="152"/>
      <c r="G21" s="152"/>
      <c r="H21" s="152"/>
      <c r="I21" s="162"/>
      <c r="J21" s="152"/>
      <c r="K21" s="152"/>
      <c r="L21" s="78"/>
      <c r="M21" s="162"/>
      <c r="N21" s="151" t="s">
        <v>26</v>
      </c>
      <c r="O21" s="152"/>
      <c r="P21" s="152"/>
      <c r="Q21" s="152"/>
      <c r="R21" s="101"/>
    </row>
    <row r="22" spans="1:19" s="18" customFormat="1" ht="15" customHeight="1">
      <c r="A22" s="56" t="s">
        <v>74</v>
      </c>
      <c r="B22" s="58">
        <v>3450</v>
      </c>
      <c r="C22" s="58">
        <v>3450</v>
      </c>
      <c r="D22" s="58">
        <v>3450</v>
      </c>
      <c r="E22" s="163"/>
      <c r="F22" s="58">
        <v>3450</v>
      </c>
      <c r="G22" s="58">
        <v>3450</v>
      </c>
      <c r="H22" s="58">
        <v>3450</v>
      </c>
      <c r="I22" s="163"/>
      <c r="J22" s="58">
        <v>3450</v>
      </c>
      <c r="K22" s="58">
        <v>3450</v>
      </c>
      <c r="L22" s="58">
        <v>3450</v>
      </c>
      <c r="M22" s="163"/>
      <c r="N22" s="58">
        <v>3450</v>
      </c>
      <c r="O22" s="58">
        <v>3450</v>
      </c>
      <c r="P22" s="58">
        <v>3450</v>
      </c>
      <c r="Q22" s="163"/>
      <c r="R22" s="101"/>
    </row>
    <row r="23" spans="1:19" s="18" customFormat="1" ht="15" customHeight="1">
      <c r="A23" s="17" t="s">
        <v>50</v>
      </c>
      <c r="B23" s="59" t="e">
        <f>B5</f>
        <v>#REF!</v>
      </c>
      <c r="C23" s="59" t="e">
        <f>C5</f>
        <v>#REF!</v>
      </c>
      <c r="D23" s="59" t="e">
        <f>D5</f>
        <v>#REF!</v>
      </c>
      <c r="E23" s="164"/>
      <c r="F23" s="59" t="e">
        <f>F5</f>
        <v>#REF!</v>
      </c>
      <c r="G23" s="59" t="e">
        <f>G5</f>
        <v>#REF!</v>
      </c>
      <c r="H23" s="59" t="e">
        <f>H5</f>
        <v>#REF!</v>
      </c>
      <c r="I23" s="164"/>
      <c r="J23" s="59" t="e">
        <f>J5</f>
        <v>#REF!</v>
      </c>
      <c r="K23" s="59" t="e">
        <f>K5</f>
        <v>#REF!</v>
      </c>
      <c r="L23" s="59" t="e">
        <f>L5</f>
        <v>#REF!</v>
      </c>
      <c r="M23" s="164"/>
      <c r="N23" s="59" t="e">
        <f>N5</f>
        <v>#REF!</v>
      </c>
      <c r="O23" s="59" t="e">
        <f>O5</f>
        <v>#REF!</v>
      </c>
      <c r="P23" s="59" t="e">
        <f>P5</f>
        <v>#REF!</v>
      </c>
      <c r="Q23" s="164"/>
      <c r="R23" s="103"/>
    </row>
    <row r="24" spans="1:19" s="18" customFormat="1" ht="15" customHeight="1">
      <c r="A24" s="34" t="s">
        <v>51</v>
      </c>
      <c r="B24" s="61">
        <f>B7</f>
        <v>0</v>
      </c>
      <c r="C24" s="61">
        <f>C7</f>
        <v>0</v>
      </c>
      <c r="D24" s="61">
        <f>D7</f>
        <v>0</v>
      </c>
      <c r="E24" s="165"/>
      <c r="F24" s="61">
        <f>F7</f>
        <v>0</v>
      </c>
      <c r="G24" s="61">
        <f>G7</f>
        <v>0</v>
      </c>
      <c r="H24" s="61">
        <f>H7</f>
        <v>0</v>
      </c>
      <c r="I24" s="165"/>
      <c r="J24" s="61">
        <f>J7</f>
        <v>0</v>
      </c>
      <c r="K24" s="61">
        <f>K7</f>
        <v>0</v>
      </c>
      <c r="L24" s="61">
        <f>L7</f>
        <v>0</v>
      </c>
      <c r="M24" s="165"/>
      <c r="N24" s="61">
        <f>N7</f>
        <v>0</v>
      </c>
      <c r="O24" s="61">
        <f>O7</f>
        <v>0</v>
      </c>
      <c r="P24" s="61">
        <f>P7</f>
        <v>0</v>
      </c>
      <c r="Q24" s="165"/>
      <c r="R24" s="103"/>
    </row>
    <row r="25" spans="1:19" s="20" customFormat="1" ht="15" customHeight="1">
      <c r="A25" s="34" t="s">
        <v>52</v>
      </c>
      <c r="B25" s="105" t="e">
        <f>B24/B23</f>
        <v>#REF!</v>
      </c>
      <c r="C25" s="105" t="e">
        <f>C24/C23</f>
        <v>#REF!</v>
      </c>
      <c r="D25" s="105" t="e">
        <f>D24/D23</f>
        <v>#REF!</v>
      </c>
      <c r="E25" s="166"/>
      <c r="F25" s="105" t="e">
        <f>F24/F23</f>
        <v>#REF!</v>
      </c>
      <c r="G25" s="105" t="e">
        <f>G24/G23</f>
        <v>#REF!</v>
      </c>
      <c r="H25" s="105" t="e">
        <f>H24/H23</f>
        <v>#REF!</v>
      </c>
      <c r="I25" s="166"/>
      <c r="J25" s="105" t="e">
        <f>J24/J23</f>
        <v>#REF!</v>
      </c>
      <c r="K25" s="105" t="e">
        <f>K24/K23</f>
        <v>#REF!</v>
      </c>
      <c r="L25" s="105" t="e">
        <f>L24/L23</f>
        <v>#REF!</v>
      </c>
      <c r="M25" s="166"/>
      <c r="N25" s="105" t="e">
        <f>N24/N23</f>
        <v>#REF!</v>
      </c>
      <c r="O25" s="105" t="e">
        <f>O24/O23</f>
        <v>#REF!</v>
      </c>
      <c r="P25" s="105" t="e">
        <f>P24/P23</f>
        <v>#REF!</v>
      </c>
      <c r="Q25" s="166"/>
      <c r="R25" s="103"/>
    </row>
    <row r="26" spans="1:19" s="18" customFormat="1" ht="15" customHeight="1">
      <c r="A26" s="33" t="s">
        <v>60</v>
      </c>
      <c r="B26" s="65">
        <f>B22*0.3</f>
        <v>1035</v>
      </c>
      <c r="C26" s="65">
        <f>C22*0.3</f>
        <v>1035</v>
      </c>
      <c r="D26" s="65">
        <f>D22*0.3</f>
        <v>1035</v>
      </c>
      <c r="E26" s="167"/>
      <c r="F26" s="65">
        <f>F22*0.3</f>
        <v>1035</v>
      </c>
      <c r="G26" s="65">
        <f>G22*0.3</f>
        <v>1035</v>
      </c>
      <c r="H26" s="65">
        <f>H22*0.3</f>
        <v>1035</v>
      </c>
      <c r="I26" s="167"/>
      <c r="J26" s="65">
        <f>J22*0.3</f>
        <v>1035</v>
      </c>
      <c r="K26" s="65">
        <f>K22*0.3</f>
        <v>1035</v>
      </c>
      <c r="L26" s="65">
        <f>L22*0.3</f>
        <v>1035</v>
      </c>
      <c r="M26" s="167"/>
      <c r="N26" s="65">
        <f>N22*0.3</f>
        <v>1035</v>
      </c>
      <c r="O26" s="65">
        <f>O22*0.3</f>
        <v>1035</v>
      </c>
      <c r="P26" s="65">
        <f>P22*0.3</f>
        <v>1035</v>
      </c>
      <c r="Q26" s="167"/>
      <c r="R26" s="106"/>
      <c r="S26" s="11"/>
    </row>
    <row r="27" spans="1:19" s="18" customFormat="1" ht="15" customHeight="1">
      <c r="A27" s="34" t="s">
        <v>53</v>
      </c>
      <c r="B27" s="61" t="e">
        <f>IF(B25&lt;80%,0,IF(B25&lt;90%,0.5,IF(B25&lt;95%,0.75,1)))</f>
        <v>#REF!</v>
      </c>
      <c r="C27" s="61" t="e">
        <f>IF(C25&lt;80%,0,IF(C25&lt;90%,0.5,IF(C25&lt;95%,0.75,1)))</f>
        <v>#REF!</v>
      </c>
      <c r="D27" s="61" t="e">
        <f>IF(D25&lt;80%,0,IF(D25&lt;90%,0.5,IF(D25&lt;95%,0.75,1)))</f>
        <v>#REF!</v>
      </c>
      <c r="E27" s="165"/>
      <c r="F27" s="61" t="e">
        <f>IF(F25&lt;80%,0,IF(F25&lt;90%,0.5,IF(F25&lt;95%,0.75,1)))</f>
        <v>#REF!</v>
      </c>
      <c r="G27" s="61" t="e">
        <f>IF(G25&lt;80%,0,IF(G25&lt;90%,0.5,IF(G25&lt;95%,0.75,1)))</f>
        <v>#REF!</v>
      </c>
      <c r="H27" s="61" t="e">
        <f>IF(H25&lt;80%,0,IF(H25&lt;90%,0.5,IF(H25&lt;95%,0.75,1)))</f>
        <v>#REF!</v>
      </c>
      <c r="I27" s="165"/>
      <c r="J27" s="61" t="e">
        <f>IF(J25&lt;80%,0,IF(J25&lt;90%,0.5,IF(J25&lt;95%,0.75,1)))</f>
        <v>#REF!</v>
      </c>
      <c r="K27" s="61" t="e">
        <f>IF(K25&lt;80%,0,IF(K25&lt;90%,0.5,IF(K25&lt;95%,0.75,1)))</f>
        <v>#REF!</v>
      </c>
      <c r="L27" s="61" t="e">
        <f>IF(L25&lt;80%,0,IF(L25&lt;90%,0.5,IF(L25&lt;95%,0.75,1)))</f>
        <v>#REF!</v>
      </c>
      <c r="M27" s="165"/>
      <c r="N27" s="61" t="e">
        <f>IF(N25&lt;80%,0,IF(N25&lt;90%,0.5,IF(N25&lt;95%,0.75,1)))</f>
        <v>#REF!</v>
      </c>
      <c r="O27" s="61" t="e">
        <f>IF(O25&lt;80%,0,IF(O25&lt;90%,0.5,IF(O25&lt;95%,0.75,1)))</f>
        <v>#REF!</v>
      </c>
      <c r="P27" s="61" t="e">
        <f>IF(P25&lt;80%,0,IF(P25&lt;90%,0.5,IF(P25&lt;95%,0.75,1)))</f>
        <v>#REF!</v>
      </c>
      <c r="Q27" s="165"/>
      <c r="R27" s="103"/>
      <c r="S27" s="11"/>
    </row>
    <row r="28" spans="1:19" s="19" customFormat="1" ht="15" customHeight="1">
      <c r="A28" s="45" t="s">
        <v>54</v>
      </c>
      <c r="B28" s="60" t="e">
        <f>B27*B26</f>
        <v>#REF!</v>
      </c>
      <c r="C28" s="60" t="e">
        <f>C27*C26</f>
        <v>#REF!</v>
      </c>
      <c r="D28" s="60" t="e">
        <f>D27*D26</f>
        <v>#REF!</v>
      </c>
      <c r="E28" s="168"/>
      <c r="F28" s="60" t="e">
        <f>F27*F26</f>
        <v>#REF!</v>
      </c>
      <c r="G28" s="60" t="e">
        <f>G27*G26</f>
        <v>#REF!</v>
      </c>
      <c r="H28" s="60" t="e">
        <f>H27*H26</f>
        <v>#REF!</v>
      </c>
      <c r="I28" s="168"/>
      <c r="J28" s="60" t="e">
        <f>J27*J26</f>
        <v>#REF!</v>
      </c>
      <c r="K28" s="60" t="e">
        <f>K27*K26</f>
        <v>#REF!</v>
      </c>
      <c r="L28" s="60" t="e">
        <f>L27*L26</f>
        <v>#REF!</v>
      </c>
      <c r="M28" s="168"/>
      <c r="N28" s="60" t="e">
        <f>N27*N26</f>
        <v>#REF!</v>
      </c>
      <c r="O28" s="60" t="e">
        <f>O27*O26</f>
        <v>#REF!</v>
      </c>
      <c r="P28" s="60" t="e">
        <f>P27*P26</f>
        <v>#REF!</v>
      </c>
      <c r="Q28" s="168"/>
      <c r="R28" s="107"/>
    </row>
    <row r="29" spans="1:19" s="18" customFormat="1" ht="15" customHeight="1">
      <c r="A29" s="17" t="s">
        <v>49</v>
      </c>
      <c r="B29" s="59" t="e">
        <f>B12</f>
        <v>#REF!</v>
      </c>
      <c r="C29" s="59" t="e">
        <f>C12</f>
        <v>#REF!</v>
      </c>
      <c r="D29" s="59" t="e">
        <f>D12</f>
        <v>#REF!</v>
      </c>
      <c r="E29" s="164"/>
      <c r="F29" s="59" t="e">
        <f>F12</f>
        <v>#REF!</v>
      </c>
      <c r="G29" s="59" t="e">
        <f>G12</f>
        <v>#REF!</v>
      </c>
      <c r="H29" s="59" t="e">
        <f>H12</f>
        <v>#REF!</v>
      </c>
      <c r="I29" s="164"/>
      <c r="J29" s="59" t="e">
        <f>J12</f>
        <v>#REF!</v>
      </c>
      <c r="K29" s="59" t="e">
        <f>K12</f>
        <v>#REF!</v>
      </c>
      <c r="L29" s="59" t="e">
        <f>L12</f>
        <v>#REF!</v>
      </c>
      <c r="M29" s="164"/>
      <c r="N29" s="59" t="e">
        <f>N12</f>
        <v>#REF!</v>
      </c>
      <c r="O29" s="59" t="e">
        <f>O12</f>
        <v>#REF!</v>
      </c>
      <c r="P29" s="59" t="e">
        <f>P12</f>
        <v>#REF!</v>
      </c>
      <c r="Q29" s="164"/>
      <c r="R29" s="103"/>
    </row>
    <row r="30" spans="1:19" s="18" customFormat="1" ht="15" customHeight="1">
      <c r="A30" s="34" t="s">
        <v>55</v>
      </c>
      <c r="B30" s="61">
        <f>B14</f>
        <v>0</v>
      </c>
      <c r="C30" s="61">
        <f>C14</f>
        <v>0</v>
      </c>
      <c r="D30" s="61">
        <f>D14</f>
        <v>0</v>
      </c>
      <c r="E30" s="165"/>
      <c r="F30" s="61">
        <f>F14</f>
        <v>0</v>
      </c>
      <c r="G30" s="61">
        <f>G14</f>
        <v>0</v>
      </c>
      <c r="H30" s="61">
        <f>H14</f>
        <v>0</v>
      </c>
      <c r="I30" s="165"/>
      <c r="J30" s="61">
        <f>J14</f>
        <v>0</v>
      </c>
      <c r="K30" s="61">
        <f>K14</f>
        <v>0</v>
      </c>
      <c r="L30" s="61">
        <f>L14</f>
        <v>0</v>
      </c>
      <c r="M30" s="165"/>
      <c r="N30" s="61">
        <f>N14</f>
        <v>0</v>
      </c>
      <c r="O30" s="61">
        <f>O14</f>
        <v>0</v>
      </c>
      <c r="P30" s="61">
        <f>P14</f>
        <v>0</v>
      </c>
      <c r="Q30" s="165"/>
      <c r="R30" s="103"/>
    </row>
    <row r="31" spans="1:19" s="20" customFormat="1" ht="15" customHeight="1">
      <c r="A31" s="34" t="s">
        <v>56</v>
      </c>
      <c r="B31" s="105" t="e">
        <f>B30/B29</f>
        <v>#REF!</v>
      </c>
      <c r="C31" s="105" t="e">
        <f>C30/C29</f>
        <v>#REF!</v>
      </c>
      <c r="D31" s="105" t="e">
        <f>D30/D29</f>
        <v>#REF!</v>
      </c>
      <c r="E31" s="166"/>
      <c r="F31" s="105" t="e">
        <f>F30/F29</f>
        <v>#REF!</v>
      </c>
      <c r="G31" s="105" t="e">
        <f>G30/G29</f>
        <v>#REF!</v>
      </c>
      <c r="H31" s="105" t="e">
        <f>H30/H29</f>
        <v>#REF!</v>
      </c>
      <c r="I31" s="166"/>
      <c r="J31" s="105" t="e">
        <f>J30/J29</f>
        <v>#REF!</v>
      </c>
      <c r="K31" s="105" t="e">
        <f>K30/K29</f>
        <v>#REF!</v>
      </c>
      <c r="L31" s="105" t="e">
        <f>L30/L29</f>
        <v>#REF!</v>
      </c>
      <c r="M31" s="166"/>
      <c r="N31" s="105" t="e">
        <f>N30/N29</f>
        <v>#REF!</v>
      </c>
      <c r="O31" s="105" t="e">
        <f>O30/O29</f>
        <v>#REF!</v>
      </c>
      <c r="P31" s="105" t="e">
        <f>P30/P29</f>
        <v>#REF!</v>
      </c>
      <c r="Q31" s="166"/>
      <c r="R31" s="103"/>
    </row>
    <row r="32" spans="1:19" s="20" customFormat="1" ht="15" customHeight="1">
      <c r="A32" s="67" t="s">
        <v>61</v>
      </c>
      <c r="B32" s="61">
        <f>B22*0.15</f>
        <v>517.5</v>
      </c>
      <c r="C32" s="61">
        <f>C22*0.15</f>
        <v>517.5</v>
      </c>
      <c r="D32" s="61">
        <f>D22*0.15</f>
        <v>517.5</v>
      </c>
      <c r="E32" s="165"/>
      <c r="F32" s="61">
        <f>F22*0.15</f>
        <v>517.5</v>
      </c>
      <c r="G32" s="61">
        <f>G22*0.15</f>
        <v>517.5</v>
      </c>
      <c r="H32" s="61">
        <f>H22*0.15</f>
        <v>517.5</v>
      </c>
      <c r="I32" s="165"/>
      <c r="J32" s="61">
        <f>J22*0.15</f>
        <v>517.5</v>
      </c>
      <c r="K32" s="61">
        <f>K22*0.15</f>
        <v>517.5</v>
      </c>
      <c r="L32" s="61">
        <f>L22*0.15</f>
        <v>517.5</v>
      </c>
      <c r="M32" s="165"/>
      <c r="N32" s="61">
        <f>N22*0.15</f>
        <v>517.5</v>
      </c>
      <c r="O32" s="61">
        <f>O22*0.15</f>
        <v>517.5</v>
      </c>
      <c r="P32" s="61">
        <f>P22*0.15</f>
        <v>517.5</v>
      </c>
      <c r="Q32" s="165"/>
      <c r="R32" s="103"/>
    </row>
    <row r="33" spans="1:19" s="32" customFormat="1" ht="15" customHeight="1">
      <c r="A33" s="34" t="s">
        <v>57</v>
      </c>
      <c r="B33" s="65" t="e">
        <f>IF(B31&lt;80%,0,IF(B31&lt;90%,0.5,IF(B31&lt;95%,0.75,1)))</f>
        <v>#REF!</v>
      </c>
      <c r="C33" s="65" t="e">
        <f>IF(C31&lt;80%,0,IF(C31&lt;90%,0.5,IF(C31&lt;95%,0.75,1)))</f>
        <v>#REF!</v>
      </c>
      <c r="D33" s="65" t="e">
        <f>IF(D31&lt;80%,0,IF(D31&lt;90%,0.5,IF(D31&lt;95%,0.75,1)))</f>
        <v>#REF!</v>
      </c>
      <c r="E33" s="167"/>
      <c r="F33" s="65" t="e">
        <f>IF(F31&lt;80%,0,IF(F31&lt;90%,0.5,IF(F31&lt;95%,0.75,1)))</f>
        <v>#REF!</v>
      </c>
      <c r="G33" s="65" t="e">
        <f>IF(G31&lt;80%,0,IF(G31&lt;90%,0.5,IF(G31&lt;95%,0.75,1)))</f>
        <v>#REF!</v>
      </c>
      <c r="H33" s="65" t="e">
        <f>IF(H31&lt;80%,0,IF(H31&lt;90%,0.5,IF(H31&lt;95%,0.75,1)))</f>
        <v>#REF!</v>
      </c>
      <c r="I33" s="167"/>
      <c r="J33" s="65" t="e">
        <f>IF(J31&lt;80%,0,IF(J31&lt;90%,0.5,IF(J31&lt;95%,0.75,1)))</f>
        <v>#REF!</v>
      </c>
      <c r="K33" s="65" t="e">
        <f>IF(K31&lt;80%,0,IF(K31&lt;90%,0.5,IF(K31&lt;95%,0.75,1)))</f>
        <v>#REF!</v>
      </c>
      <c r="L33" s="65" t="e">
        <f>IF(L31&lt;80%,0,IF(L31&lt;90%,0.5,IF(L31&lt;95%,0.75,1)))</f>
        <v>#REF!</v>
      </c>
      <c r="M33" s="167"/>
      <c r="N33" s="65" t="e">
        <f>IF(N31&lt;80%,0,IF(N31&lt;90%,0.5,IF(N31&lt;95%,0.75,1)))</f>
        <v>#REF!</v>
      </c>
      <c r="O33" s="65" t="e">
        <f>IF(O31&lt;80%,0,IF(O31&lt;90%,0.5,IF(O31&lt;95%,0.75,1)))</f>
        <v>#REF!</v>
      </c>
      <c r="P33" s="65" t="e">
        <f>IF(P31&lt;80%,0,IF(P31&lt;90%,0.5,IF(P31&lt;95%,0.75,1)))</f>
        <v>#REF!</v>
      </c>
      <c r="Q33" s="167"/>
      <c r="R33" s="103"/>
    </row>
    <row r="34" spans="1:19" s="18" customFormat="1" ht="15" customHeight="1">
      <c r="A34" s="45" t="s">
        <v>58</v>
      </c>
      <c r="B34" s="60" t="e">
        <f>B33*B32</f>
        <v>#REF!</v>
      </c>
      <c r="C34" s="60" t="e">
        <f>C33*C32</f>
        <v>#REF!</v>
      </c>
      <c r="D34" s="60" t="e">
        <f>D33*D32</f>
        <v>#REF!</v>
      </c>
      <c r="E34" s="168"/>
      <c r="F34" s="60" t="e">
        <f>F33*F32</f>
        <v>#REF!</v>
      </c>
      <c r="G34" s="60" t="e">
        <f>G33*G32</f>
        <v>#REF!</v>
      </c>
      <c r="H34" s="60" t="e">
        <f>H33*H32</f>
        <v>#REF!</v>
      </c>
      <c r="I34" s="168"/>
      <c r="J34" s="60" t="e">
        <f>J33*J32</f>
        <v>#REF!</v>
      </c>
      <c r="K34" s="60" t="e">
        <f>K33*K32</f>
        <v>#REF!</v>
      </c>
      <c r="L34" s="60" t="e">
        <f>L33*L32</f>
        <v>#REF!</v>
      </c>
      <c r="M34" s="168"/>
      <c r="N34" s="60" t="e">
        <f>N33*N32</f>
        <v>#REF!</v>
      </c>
      <c r="O34" s="60" t="e">
        <f>O33*O32</f>
        <v>#REF!</v>
      </c>
      <c r="P34" s="60" t="e">
        <f>P33*P32</f>
        <v>#REF!</v>
      </c>
      <c r="Q34" s="168"/>
      <c r="R34" s="107"/>
    </row>
    <row r="35" spans="1:19" s="20" customFormat="1" ht="15" customHeight="1">
      <c r="A35" s="17" t="s">
        <v>34</v>
      </c>
      <c r="B35" s="59">
        <v>1</v>
      </c>
      <c r="C35" s="59">
        <v>1</v>
      </c>
      <c r="D35" s="59">
        <v>1</v>
      </c>
      <c r="E35" s="164"/>
      <c r="F35" s="59">
        <v>1</v>
      </c>
      <c r="G35" s="59">
        <v>1</v>
      </c>
      <c r="H35" s="59">
        <v>1</v>
      </c>
      <c r="I35" s="164"/>
      <c r="J35" s="59">
        <v>1</v>
      </c>
      <c r="K35" s="59">
        <v>1</v>
      </c>
      <c r="L35" s="59">
        <v>1</v>
      </c>
      <c r="M35" s="164"/>
      <c r="N35" s="59">
        <v>1</v>
      </c>
      <c r="O35" s="59">
        <v>1</v>
      </c>
      <c r="P35" s="59">
        <v>1</v>
      </c>
      <c r="Q35" s="164"/>
      <c r="R35" s="108"/>
    </row>
    <row r="36" spans="1:19" s="20" customFormat="1" ht="15" customHeight="1">
      <c r="A36" s="40" t="s">
        <v>59</v>
      </c>
      <c r="B36" s="109">
        <f>B22*0.05</f>
        <v>172.5</v>
      </c>
      <c r="C36" s="109">
        <f>C22*0.05</f>
        <v>172.5</v>
      </c>
      <c r="D36" s="109">
        <f>D22*0.05</f>
        <v>172.5</v>
      </c>
      <c r="E36" s="169"/>
      <c r="F36" s="109">
        <f>F22*0.05</f>
        <v>172.5</v>
      </c>
      <c r="G36" s="109">
        <f>G22*0.05</f>
        <v>172.5</v>
      </c>
      <c r="H36" s="109">
        <f>H22*0.05</f>
        <v>172.5</v>
      </c>
      <c r="I36" s="169"/>
      <c r="J36" s="109">
        <f>J22*0.05</f>
        <v>172.5</v>
      </c>
      <c r="K36" s="109">
        <f>K22*0.05</f>
        <v>172.5</v>
      </c>
      <c r="L36" s="109">
        <f>L22*0.05</f>
        <v>172.5</v>
      </c>
      <c r="M36" s="169"/>
      <c r="N36" s="109">
        <f>N22*0.05</f>
        <v>172.5</v>
      </c>
      <c r="O36" s="109">
        <f>O22*0.05</f>
        <v>172.5</v>
      </c>
      <c r="P36" s="109">
        <f>P22*0.05</f>
        <v>172.5</v>
      </c>
      <c r="Q36" s="169"/>
      <c r="R36" s="106"/>
    </row>
    <row r="37" spans="1:19" s="32" customFormat="1" ht="15" customHeight="1">
      <c r="A37" s="34" t="s">
        <v>62</v>
      </c>
      <c r="B37" s="61"/>
      <c r="C37" s="61"/>
      <c r="D37" s="61"/>
      <c r="E37" s="165"/>
      <c r="F37" s="61">
        <v>1</v>
      </c>
      <c r="G37" s="61">
        <v>1</v>
      </c>
      <c r="H37" s="61"/>
      <c r="I37" s="165"/>
      <c r="J37" s="61">
        <v>1</v>
      </c>
      <c r="K37" s="61">
        <v>1</v>
      </c>
      <c r="L37" s="61">
        <v>1</v>
      </c>
      <c r="M37" s="165"/>
      <c r="N37" s="61">
        <v>1</v>
      </c>
      <c r="O37" s="61">
        <v>1</v>
      </c>
      <c r="P37" s="61">
        <v>1</v>
      </c>
      <c r="Q37" s="165"/>
      <c r="R37" s="103"/>
    </row>
    <row r="38" spans="1:19" s="19" customFormat="1" ht="15" customHeight="1">
      <c r="A38" s="50" t="s">
        <v>63</v>
      </c>
      <c r="B38" s="60">
        <f>B37*B36</f>
        <v>0</v>
      </c>
      <c r="C38" s="60">
        <f>C37*C36</f>
        <v>0</v>
      </c>
      <c r="D38" s="60">
        <f>D37*D36</f>
        <v>0</v>
      </c>
      <c r="E38" s="168"/>
      <c r="F38" s="60">
        <f>F37*F36</f>
        <v>172.5</v>
      </c>
      <c r="G38" s="60">
        <f>G37*G36</f>
        <v>172.5</v>
      </c>
      <c r="H38" s="60">
        <f>H37*H36</f>
        <v>0</v>
      </c>
      <c r="I38" s="168"/>
      <c r="J38" s="60">
        <f>J37*J36</f>
        <v>172.5</v>
      </c>
      <c r="K38" s="60">
        <f>K37*K36</f>
        <v>172.5</v>
      </c>
      <c r="L38" s="60">
        <f>L37*L36</f>
        <v>172.5</v>
      </c>
      <c r="M38" s="168"/>
      <c r="N38" s="60">
        <f>N37*N36</f>
        <v>172.5</v>
      </c>
      <c r="O38" s="60">
        <f>O37*O36</f>
        <v>172.5</v>
      </c>
      <c r="P38" s="60">
        <f>P37*P36</f>
        <v>172.5</v>
      </c>
      <c r="Q38" s="168"/>
      <c r="R38" s="110"/>
      <c r="S38" s="13"/>
    </row>
    <row r="39" spans="1:19" s="37" customFormat="1" ht="15" customHeight="1">
      <c r="A39" s="43" t="s">
        <v>67</v>
      </c>
      <c r="B39" s="63" t="e">
        <f>B34+B28+B38</f>
        <v>#REF!</v>
      </c>
      <c r="C39" s="63" t="e">
        <f>C34+C28+C38</f>
        <v>#REF!</v>
      </c>
      <c r="D39" s="63" t="e">
        <f>D34+D28+D38</f>
        <v>#REF!</v>
      </c>
      <c r="E39" s="170"/>
      <c r="F39" s="63" t="e">
        <f>F34+F28+F38</f>
        <v>#REF!</v>
      </c>
      <c r="G39" s="63" t="e">
        <f>G34+G28+G38</f>
        <v>#REF!</v>
      </c>
      <c r="H39" s="63" t="e">
        <f>H34+H28+H38</f>
        <v>#REF!</v>
      </c>
      <c r="I39" s="170"/>
      <c r="J39" s="63" t="e">
        <f>J34+J28+J38</f>
        <v>#REF!</v>
      </c>
      <c r="K39" s="63" t="e">
        <f>K34+K28+K38+129.37</f>
        <v>#REF!</v>
      </c>
      <c r="L39" s="63" t="e">
        <f>L34+L28+L38</f>
        <v>#REF!</v>
      </c>
      <c r="M39" s="170"/>
      <c r="N39" s="63" t="e">
        <f>N34+N28+N38</f>
        <v>#REF!</v>
      </c>
      <c r="O39" s="63" t="e">
        <f>O34+O28+O38</f>
        <v>#REF!</v>
      </c>
      <c r="P39" s="63" t="e">
        <f>P34+P28+P38</f>
        <v>#REF!</v>
      </c>
      <c r="Q39" s="170"/>
      <c r="R39" s="111"/>
      <c r="S39" s="15"/>
    </row>
    <row r="40" spans="1:19" s="18" customFormat="1" ht="15" customHeight="1">
      <c r="A40" s="102" t="s">
        <v>115</v>
      </c>
      <c r="B40" s="764" t="e">
        <f>D5</f>
        <v>#REF!</v>
      </c>
      <c r="C40" s="765"/>
      <c r="D40" s="765"/>
      <c r="E40" s="790"/>
      <c r="F40" s="764" t="e">
        <f>H5</f>
        <v>#REF!</v>
      </c>
      <c r="G40" s="765"/>
      <c r="H40" s="765"/>
      <c r="I40" s="790"/>
      <c r="J40" s="764" t="e">
        <f>L5</f>
        <v>#REF!</v>
      </c>
      <c r="K40" s="765"/>
      <c r="L40" s="765"/>
      <c r="M40" s="790"/>
      <c r="N40" s="764" t="e">
        <f>P5</f>
        <v>#REF!</v>
      </c>
      <c r="O40" s="765"/>
      <c r="P40" s="765"/>
      <c r="Q40" s="790"/>
      <c r="R40" s="106"/>
    </row>
    <row r="41" spans="1:19" s="32" customFormat="1" ht="15" customHeight="1">
      <c r="A41" s="104" t="s">
        <v>69</v>
      </c>
      <c r="B41" s="821">
        <f>D7</f>
        <v>0</v>
      </c>
      <c r="C41" s="822"/>
      <c r="D41" s="822"/>
      <c r="E41" s="790"/>
      <c r="F41" s="821">
        <f>H7</f>
        <v>0</v>
      </c>
      <c r="G41" s="822"/>
      <c r="H41" s="822"/>
      <c r="I41" s="790"/>
      <c r="J41" s="821">
        <f>L7</f>
        <v>0</v>
      </c>
      <c r="K41" s="822"/>
      <c r="L41" s="822"/>
      <c r="M41" s="790"/>
      <c r="N41" s="821">
        <f>P7</f>
        <v>0</v>
      </c>
      <c r="O41" s="822"/>
      <c r="P41" s="822"/>
      <c r="Q41" s="790"/>
      <c r="R41" s="106"/>
    </row>
    <row r="42" spans="1:19" s="18" customFormat="1" ht="15" customHeight="1">
      <c r="A42" s="104" t="s">
        <v>68</v>
      </c>
      <c r="B42" s="823" t="e">
        <f>B41/B40</f>
        <v>#REF!</v>
      </c>
      <c r="C42" s="824"/>
      <c r="D42" s="824"/>
      <c r="E42" s="790"/>
      <c r="F42" s="823" t="e">
        <f>F41/F40</f>
        <v>#REF!</v>
      </c>
      <c r="G42" s="824"/>
      <c r="H42" s="824"/>
      <c r="I42" s="790"/>
      <c r="J42" s="823" t="e">
        <f>J41/J40</f>
        <v>#REF!</v>
      </c>
      <c r="K42" s="824"/>
      <c r="L42" s="824"/>
      <c r="M42" s="790"/>
      <c r="N42" s="823" t="e">
        <f>N41/N40</f>
        <v>#REF!</v>
      </c>
      <c r="O42" s="824"/>
      <c r="P42" s="824"/>
      <c r="Q42" s="790"/>
      <c r="R42" s="112"/>
    </row>
    <row r="43" spans="1:19" s="19" customFormat="1" ht="15" customHeight="1">
      <c r="A43" s="104" t="s">
        <v>65</v>
      </c>
      <c r="B43" s="819">
        <f>D22</f>
        <v>3450</v>
      </c>
      <c r="C43" s="820"/>
      <c r="D43" s="820"/>
      <c r="E43" s="790"/>
      <c r="F43" s="819">
        <f>H22</f>
        <v>3450</v>
      </c>
      <c r="G43" s="820"/>
      <c r="H43" s="820"/>
      <c r="I43" s="790"/>
      <c r="J43" s="819">
        <f>L22</f>
        <v>3450</v>
      </c>
      <c r="K43" s="820"/>
      <c r="L43" s="820"/>
      <c r="M43" s="790"/>
      <c r="N43" s="819">
        <f>P22</f>
        <v>3450</v>
      </c>
      <c r="O43" s="820"/>
      <c r="P43" s="820"/>
      <c r="Q43" s="790"/>
      <c r="R43" s="106"/>
    </row>
    <row r="44" spans="1:19" s="32" customFormat="1" ht="15" customHeight="1">
      <c r="A44" s="67" t="s">
        <v>66</v>
      </c>
      <c r="B44" s="776" t="e">
        <f>IF(B42&lt;100%,0,IF(B42&lt;110%,0.5,1))</f>
        <v>#REF!</v>
      </c>
      <c r="C44" s="777"/>
      <c r="D44" s="777"/>
      <c r="E44" s="769"/>
      <c r="F44" s="776" t="e">
        <f>IF(F42&lt;100%,0,IF(F42&lt;110%,0.5,1))</f>
        <v>#REF!</v>
      </c>
      <c r="G44" s="777"/>
      <c r="H44" s="777"/>
      <c r="I44" s="769"/>
      <c r="J44" s="776" t="e">
        <f>IF(J42&lt;100%,0,IF(J42&lt;110%,0.5,1))</f>
        <v>#REF!</v>
      </c>
      <c r="K44" s="777"/>
      <c r="L44" s="777"/>
      <c r="M44" s="769"/>
      <c r="N44" s="776" t="e">
        <f>IF(N42&lt;100%,0,IF(N42&lt;110%,0.5,1))</f>
        <v>#REF!</v>
      </c>
      <c r="O44" s="777"/>
      <c r="P44" s="777"/>
      <c r="Q44" s="769"/>
      <c r="R44" s="113"/>
    </row>
    <row r="45" spans="1:19" s="18" customFormat="1" ht="15" customHeight="1">
      <c r="A45" s="43" t="s">
        <v>64</v>
      </c>
      <c r="B45" s="774" t="e">
        <f>B44*B43</f>
        <v>#REF!</v>
      </c>
      <c r="C45" s="775"/>
      <c r="D45" s="775"/>
      <c r="E45" s="769"/>
      <c r="F45" s="774" t="e">
        <f>F44*F43</f>
        <v>#REF!</v>
      </c>
      <c r="G45" s="775"/>
      <c r="H45" s="775"/>
      <c r="I45" s="769"/>
      <c r="J45" s="774" t="e">
        <f>J44*J43</f>
        <v>#REF!</v>
      </c>
      <c r="K45" s="775"/>
      <c r="L45" s="775"/>
      <c r="M45" s="769"/>
      <c r="N45" s="774" t="e">
        <f>N44*N43</f>
        <v>#REF!</v>
      </c>
      <c r="O45" s="775"/>
      <c r="P45" s="775"/>
      <c r="Q45" s="769"/>
      <c r="R45" s="114"/>
    </row>
    <row r="46" spans="1:19" s="18" customFormat="1" ht="15" customHeight="1" thickBot="1">
      <c r="A46" s="48"/>
      <c r="B46" s="49"/>
      <c r="C46" s="49"/>
      <c r="D46" s="49"/>
      <c r="E46" s="116"/>
      <c r="F46" s="49"/>
      <c r="G46" s="49"/>
      <c r="H46" s="49"/>
      <c r="I46" s="116"/>
      <c r="J46" s="49"/>
      <c r="K46" s="49"/>
      <c r="L46" s="49"/>
      <c r="M46" s="116"/>
      <c r="N46" s="49"/>
      <c r="O46" s="49"/>
      <c r="P46" s="49"/>
      <c r="Q46" s="116"/>
      <c r="R46" s="117"/>
    </row>
    <row r="47" spans="1:19" ht="13.8" thickBot="1">
      <c r="A47" s="280" t="s">
        <v>91</v>
      </c>
      <c r="B47" s="306" t="s">
        <v>92</v>
      </c>
      <c r="C47" s="306" t="s">
        <v>11</v>
      </c>
      <c r="D47" s="306" t="s">
        <v>12</v>
      </c>
      <c r="E47" s="289" t="s">
        <v>93</v>
      </c>
      <c r="F47" s="356" t="s">
        <v>7</v>
      </c>
      <c r="G47" s="356" t="s">
        <v>8</v>
      </c>
      <c r="H47" s="306" t="s">
        <v>9</v>
      </c>
      <c r="I47" s="289" t="s">
        <v>93</v>
      </c>
      <c r="J47" s="291" t="s">
        <v>4</v>
      </c>
      <c r="K47" s="291" t="s">
        <v>5</v>
      </c>
      <c r="L47" s="291" t="s">
        <v>6</v>
      </c>
      <c r="M47" s="289" t="s">
        <v>93</v>
      </c>
      <c r="N47" s="291" t="s">
        <v>1</v>
      </c>
      <c r="O47" s="291" t="s">
        <v>2</v>
      </c>
      <c r="P47" s="291" t="s">
        <v>3</v>
      </c>
      <c r="Q47" s="289" t="s">
        <v>93</v>
      </c>
      <c r="R47" s="289" t="s">
        <v>93</v>
      </c>
    </row>
    <row r="48" spans="1:19" ht="13.8" thickTop="1">
      <c r="A48" s="281" t="s">
        <v>94</v>
      </c>
      <c r="B48" s="133"/>
      <c r="C48" s="133"/>
      <c r="D48" s="133"/>
      <c r="E48" s="290">
        <f>SUM(B48:D48)</f>
        <v>0</v>
      </c>
      <c r="F48" s="349"/>
      <c r="G48" s="349"/>
      <c r="H48" s="133"/>
      <c r="I48" s="290">
        <f>SUM(F48:H48)</f>
        <v>0</v>
      </c>
      <c r="J48" s="133"/>
      <c r="K48" s="133"/>
      <c r="L48" s="133"/>
      <c r="M48" s="290">
        <f>SUM(J48:L48)</f>
        <v>0</v>
      </c>
      <c r="N48" s="133"/>
      <c r="O48" s="133"/>
      <c r="P48" s="133"/>
      <c r="Q48" s="290">
        <f>SUM(N48:P48)</f>
        <v>0</v>
      </c>
      <c r="R48" s="290">
        <f>M48+I48+E48+Q48</f>
        <v>0</v>
      </c>
      <c r="S48" s="52"/>
    </row>
    <row r="49" spans="1:19">
      <c r="A49" s="282" t="s">
        <v>95</v>
      </c>
      <c r="B49" s="134"/>
      <c r="C49" s="134"/>
      <c r="D49" s="134"/>
      <c r="E49" s="174"/>
      <c r="F49" s="348"/>
      <c r="G49" s="348"/>
      <c r="H49" s="134"/>
      <c r="I49" s="174"/>
      <c r="J49" s="134"/>
      <c r="K49" s="134"/>
      <c r="L49" s="134"/>
      <c r="M49" s="174"/>
      <c r="N49" s="134"/>
      <c r="O49" s="134"/>
      <c r="P49" s="134"/>
      <c r="Q49" s="174"/>
      <c r="R49" s="174"/>
      <c r="S49" s="52"/>
    </row>
    <row r="50" spans="1:19">
      <c r="A50" s="282" t="s">
        <v>96</v>
      </c>
      <c r="B50" s="134"/>
      <c r="C50" s="134"/>
      <c r="D50" s="134"/>
      <c r="E50" s="174"/>
      <c r="F50" s="348"/>
      <c r="G50" s="348"/>
      <c r="H50" s="134"/>
      <c r="I50" s="174"/>
      <c r="J50" s="134"/>
      <c r="K50" s="134"/>
      <c r="L50" s="134"/>
      <c r="M50" s="174"/>
      <c r="N50" s="134"/>
      <c r="O50" s="134"/>
      <c r="P50" s="134"/>
      <c r="Q50" s="174"/>
      <c r="R50" s="174"/>
      <c r="S50" s="52"/>
    </row>
    <row r="51" spans="1:19">
      <c r="A51" s="282" t="s">
        <v>125</v>
      </c>
      <c r="B51" s="134"/>
      <c r="C51" s="134"/>
      <c r="D51" s="134"/>
      <c r="E51" s="174"/>
      <c r="F51" s="348"/>
      <c r="G51" s="348"/>
      <c r="H51" s="134"/>
      <c r="I51" s="174"/>
      <c r="J51" s="134"/>
      <c r="K51" s="134"/>
      <c r="L51" s="134"/>
      <c r="M51" s="174"/>
      <c r="N51" s="134"/>
      <c r="O51" s="134"/>
      <c r="P51" s="134"/>
      <c r="Q51" s="174"/>
      <c r="R51" s="174"/>
      <c r="S51" s="52"/>
    </row>
    <row r="52" spans="1:19">
      <c r="A52" s="282" t="s">
        <v>97</v>
      </c>
      <c r="B52" s="307"/>
      <c r="C52" s="307"/>
      <c r="D52" s="307"/>
      <c r="E52" s="175"/>
      <c r="F52" s="357"/>
      <c r="G52" s="357"/>
      <c r="H52" s="307"/>
      <c r="I52" s="175"/>
      <c r="J52" s="333"/>
      <c r="K52" s="333"/>
      <c r="L52" s="333"/>
      <c r="M52" s="175"/>
      <c r="N52" s="333"/>
      <c r="O52" s="333"/>
      <c r="P52" s="333"/>
      <c r="Q52" s="175"/>
      <c r="R52" s="175"/>
      <c r="S52" s="52"/>
    </row>
    <row r="53" spans="1:19" ht="13.8" thickBot="1">
      <c r="A53" s="283" t="s">
        <v>98</v>
      </c>
      <c r="B53" s="135"/>
      <c r="C53" s="135"/>
      <c r="D53" s="135"/>
      <c r="E53" s="290">
        <f t="shared" ref="E53:E54" si="12">SUM(B53:D53)</f>
        <v>0</v>
      </c>
      <c r="F53" s="350"/>
      <c r="G53" s="350"/>
      <c r="H53" s="135"/>
      <c r="I53" s="290">
        <f t="shared" ref="I53:I54" si="13">SUM(F53:H53)</f>
        <v>0</v>
      </c>
      <c r="J53" s="135"/>
      <c r="K53" s="135"/>
      <c r="L53" s="135"/>
      <c r="M53" s="290">
        <f t="shared" ref="M53:M54" si="14">SUM(J53:L53)</f>
        <v>0</v>
      </c>
      <c r="N53" s="135"/>
      <c r="O53" s="135"/>
      <c r="P53" s="135"/>
      <c r="Q53" s="290">
        <f t="shared" ref="Q53:Q54" si="15">SUM(N53:P53)</f>
        <v>0</v>
      </c>
      <c r="R53" s="290">
        <f>M53+I53+E53+Q53</f>
        <v>0</v>
      </c>
      <c r="S53" s="52"/>
    </row>
    <row r="54" spans="1:19" ht="13.8" thickTop="1">
      <c r="A54" s="284" t="s">
        <v>126</v>
      </c>
      <c r="B54" s="136"/>
      <c r="C54" s="136"/>
      <c r="D54" s="136"/>
      <c r="E54" s="290">
        <f t="shared" si="12"/>
        <v>0</v>
      </c>
      <c r="F54" s="351"/>
      <c r="G54" s="351"/>
      <c r="H54" s="136"/>
      <c r="I54" s="290">
        <f t="shared" si="13"/>
        <v>0</v>
      </c>
      <c r="J54" s="136"/>
      <c r="K54" s="136"/>
      <c r="L54" s="136"/>
      <c r="M54" s="290">
        <f t="shared" si="14"/>
        <v>0</v>
      </c>
      <c r="N54" s="136"/>
      <c r="O54" s="136"/>
      <c r="P54" s="136"/>
      <c r="Q54" s="290">
        <f t="shared" si="15"/>
        <v>0</v>
      </c>
      <c r="R54" s="290">
        <f>M54+I54+E54+Q54</f>
        <v>0</v>
      </c>
      <c r="S54" s="52"/>
    </row>
    <row r="55" spans="1:19">
      <c r="A55" s="282" t="s">
        <v>99</v>
      </c>
      <c r="B55" s="134"/>
      <c r="C55" s="134"/>
      <c r="D55" s="134"/>
      <c r="E55" s="176"/>
      <c r="F55" s="348"/>
      <c r="G55" s="348"/>
      <c r="H55" s="134"/>
      <c r="I55" s="176"/>
      <c r="J55" s="134"/>
      <c r="K55" s="134"/>
      <c r="L55" s="134"/>
      <c r="M55" s="176"/>
      <c r="N55" s="134"/>
      <c r="O55" s="134"/>
      <c r="P55" s="134"/>
      <c r="Q55" s="176"/>
      <c r="R55" s="176"/>
      <c r="S55" s="52"/>
    </row>
    <row r="56" spans="1:19">
      <c r="A56" s="282" t="s">
        <v>100</v>
      </c>
      <c r="B56" s="134"/>
      <c r="C56" s="134"/>
      <c r="D56" s="134"/>
      <c r="E56" s="290">
        <f t="shared" ref="E56:E60" si="16">SUM(B56:D56)</f>
        <v>0</v>
      </c>
      <c r="F56" s="348"/>
      <c r="G56" s="348"/>
      <c r="H56" s="134"/>
      <c r="I56" s="290">
        <f t="shared" ref="I56:I60" si="17">SUM(F56:H56)</f>
        <v>0</v>
      </c>
      <c r="J56" s="134"/>
      <c r="K56" s="134"/>
      <c r="L56" s="134"/>
      <c r="M56" s="290">
        <f t="shared" ref="M56:M60" si="18">SUM(J56:L56)</f>
        <v>0</v>
      </c>
      <c r="N56" s="134"/>
      <c r="O56" s="134"/>
      <c r="P56" s="134"/>
      <c r="Q56" s="290">
        <f t="shared" ref="Q56:Q60" si="19">SUM(N56:P56)</f>
        <v>0</v>
      </c>
      <c r="R56" s="290">
        <f>M56+I56+E56+Q56</f>
        <v>0</v>
      </c>
      <c r="S56" s="52"/>
    </row>
    <row r="57" spans="1:19" ht="13.8" thickBot="1">
      <c r="A57" s="285" t="s">
        <v>101</v>
      </c>
      <c r="B57" s="137"/>
      <c r="C57" s="137"/>
      <c r="D57" s="137"/>
      <c r="E57" s="290">
        <f t="shared" si="16"/>
        <v>0</v>
      </c>
      <c r="F57" s="352"/>
      <c r="G57" s="352"/>
      <c r="H57" s="137"/>
      <c r="I57" s="290">
        <f t="shared" si="17"/>
        <v>0</v>
      </c>
      <c r="J57" s="137"/>
      <c r="K57" s="137"/>
      <c r="L57" s="137"/>
      <c r="M57" s="290">
        <f t="shared" si="18"/>
        <v>0</v>
      </c>
      <c r="N57" s="137"/>
      <c r="O57" s="137"/>
      <c r="P57" s="137"/>
      <c r="Q57" s="290">
        <f t="shared" si="19"/>
        <v>0</v>
      </c>
      <c r="R57" s="290">
        <f>M57+I57+E57+Q57</f>
        <v>0</v>
      </c>
      <c r="S57" s="52"/>
    </row>
    <row r="58" spans="1:19" ht="13.8" thickTop="1">
      <c r="A58" s="281" t="s">
        <v>173</v>
      </c>
      <c r="B58" s="133"/>
      <c r="C58" s="133"/>
      <c r="D58" s="133"/>
      <c r="E58" s="290">
        <f t="shared" si="16"/>
        <v>0</v>
      </c>
      <c r="F58" s="349"/>
      <c r="G58" s="349"/>
      <c r="H58" s="133"/>
      <c r="I58" s="290">
        <f t="shared" si="17"/>
        <v>0</v>
      </c>
      <c r="J58" s="133"/>
      <c r="K58" s="133"/>
      <c r="L58" s="133"/>
      <c r="M58" s="290">
        <f t="shared" si="18"/>
        <v>0</v>
      </c>
      <c r="N58" s="133"/>
      <c r="O58" s="133"/>
      <c r="P58" s="133"/>
      <c r="Q58" s="290">
        <f t="shared" si="19"/>
        <v>0</v>
      </c>
      <c r="R58" s="290">
        <f>M58+I58+E58+Q58</f>
        <v>0</v>
      </c>
      <c r="S58" s="52"/>
    </row>
    <row r="59" spans="1:19" ht="13.8" thickBot="1">
      <c r="A59" s="283" t="s">
        <v>102</v>
      </c>
      <c r="B59" s="135"/>
      <c r="C59" s="135"/>
      <c r="D59" s="135"/>
      <c r="E59" s="290">
        <f t="shared" si="16"/>
        <v>0</v>
      </c>
      <c r="F59" s="350"/>
      <c r="G59" s="350"/>
      <c r="H59" s="135"/>
      <c r="I59" s="290">
        <f t="shared" si="17"/>
        <v>0</v>
      </c>
      <c r="J59" s="135"/>
      <c r="K59" s="135"/>
      <c r="L59" s="135"/>
      <c r="M59" s="290">
        <f t="shared" si="18"/>
        <v>0</v>
      </c>
      <c r="N59" s="135"/>
      <c r="O59" s="135"/>
      <c r="P59" s="135"/>
      <c r="Q59" s="290">
        <f t="shared" si="19"/>
        <v>0</v>
      </c>
      <c r="R59" s="290">
        <f>M59+I59+E59+Q59</f>
        <v>0</v>
      </c>
      <c r="S59" s="52"/>
    </row>
    <row r="60" spans="1:19" ht="14.4" thickTop="1" thickBot="1">
      <c r="A60" s="283" t="s">
        <v>103</v>
      </c>
      <c r="B60" s="135"/>
      <c r="C60" s="135"/>
      <c r="D60" s="135"/>
      <c r="E60" s="290">
        <f t="shared" si="16"/>
        <v>0</v>
      </c>
      <c r="F60" s="350"/>
      <c r="G60" s="350"/>
      <c r="H60" s="135"/>
      <c r="I60" s="290">
        <f t="shared" si="17"/>
        <v>0</v>
      </c>
      <c r="J60" s="135"/>
      <c r="K60" s="135"/>
      <c r="L60" s="135"/>
      <c r="M60" s="290">
        <f t="shared" si="18"/>
        <v>0</v>
      </c>
      <c r="N60" s="135"/>
      <c r="O60" s="135"/>
      <c r="P60" s="135"/>
      <c r="Q60" s="290">
        <f t="shared" si="19"/>
        <v>0</v>
      </c>
      <c r="R60" s="290">
        <f>M60+I60+E60+Q60</f>
        <v>0</v>
      </c>
      <c r="S60" s="52"/>
    </row>
    <row r="61" spans="1:19" ht="13.8" thickTop="1">
      <c r="A61" s="286" t="s">
        <v>104</v>
      </c>
      <c r="B61" s="139"/>
      <c r="C61" s="139"/>
      <c r="D61" s="139"/>
      <c r="E61" s="132"/>
      <c r="F61" s="353"/>
      <c r="G61" s="353"/>
      <c r="H61" s="172"/>
      <c r="I61" s="132"/>
      <c r="J61" s="139"/>
      <c r="K61" s="139"/>
      <c r="L61" s="139"/>
      <c r="M61" s="132"/>
      <c r="N61" s="139"/>
      <c r="O61" s="139"/>
      <c r="P61" s="139"/>
      <c r="Q61" s="132"/>
      <c r="R61" s="132"/>
      <c r="S61" s="52"/>
    </row>
    <row r="62" spans="1:19">
      <c r="A62" s="287" t="s">
        <v>105</v>
      </c>
      <c r="B62" s="140"/>
      <c r="C62" s="140"/>
      <c r="D62" s="140"/>
      <c r="E62" s="290">
        <f t="shared" ref="E62:E64" si="20">SUM(B62:D62)</f>
        <v>0</v>
      </c>
      <c r="F62" s="354"/>
      <c r="G62" s="354"/>
      <c r="H62" s="173"/>
      <c r="I62" s="290">
        <f t="shared" ref="I62:I64" si="21">SUM(F62:H62)</f>
        <v>0</v>
      </c>
      <c r="J62" s="140"/>
      <c r="K62" s="140"/>
      <c r="L62" s="140"/>
      <c r="M62" s="290">
        <f t="shared" ref="M62:M64" si="22">SUM(J62:L62)</f>
        <v>0</v>
      </c>
      <c r="N62" s="140"/>
      <c r="O62" s="140"/>
      <c r="P62" s="140"/>
      <c r="Q62" s="290">
        <f t="shared" ref="Q62:Q64" si="23">SUM(N62:P62)</f>
        <v>0</v>
      </c>
      <c r="R62" s="290">
        <f>M62+I62+E62+Q62</f>
        <v>0</v>
      </c>
      <c r="S62" s="52"/>
    </row>
    <row r="63" spans="1:19">
      <c r="A63" s="287" t="s">
        <v>106</v>
      </c>
      <c r="B63" s="140"/>
      <c r="C63" s="317"/>
      <c r="D63" s="319"/>
      <c r="E63" s="290">
        <f t="shared" si="20"/>
        <v>0</v>
      </c>
      <c r="F63" s="354"/>
      <c r="G63" s="354"/>
      <c r="H63" s="173"/>
      <c r="I63" s="290">
        <f t="shared" si="21"/>
        <v>0</v>
      </c>
      <c r="J63" s="140"/>
      <c r="K63" s="140"/>
      <c r="L63" s="140"/>
      <c r="M63" s="290">
        <f t="shared" si="22"/>
        <v>0</v>
      </c>
      <c r="N63" s="140"/>
      <c r="O63" s="140"/>
      <c r="P63" s="140"/>
      <c r="Q63" s="290">
        <f t="shared" si="23"/>
        <v>0</v>
      </c>
      <c r="R63" s="290">
        <f>M63+I63+E63+Q63</f>
        <v>0</v>
      </c>
      <c r="S63" s="52"/>
    </row>
    <row r="64" spans="1:19">
      <c r="A64" s="287" t="s">
        <v>107</v>
      </c>
      <c r="B64" s="140"/>
      <c r="C64" s="317"/>
      <c r="D64" s="319"/>
      <c r="E64" s="290">
        <f t="shared" si="20"/>
        <v>0</v>
      </c>
      <c r="F64" s="354"/>
      <c r="G64" s="354"/>
      <c r="H64" s="173"/>
      <c r="I64" s="290">
        <f t="shared" si="21"/>
        <v>0</v>
      </c>
      <c r="J64" s="140"/>
      <c r="K64" s="140"/>
      <c r="L64" s="140"/>
      <c r="M64" s="290">
        <f t="shared" si="22"/>
        <v>0</v>
      </c>
      <c r="N64" s="140"/>
      <c r="O64" s="140"/>
      <c r="P64" s="140"/>
      <c r="Q64" s="290">
        <f t="shared" si="23"/>
        <v>0</v>
      </c>
      <c r="R64" s="290">
        <f>M64+I64+E64+Q64</f>
        <v>0</v>
      </c>
      <c r="S64" s="52"/>
    </row>
    <row r="65" spans="1:19" ht="13.8" thickBot="1">
      <c r="A65" s="288" t="s">
        <v>108</v>
      </c>
      <c r="B65" s="295"/>
      <c r="C65" s="318"/>
      <c r="D65" s="320"/>
      <c r="E65" s="177"/>
      <c r="F65" s="355"/>
      <c r="G65" s="355"/>
      <c r="H65" s="297"/>
      <c r="I65" s="177"/>
      <c r="J65" s="295"/>
      <c r="K65" s="295"/>
      <c r="L65" s="295"/>
      <c r="M65" s="177"/>
      <c r="N65" s="295"/>
      <c r="O65" s="295"/>
      <c r="P65" s="295"/>
      <c r="Q65" s="177"/>
      <c r="R65" s="177"/>
      <c r="S65" s="52"/>
    </row>
    <row r="66" spans="1:19" ht="13.8" thickTop="1">
      <c r="A66"/>
      <c r="B66" s="52"/>
      <c r="C66" s="52"/>
      <c r="D66" s="138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19" customWidth="1"/>
    <col min="6" max="8" width="12.109375" style="11" customWidth="1"/>
    <col min="9" max="9" width="11.44140625" style="119" customWidth="1"/>
    <col min="10" max="12" width="12.88671875" style="11" customWidth="1"/>
    <col min="13" max="13" width="11.44140625" style="119" customWidth="1"/>
    <col min="14" max="16" width="12" style="11" customWidth="1"/>
    <col min="17" max="18" width="11.44140625" style="119" customWidth="1"/>
  </cols>
  <sheetData>
    <row r="1" spans="1:18">
      <c r="A1" s="29" t="s">
        <v>168</v>
      </c>
      <c r="B1" s="778" t="s">
        <v>170</v>
      </c>
      <c r="C1" s="768"/>
      <c r="D1" s="768"/>
      <c r="E1" s="768"/>
      <c r="F1" s="778" t="s">
        <v>171</v>
      </c>
      <c r="G1" s="768"/>
      <c r="H1" s="768"/>
      <c r="I1" s="768"/>
      <c r="J1" s="778" t="s">
        <v>172</v>
      </c>
      <c r="K1" s="825"/>
      <c r="L1" s="825"/>
      <c r="M1" s="826"/>
      <c r="N1" s="778" t="s">
        <v>169</v>
      </c>
      <c r="O1" s="825"/>
      <c r="P1" s="825"/>
      <c r="Q1" s="826"/>
      <c r="R1" s="150"/>
    </row>
    <row r="2" spans="1:18">
      <c r="A2" s="5" t="s">
        <v>0</v>
      </c>
      <c r="B2" s="41" t="s">
        <v>10</v>
      </c>
      <c r="C2" s="41" t="s">
        <v>11</v>
      </c>
      <c r="D2" s="41" t="s">
        <v>12</v>
      </c>
      <c r="E2" s="156" t="s">
        <v>118</v>
      </c>
      <c r="F2" s="41" t="s">
        <v>7</v>
      </c>
      <c r="G2" s="41" t="s">
        <v>8</v>
      </c>
      <c r="H2" s="41" t="s">
        <v>9</v>
      </c>
      <c r="I2" s="156" t="s">
        <v>117</v>
      </c>
      <c r="J2" s="41" t="s">
        <v>4</v>
      </c>
      <c r="K2" s="41" t="s">
        <v>5</v>
      </c>
      <c r="L2" s="41" t="s">
        <v>6</v>
      </c>
      <c r="M2" s="156" t="s">
        <v>116</v>
      </c>
      <c r="N2" s="41" t="s">
        <v>1</v>
      </c>
      <c r="O2" s="41" t="s">
        <v>2</v>
      </c>
      <c r="P2" s="41" t="s">
        <v>3</v>
      </c>
      <c r="Q2" s="156" t="s">
        <v>110</v>
      </c>
      <c r="R2" s="85" t="s">
        <v>119</v>
      </c>
    </row>
    <row r="3" spans="1:18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>
      <c r="A4" s="6" t="s">
        <v>36</v>
      </c>
      <c r="B4" s="74" t="e">
        <f>Target!#REF!</f>
        <v>#REF!</v>
      </c>
      <c r="C4" s="74" t="e">
        <f>Target!#REF!</f>
        <v>#REF!</v>
      </c>
      <c r="D4" s="74" t="e">
        <f>Target!#REF!</f>
        <v>#REF!</v>
      </c>
      <c r="E4" s="157" t="e">
        <f>SUM(B4:D4)</f>
        <v>#REF!</v>
      </c>
      <c r="F4" s="74" t="e">
        <f>Target!#REF!</f>
        <v>#REF!</v>
      </c>
      <c r="G4" s="74" t="e">
        <f>Target!#REF!</f>
        <v>#REF!</v>
      </c>
      <c r="H4" s="74" t="e">
        <f>Target!#REF!</f>
        <v>#REF!</v>
      </c>
      <c r="I4" s="157" t="e">
        <f>SUM(F4:H4)</f>
        <v>#REF!</v>
      </c>
      <c r="J4" s="74" t="e">
        <f>Target!#REF!</f>
        <v>#REF!</v>
      </c>
      <c r="K4" s="74" t="e">
        <f>Target!#REF!</f>
        <v>#REF!</v>
      </c>
      <c r="L4" s="74" t="e">
        <f>Target!#REF!</f>
        <v>#REF!</v>
      </c>
      <c r="M4" s="157"/>
      <c r="N4" s="74" t="e">
        <f>Target!#REF!</f>
        <v>#REF!</v>
      </c>
      <c r="O4" s="74" t="e">
        <f>Target!#REF!</f>
        <v>#REF!</v>
      </c>
      <c r="P4" s="74" t="e">
        <f>Target!#REF!</f>
        <v>#REF!</v>
      </c>
      <c r="Q4" s="157" t="e">
        <f>SUM(N4:P4)</f>
        <v>#REF!</v>
      </c>
      <c r="R4" s="87" t="e">
        <f>Q4+M4+I4+E4</f>
        <v>#REF!</v>
      </c>
    </row>
    <row r="5" spans="1:18">
      <c r="A5" s="7" t="s">
        <v>35</v>
      </c>
      <c r="B5" s="70" t="e">
        <f>B4</f>
        <v>#REF!</v>
      </c>
      <c r="C5" s="70" t="e">
        <f>C4+B5</f>
        <v>#REF!</v>
      </c>
      <c r="D5" s="70" t="e">
        <f>D4+C5</f>
        <v>#REF!</v>
      </c>
      <c r="E5" s="158"/>
      <c r="F5" s="70" t="e">
        <f>F4</f>
        <v>#REF!</v>
      </c>
      <c r="G5" s="70" t="e">
        <f>G4+F5</f>
        <v>#REF!</v>
      </c>
      <c r="H5" s="70" t="e">
        <f>H4+G5</f>
        <v>#REF!</v>
      </c>
      <c r="I5" s="158"/>
      <c r="J5" s="70" t="e">
        <f>J4</f>
        <v>#REF!</v>
      </c>
      <c r="K5" s="70" t="e">
        <f>K4+J5</f>
        <v>#REF!</v>
      </c>
      <c r="L5" s="70" t="e">
        <f>L4+K5</f>
        <v>#REF!</v>
      </c>
      <c r="M5" s="158"/>
      <c r="N5" s="70" t="e">
        <f>N4</f>
        <v>#REF!</v>
      </c>
      <c r="O5" s="70" t="e">
        <f>O4+N5</f>
        <v>#REF!</v>
      </c>
      <c r="P5" s="70" t="e">
        <f>P4+O5</f>
        <v>#REF!</v>
      </c>
      <c r="Q5" s="158"/>
      <c r="R5" s="89"/>
    </row>
    <row r="6" spans="1:18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57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57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57">
        <f>SUM(J6:L6)</f>
        <v>0</v>
      </c>
      <c r="N6" s="68">
        <f>SUMIF(I!A:A,$A$1,I!I:I)</f>
        <v>0</v>
      </c>
      <c r="O6" s="26">
        <f>SUMIF(II!A:A,$A$1,II!I:I)</f>
        <v>0</v>
      </c>
      <c r="P6" s="26">
        <f>SUMIF(III!A:A,$A$1,III!I:I)</f>
        <v>0</v>
      </c>
      <c r="Q6" s="157">
        <f>SUM(N6:P6)</f>
        <v>0</v>
      </c>
      <c r="R6" s="87">
        <f>Q6+M6+I6+E6</f>
        <v>0</v>
      </c>
    </row>
    <row r="7" spans="1:18">
      <c r="A7" s="7" t="s">
        <v>38</v>
      </c>
      <c r="B7" s="70">
        <f>B6</f>
        <v>0</v>
      </c>
      <c r="C7" s="70">
        <f>C6+B7</f>
        <v>0</v>
      </c>
      <c r="D7" s="70">
        <f>D6+C7</f>
        <v>0</v>
      </c>
      <c r="E7" s="158"/>
      <c r="F7" s="70">
        <f>F6</f>
        <v>0</v>
      </c>
      <c r="G7" s="70">
        <f>G6+F7</f>
        <v>0</v>
      </c>
      <c r="H7" s="70">
        <f>H6+G7</f>
        <v>0</v>
      </c>
      <c r="I7" s="158"/>
      <c r="J7" s="70">
        <f>J6</f>
        <v>0</v>
      </c>
      <c r="K7" s="70">
        <f>K6+J7</f>
        <v>0</v>
      </c>
      <c r="L7" s="70">
        <f>L6+K7</f>
        <v>0</v>
      </c>
      <c r="M7" s="158"/>
      <c r="N7" s="70">
        <f>N6</f>
        <v>0</v>
      </c>
      <c r="O7" s="70">
        <f>O6+N7</f>
        <v>0</v>
      </c>
      <c r="P7" s="70">
        <f>P6+O7</f>
        <v>0</v>
      </c>
      <c r="Q7" s="158"/>
      <c r="R7" s="89"/>
    </row>
    <row r="8" spans="1:18">
      <c r="A8" s="23" t="s">
        <v>39</v>
      </c>
      <c r="B8" s="75" t="e">
        <f t="shared" ref="B8:D9" si="0">B6/B4</f>
        <v>#REF!</v>
      </c>
      <c r="C8" s="75" t="e">
        <f t="shared" si="0"/>
        <v>#REF!</v>
      </c>
      <c r="D8" s="75" t="e">
        <f t="shared" si="0"/>
        <v>#REF!</v>
      </c>
      <c r="E8" s="159"/>
      <c r="F8" s="75" t="e">
        <f t="shared" ref="F8:H9" si="1">F6/F4</f>
        <v>#REF!</v>
      </c>
      <c r="G8" s="75" t="e">
        <f t="shared" si="1"/>
        <v>#REF!</v>
      </c>
      <c r="H8" s="75" t="e">
        <f t="shared" si="1"/>
        <v>#REF!</v>
      </c>
      <c r="I8" s="159"/>
      <c r="J8" s="75" t="e">
        <f t="shared" ref="J8:L9" si="2">J6/J4</f>
        <v>#REF!</v>
      </c>
      <c r="K8" s="75" t="e">
        <f t="shared" si="2"/>
        <v>#REF!</v>
      </c>
      <c r="L8" s="75" t="e">
        <f t="shared" si="2"/>
        <v>#REF!</v>
      </c>
      <c r="M8" s="159"/>
      <c r="N8" s="75" t="e">
        <f t="shared" ref="N8:P9" si="3">N6/N4</f>
        <v>#REF!</v>
      </c>
      <c r="O8" s="75" t="e">
        <f t="shared" si="3"/>
        <v>#REF!</v>
      </c>
      <c r="P8" s="75" t="e">
        <f t="shared" si="3"/>
        <v>#REF!</v>
      </c>
      <c r="Q8" s="159"/>
      <c r="R8" s="92"/>
    </row>
    <row r="9" spans="1:18">
      <c r="A9" s="23" t="s">
        <v>40</v>
      </c>
      <c r="B9" s="75" t="e">
        <f t="shared" si="0"/>
        <v>#REF!</v>
      </c>
      <c r="C9" s="75" t="e">
        <f t="shared" si="0"/>
        <v>#REF!</v>
      </c>
      <c r="D9" s="75" t="e">
        <f t="shared" si="0"/>
        <v>#REF!</v>
      </c>
      <c r="E9" s="159"/>
      <c r="F9" s="75" t="e">
        <f>F7/F5</f>
        <v>#REF!</v>
      </c>
      <c r="G9" s="75" t="e">
        <f t="shared" si="1"/>
        <v>#REF!</v>
      </c>
      <c r="H9" s="75" t="e">
        <f t="shared" si="1"/>
        <v>#REF!</v>
      </c>
      <c r="I9" s="159"/>
      <c r="J9" s="75" t="e">
        <f t="shared" si="2"/>
        <v>#REF!</v>
      </c>
      <c r="K9" s="75" t="e">
        <f>K7/K5</f>
        <v>#REF!</v>
      </c>
      <c r="L9" s="75" t="e">
        <f t="shared" si="2"/>
        <v>#REF!</v>
      </c>
      <c r="M9" s="159"/>
      <c r="N9" s="75" t="e">
        <f t="shared" si="3"/>
        <v>#REF!</v>
      </c>
      <c r="O9" s="75" t="e">
        <f t="shared" si="3"/>
        <v>#REF!</v>
      </c>
      <c r="P9" s="75" t="e">
        <f t="shared" si="3"/>
        <v>#REF!</v>
      </c>
      <c r="Q9" s="159"/>
      <c r="R9" s="93"/>
    </row>
    <row r="10" spans="1:18">
      <c r="A10" s="7" t="s">
        <v>48</v>
      </c>
      <c r="B10" s="76" t="e">
        <f>B7-B5</f>
        <v>#REF!</v>
      </c>
      <c r="C10" s="76" t="e">
        <f>C7-C5</f>
        <v>#REF!</v>
      </c>
      <c r="D10" s="76" t="e">
        <f>D7-D5</f>
        <v>#REF!</v>
      </c>
      <c r="E10" s="158"/>
      <c r="F10" s="76" t="e">
        <f>F7-F5</f>
        <v>#REF!</v>
      </c>
      <c r="G10" s="76" t="e">
        <f>G7-G5</f>
        <v>#REF!</v>
      </c>
      <c r="H10" s="76" t="e">
        <f>H7-H5</f>
        <v>#REF!</v>
      </c>
      <c r="I10" s="158"/>
      <c r="J10" s="76" t="e">
        <f>J7-J5</f>
        <v>#REF!</v>
      </c>
      <c r="K10" s="76" t="e">
        <f>K7-K5</f>
        <v>#REF!</v>
      </c>
      <c r="L10" s="76" t="e">
        <f>L7-L5</f>
        <v>#REF!</v>
      </c>
      <c r="M10" s="158"/>
      <c r="N10" s="76" t="e">
        <f>N7-N5</f>
        <v>#REF!</v>
      </c>
      <c r="O10" s="76" t="e">
        <f>O7-O5</f>
        <v>#REF!</v>
      </c>
      <c r="P10" s="76" t="e">
        <f>P7-P5</f>
        <v>#REF!</v>
      </c>
      <c r="Q10" s="158"/>
      <c r="R10" s="89"/>
    </row>
    <row r="11" spans="1:18">
      <c r="A11" s="6" t="s">
        <v>41</v>
      </c>
      <c r="B11" s="74" t="e">
        <f>Target!#REF!</f>
        <v>#REF!</v>
      </c>
      <c r="C11" s="74" t="e">
        <f>Target!#REF!</f>
        <v>#REF!</v>
      </c>
      <c r="D11" s="74" t="e">
        <f>Target!#REF!</f>
        <v>#REF!</v>
      </c>
      <c r="E11" s="157" t="e">
        <f>SUM(B11:D11)</f>
        <v>#REF!</v>
      </c>
      <c r="F11" s="74" t="e">
        <f>Target!#REF!</f>
        <v>#REF!</v>
      </c>
      <c r="G11" s="74" t="e">
        <f>Target!#REF!</f>
        <v>#REF!</v>
      </c>
      <c r="H11" s="74" t="e">
        <f>Target!#REF!</f>
        <v>#REF!</v>
      </c>
      <c r="I11" s="157" t="e">
        <f>SUM(F11:H11)</f>
        <v>#REF!</v>
      </c>
      <c r="J11" s="74"/>
      <c r="K11" s="74" t="e">
        <f>Target!#REF!</f>
        <v>#REF!</v>
      </c>
      <c r="L11" s="74" t="e">
        <f>Target!#REF!</f>
        <v>#REF!</v>
      </c>
      <c r="M11" s="157" t="e">
        <f>SUM(J11:L11)</f>
        <v>#REF!</v>
      </c>
      <c r="N11" s="74" t="e">
        <f>Target!#REF!</f>
        <v>#REF!</v>
      </c>
      <c r="O11" s="74" t="e">
        <f>Target!#REF!</f>
        <v>#REF!</v>
      </c>
      <c r="P11" s="74" t="e">
        <f>Target!#REF!</f>
        <v>#REF!</v>
      </c>
      <c r="Q11" s="157" t="e">
        <f>SUM(N11:P11)</f>
        <v>#REF!</v>
      </c>
      <c r="R11" s="87" t="e">
        <f>Q11+M11+I11+E11</f>
        <v>#REF!</v>
      </c>
    </row>
    <row r="12" spans="1:18">
      <c r="A12" s="7" t="s">
        <v>42</v>
      </c>
      <c r="B12" s="70" t="e">
        <f>B11</f>
        <v>#REF!</v>
      </c>
      <c r="C12" s="70" t="e">
        <f>C11+B12</f>
        <v>#REF!</v>
      </c>
      <c r="D12" s="70" t="e">
        <f>D11+C12</f>
        <v>#REF!</v>
      </c>
      <c r="E12" s="158"/>
      <c r="F12" s="70" t="e">
        <f>F11</f>
        <v>#REF!</v>
      </c>
      <c r="G12" s="70" t="e">
        <f>G11+F12</f>
        <v>#REF!</v>
      </c>
      <c r="H12" s="70" t="e">
        <f>H11+G12</f>
        <v>#REF!</v>
      </c>
      <c r="I12" s="158"/>
      <c r="J12" s="70">
        <f>J11</f>
        <v>0</v>
      </c>
      <c r="K12" s="70" t="e">
        <f>K11+J12</f>
        <v>#REF!</v>
      </c>
      <c r="L12" s="70" t="e">
        <f>L11+K12</f>
        <v>#REF!</v>
      </c>
      <c r="M12" s="158"/>
      <c r="N12" s="70" t="e">
        <f>N11</f>
        <v>#REF!</v>
      </c>
      <c r="O12" s="70" t="e">
        <f>O11+N12</f>
        <v>#REF!</v>
      </c>
      <c r="P12" s="70" t="e">
        <f>P11+O12</f>
        <v>#REF!</v>
      </c>
      <c r="Q12" s="158"/>
      <c r="R12" s="89"/>
    </row>
    <row r="13" spans="1:18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57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57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57">
        <f>SUM(J13:L13)</f>
        <v>0</v>
      </c>
      <c r="N13" s="68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57">
        <f>SUM(N13:P13)</f>
        <v>0</v>
      </c>
      <c r="R13" s="87">
        <f>Q13+M13+I13+E13</f>
        <v>0</v>
      </c>
    </row>
    <row r="14" spans="1:18">
      <c r="A14" s="7" t="s">
        <v>44</v>
      </c>
      <c r="B14" s="70">
        <f>B13</f>
        <v>0</v>
      </c>
      <c r="C14" s="70">
        <f>C13+B14</f>
        <v>0</v>
      </c>
      <c r="D14" s="70">
        <f>D13+C14</f>
        <v>0</v>
      </c>
      <c r="E14" s="158"/>
      <c r="F14" s="70">
        <f>F13</f>
        <v>0</v>
      </c>
      <c r="G14" s="70">
        <f>G13+F14</f>
        <v>0</v>
      </c>
      <c r="H14" s="70">
        <f>H13+G14</f>
        <v>0</v>
      </c>
      <c r="I14" s="158"/>
      <c r="J14" s="70">
        <f>J13</f>
        <v>0</v>
      </c>
      <c r="K14" s="70">
        <f>K13+J14</f>
        <v>0</v>
      </c>
      <c r="L14" s="70">
        <f>L13+K14</f>
        <v>0</v>
      </c>
      <c r="M14" s="158"/>
      <c r="N14" s="70">
        <f>N13</f>
        <v>0</v>
      </c>
      <c r="O14" s="70">
        <f>O13+N14</f>
        <v>0</v>
      </c>
      <c r="P14" s="70">
        <f>P13+O14</f>
        <v>0</v>
      </c>
      <c r="Q14" s="158"/>
      <c r="R14" s="89"/>
    </row>
    <row r="15" spans="1:18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9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9"/>
      <c r="J15" s="24" t="e">
        <f t="shared" ref="J15:L16" si="6">J13/J11</f>
        <v>#DIV/0!</v>
      </c>
      <c r="K15" s="24" t="e">
        <f t="shared" si="6"/>
        <v>#REF!</v>
      </c>
      <c r="L15" s="24" t="e">
        <f t="shared" si="6"/>
        <v>#REF!</v>
      </c>
      <c r="M15" s="159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9"/>
      <c r="R15" s="92"/>
    </row>
    <row r="16" spans="1:18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9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9"/>
      <c r="J16" s="24" t="e">
        <f t="shared" si="6"/>
        <v>#DIV/0!</v>
      </c>
      <c r="K16" s="24" t="e">
        <f>K14/K12</f>
        <v>#REF!</v>
      </c>
      <c r="L16" s="24" t="e">
        <f t="shared" si="6"/>
        <v>#REF!</v>
      </c>
      <c r="M16" s="159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9"/>
      <c r="R16" s="93"/>
    </row>
    <row r="17" spans="1:18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8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8"/>
      <c r="J17" s="22">
        <f>J14-J12</f>
        <v>0</v>
      </c>
      <c r="K17" s="22" t="e">
        <f>K14-K12</f>
        <v>#REF!</v>
      </c>
      <c r="L17" s="22" t="e">
        <f>L14-L12</f>
        <v>#REF!</v>
      </c>
      <c r="M17" s="158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8"/>
      <c r="R17" s="94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60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0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0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0"/>
      <c r="R18" s="96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0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60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0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0"/>
      <c r="R19" s="96"/>
    </row>
    <row r="20" spans="1:18">
      <c r="A20" s="54"/>
      <c r="B20" s="79"/>
      <c r="C20" s="79"/>
      <c r="D20" s="79"/>
      <c r="E20" s="161"/>
      <c r="F20" s="79"/>
      <c r="G20" s="79"/>
      <c r="H20" s="79"/>
      <c r="I20" s="161"/>
      <c r="J20" s="79"/>
      <c r="K20" s="79"/>
      <c r="L20" s="79"/>
      <c r="M20" s="161"/>
      <c r="N20" s="54"/>
      <c r="O20" s="79"/>
      <c r="P20" s="79"/>
      <c r="Q20" s="161"/>
      <c r="R20" s="97"/>
    </row>
    <row r="21" spans="1:18" ht="15.6">
      <c r="A21" s="43"/>
      <c r="B21" s="264"/>
      <c r="C21" s="264"/>
      <c r="D21" s="264"/>
      <c r="E21" s="162"/>
      <c r="F21" s="264"/>
      <c r="G21" s="264"/>
      <c r="H21" s="264"/>
      <c r="I21" s="162"/>
      <c r="J21" s="264"/>
      <c r="K21" s="264"/>
      <c r="L21" s="78"/>
      <c r="M21" s="162"/>
      <c r="N21" s="263" t="s">
        <v>26</v>
      </c>
      <c r="O21" s="264"/>
      <c r="P21" s="264"/>
      <c r="Q21" s="264"/>
      <c r="R21" s="101"/>
    </row>
    <row r="22" spans="1:18" ht="15.6">
      <c r="A22" s="56" t="s">
        <v>74</v>
      </c>
      <c r="B22" s="58">
        <v>0</v>
      </c>
      <c r="C22" s="58">
        <v>0</v>
      </c>
      <c r="D22" s="58">
        <v>0</v>
      </c>
      <c r="E22" s="163"/>
      <c r="F22" s="58">
        <v>0</v>
      </c>
      <c r="G22" s="58">
        <v>0</v>
      </c>
      <c r="H22" s="58">
        <v>0</v>
      </c>
      <c r="I22" s="163"/>
      <c r="J22" s="58">
        <v>0</v>
      </c>
      <c r="K22" s="58">
        <v>0</v>
      </c>
      <c r="L22" s="58">
        <v>0</v>
      </c>
      <c r="M22" s="163"/>
      <c r="N22" s="58">
        <v>0</v>
      </c>
      <c r="O22" s="58">
        <v>0</v>
      </c>
      <c r="P22" s="58">
        <v>0</v>
      </c>
      <c r="Q22" s="163"/>
      <c r="R22" s="101"/>
    </row>
    <row r="23" spans="1:18">
      <c r="A23" s="17" t="s">
        <v>50</v>
      </c>
      <c r="B23" s="59" t="e">
        <f>B5</f>
        <v>#REF!</v>
      </c>
      <c r="C23" s="59" t="e">
        <f>C5</f>
        <v>#REF!</v>
      </c>
      <c r="D23" s="59" t="e">
        <f>D5</f>
        <v>#REF!</v>
      </c>
      <c r="E23" s="164"/>
      <c r="F23" s="59" t="e">
        <f>F5</f>
        <v>#REF!</v>
      </c>
      <c r="G23" s="59" t="e">
        <f>G5</f>
        <v>#REF!</v>
      </c>
      <c r="H23" s="59" t="e">
        <f>H5</f>
        <v>#REF!</v>
      </c>
      <c r="I23" s="164"/>
      <c r="J23" s="59" t="e">
        <f>J5</f>
        <v>#REF!</v>
      </c>
      <c r="K23" s="59" t="e">
        <f>K5</f>
        <v>#REF!</v>
      </c>
      <c r="L23" s="59" t="e">
        <f>L5</f>
        <v>#REF!</v>
      </c>
      <c r="M23" s="164"/>
      <c r="N23" s="59" t="e">
        <f>N5</f>
        <v>#REF!</v>
      </c>
      <c r="O23" s="59" t="e">
        <f>O5</f>
        <v>#REF!</v>
      </c>
      <c r="P23" s="59" t="e">
        <f>P5</f>
        <v>#REF!</v>
      </c>
      <c r="Q23" s="164"/>
      <c r="R23" s="103"/>
    </row>
    <row r="24" spans="1:18">
      <c r="A24" s="34" t="s">
        <v>51</v>
      </c>
      <c r="B24" s="42">
        <f>B7</f>
        <v>0</v>
      </c>
      <c r="C24" s="42">
        <f>C7</f>
        <v>0</v>
      </c>
      <c r="D24" s="42">
        <f>D7</f>
        <v>0</v>
      </c>
      <c r="E24" s="165"/>
      <c r="F24" s="42">
        <f>F7</f>
        <v>0</v>
      </c>
      <c r="G24" s="42">
        <f>G7</f>
        <v>0</v>
      </c>
      <c r="H24" s="42">
        <f>H7</f>
        <v>0</v>
      </c>
      <c r="I24" s="165"/>
      <c r="J24" s="42">
        <f>J7</f>
        <v>0</v>
      </c>
      <c r="K24" s="42">
        <f>K7</f>
        <v>0</v>
      </c>
      <c r="L24" s="42">
        <f>L7</f>
        <v>0</v>
      </c>
      <c r="M24" s="165"/>
      <c r="N24" s="42">
        <f>N7</f>
        <v>0</v>
      </c>
      <c r="O24" s="42">
        <f>O7</f>
        <v>0</v>
      </c>
      <c r="P24" s="42">
        <f>P7</f>
        <v>0</v>
      </c>
      <c r="Q24" s="165"/>
      <c r="R24" s="103"/>
    </row>
    <row r="25" spans="1:18">
      <c r="A25" s="34" t="s">
        <v>52</v>
      </c>
      <c r="B25" s="72" t="e">
        <f>B24/B23</f>
        <v>#REF!</v>
      </c>
      <c r="C25" s="72" t="e">
        <f>C24/C23</f>
        <v>#REF!</v>
      </c>
      <c r="D25" s="72" t="e">
        <f>D24/D23</f>
        <v>#REF!</v>
      </c>
      <c r="E25" s="166"/>
      <c r="F25" s="72" t="e">
        <f>F24/F23</f>
        <v>#REF!</v>
      </c>
      <c r="G25" s="72" t="e">
        <f>G24/G23</f>
        <v>#REF!</v>
      </c>
      <c r="H25" s="72" t="e">
        <f>H24/H23</f>
        <v>#REF!</v>
      </c>
      <c r="I25" s="166"/>
      <c r="J25" s="72" t="e">
        <f>J24/J23</f>
        <v>#REF!</v>
      </c>
      <c r="K25" s="72" t="e">
        <f>K24/K23</f>
        <v>#REF!</v>
      </c>
      <c r="L25" s="72" t="e">
        <f>L24/L23</f>
        <v>#REF!</v>
      </c>
      <c r="M25" s="166"/>
      <c r="N25" s="72" t="e">
        <f>N24/N23</f>
        <v>#REF!</v>
      </c>
      <c r="O25" s="72" t="e">
        <f>O24/O23</f>
        <v>#REF!</v>
      </c>
      <c r="P25" s="72" t="e">
        <f>P24/P23</f>
        <v>#REF!</v>
      </c>
      <c r="Q25" s="166"/>
      <c r="R25" s="103"/>
    </row>
    <row r="26" spans="1:18">
      <c r="A26" s="33" t="s">
        <v>60</v>
      </c>
      <c r="B26" s="44">
        <f>B22*0.2</f>
        <v>0</v>
      </c>
      <c r="C26" s="44">
        <f>C22*0.2</f>
        <v>0</v>
      </c>
      <c r="D26" s="44">
        <f>D22*0.2</f>
        <v>0</v>
      </c>
      <c r="E26" s="167"/>
      <c r="F26" s="44">
        <f>F22*0.2</f>
        <v>0</v>
      </c>
      <c r="G26" s="44">
        <f>G22*0.2</f>
        <v>0</v>
      </c>
      <c r="H26" s="44">
        <f>H22*0.2</f>
        <v>0</v>
      </c>
      <c r="I26" s="167"/>
      <c r="J26" s="44">
        <f>J22*0.2</f>
        <v>0</v>
      </c>
      <c r="K26" s="44">
        <f>K22*0.2</f>
        <v>0</v>
      </c>
      <c r="L26" s="44">
        <f>L22*0.2</f>
        <v>0</v>
      </c>
      <c r="M26" s="167"/>
      <c r="N26" s="44">
        <f>N22*0.2</f>
        <v>0</v>
      </c>
      <c r="O26" s="44">
        <f>O22*0.2</f>
        <v>0</v>
      </c>
      <c r="P26" s="44">
        <f>P22*0.2</f>
        <v>0</v>
      </c>
      <c r="Q26" s="167"/>
      <c r="R26" s="106"/>
    </row>
    <row r="27" spans="1:18">
      <c r="A27" s="34" t="s">
        <v>53</v>
      </c>
      <c r="B27" s="61" t="e">
        <f>IF(B25&lt;80%,0,IF(B25&lt;90%,0.5,IF(B25&lt;95%,0.75,1)))</f>
        <v>#REF!</v>
      </c>
      <c r="C27" s="61" t="e">
        <f>IF(C25&lt;80%,0,IF(C25&lt;90%,0.5,IF(C25&lt;95%,0.75,1)))</f>
        <v>#REF!</v>
      </c>
      <c r="D27" s="61" t="e">
        <f>IF(D25&lt;80%,0,IF(D25&lt;90%,0.5,IF(D25&lt;95%,0.75,1)))</f>
        <v>#REF!</v>
      </c>
      <c r="E27" s="165"/>
      <c r="F27" s="61" t="e">
        <f>IF(F25&lt;80%,0,IF(F25&lt;90%,0.5,IF(F25&lt;95%,0.75,1)))</f>
        <v>#REF!</v>
      </c>
      <c r="G27" s="61" t="e">
        <f>IF(G25&lt;80%,0,IF(G25&lt;90%,0.5,IF(G25&lt;95%,0.75,1)))</f>
        <v>#REF!</v>
      </c>
      <c r="H27" s="61" t="e">
        <f>IF(H25&lt;80%,0,IF(H25&lt;90%,0.5,IF(H25&lt;95%,0.75,1)))</f>
        <v>#REF!</v>
      </c>
      <c r="I27" s="165"/>
      <c r="J27" s="61" t="e">
        <f>IF(J25&lt;80%,0,IF(J25&lt;90%,0.5,IF(J25&lt;95%,0.75,1)))</f>
        <v>#REF!</v>
      </c>
      <c r="K27" s="61" t="e">
        <f>IF(K25&lt;80%,0,IF(K25&lt;90%,0.5,IF(K25&lt;95%,0.75,1)))</f>
        <v>#REF!</v>
      </c>
      <c r="L27" s="61" t="e">
        <f>IF(L25&lt;80%,0,IF(L25&lt;90%,0.5,IF(L25&lt;95%,0.75,1)))</f>
        <v>#REF!</v>
      </c>
      <c r="M27" s="165"/>
      <c r="N27" s="61" t="e">
        <f>IF(N25&lt;80%,0,IF(N25&lt;90%,0.5,IF(N25&lt;95%,0.75,1)))</f>
        <v>#REF!</v>
      </c>
      <c r="O27" s="61" t="e">
        <f>IF(O25&lt;80%,0,IF(O25&lt;90%,0.5,IF(O25&lt;95%,0.75,1)))</f>
        <v>#REF!</v>
      </c>
      <c r="P27" s="61" t="e">
        <f>IF(P25&lt;80%,0,IF(P25&lt;90%,0.5,IF(P25&lt;95%,0.75,1)))</f>
        <v>#REF!</v>
      </c>
      <c r="Q27" s="165"/>
      <c r="R27" s="103"/>
    </row>
    <row r="28" spans="1:18">
      <c r="A28" s="45" t="s">
        <v>54</v>
      </c>
      <c r="B28" s="57" t="e">
        <f>B27*B26</f>
        <v>#REF!</v>
      </c>
      <c r="C28" s="57" t="e">
        <f>C27*C26</f>
        <v>#REF!</v>
      </c>
      <c r="D28" s="57" t="e">
        <f>D27*D26</f>
        <v>#REF!</v>
      </c>
      <c r="E28" s="168"/>
      <c r="F28" s="57" t="e">
        <f>F27*F26</f>
        <v>#REF!</v>
      </c>
      <c r="G28" s="57" t="e">
        <f>G27*G26</f>
        <v>#REF!</v>
      </c>
      <c r="H28" s="57" t="e">
        <f>H27*H26</f>
        <v>#REF!</v>
      </c>
      <c r="I28" s="168"/>
      <c r="J28" s="57" t="e">
        <f>J27*J26</f>
        <v>#REF!</v>
      </c>
      <c r="K28" s="57" t="e">
        <f>K27*K26</f>
        <v>#REF!</v>
      </c>
      <c r="L28" s="57" t="e">
        <f>L27*L26</f>
        <v>#REF!</v>
      </c>
      <c r="M28" s="168"/>
      <c r="N28" s="57" t="e">
        <f>N27*N26</f>
        <v>#REF!</v>
      </c>
      <c r="O28" s="57" t="e">
        <f>O27*O26</f>
        <v>#REF!</v>
      </c>
      <c r="P28" s="57" t="e">
        <f>P27*P26</f>
        <v>#REF!</v>
      </c>
      <c r="Q28" s="168"/>
      <c r="R28" s="107"/>
    </row>
    <row r="29" spans="1:18">
      <c r="A29" s="17" t="s">
        <v>49</v>
      </c>
      <c r="B29" s="36" t="e">
        <f>B12</f>
        <v>#REF!</v>
      </c>
      <c r="C29" s="36" t="e">
        <f>C12</f>
        <v>#REF!</v>
      </c>
      <c r="D29" s="36" t="e">
        <f>D12</f>
        <v>#REF!</v>
      </c>
      <c r="E29" s="164"/>
      <c r="F29" s="36" t="e">
        <f>F12</f>
        <v>#REF!</v>
      </c>
      <c r="G29" s="36" t="e">
        <f>G12</f>
        <v>#REF!</v>
      </c>
      <c r="H29" s="36" t="e">
        <f>H12</f>
        <v>#REF!</v>
      </c>
      <c r="I29" s="164"/>
      <c r="J29" s="36">
        <f>J12</f>
        <v>0</v>
      </c>
      <c r="K29" s="36" t="e">
        <f>K12</f>
        <v>#REF!</v>
      </c>
      <c r="L29" s="36" t="e">
        <f>L12</f>
        <v>#REF!</v>
      </c>
      <c r="M29" s="164"/>
      <c r="N29" s="36" t="e">
        <f>N12</f>
        <v>#REF!</v>
      </c>
      <c r="O29" s="36" t="e">
        <f>O12</f>
        <v>#REF!</v>
      </c>
      <c r="P29" s="36" t="e">
        <f>P12</f>
        <v>#REF!</v>
      </c>
      <c r="Q29" s="164"/>
      <c r="R29" s="103"/>
    </row>
    <row r="30" spans="1:18">
      <c r="A30" s="34" t="s">
        <v>55</v>
      </c>
      <c r="B30" s="35">
        <f>B14</f>
        <v>0</v>
      </c>
      <c r="C30" s="35">
        <f>C14</f>
        <v>0</v>
      </c>
      <c r="D30" s="35">
        <f>D14</f>
        <v>0</v>
      </c>
      <c r="E30" s="165"/>
      <c r="F30" s="35">
        <f>F14</f>
        <v>0</v>
      </c>
      <c r="G30" s="35">
        <f>G14</f>
        <v>0</v>
      </c>
      <c r="H30" s="35">
        <f>H14</f>
        <v>0</v>
      </c>
      <c r="I30" s="165"/>
      <c r="J30" s="35">
        <f>J14</f>
        <v>0</v>
      </c>
      <c r="K30" s="35">
        <f>K14</f>
        <v>0</v>
      </c>
      <c r="L30" s="35">
        <f>L14</f>
        <v>0</v>
      </c>
      <c r="M30" s="165"/>
      <c r="N30" s="35">
        <f>N14</f>
        <v>0</v>
      </c>
      <c r="O30" s="35">
        <f>O14</f>
        <v>0</v>
      </c>
      <c r="P30" s="35">
        <f>P14</f>
        <v>0</v>
      </c>
      <c r="Q30" s="165"/>
      <c r="R30" s="103"/>
    </row>
    <row r="31" spans="1:18">
      <c r="A31" s="34" t="s">
        <v>56</v>
      </c>
      <c r="B31" s="72" t="e">
        <f>B30/B29</f>
        <v>#REF!</v>
      </c>
      <c r="C31" s="72" t="e">
        <f>C30/C29</f>
        <v>#REF!</v>
      </c>
      <c r="D31" s="72" t="e">
        <f>D30/D29</f>
        <v>#REF!</v>
      </c>
      <c r="E31" s="166"/>
      <c r="F31" s="72" t="e">
        <f>F30/F29</f>
        <v>#REF!</v>
      </c>
      <c r="G31" s="72" t="e">
        <f>G30/G29</f>
        <v>#REF!</v>
      </c>
      <c r="H31" s="72" t="e">
        <f>H30/H29</f>
        <v>#REF!</v>
      </c>
      <c r="I31" s="166"/>
      <c r="J31" s="72" t="e">
        <f>J30/J29</f>
        <v>#DIV/0!</v>
      </c>
      <c r="K31" s="72" t="e">
        <f>K30/K29</f>
        <v>#REF!</v>
      </c>
      <c r="L31" s="72" t="e">
        <f>L30/L29</f>
        <v>#REF!</v>
      </c>
      <c r="M31" s="166"/>
      <c r="N31" s="72" t="e">
        <f>N30/N29</f>
        <v>#REF!</v>
      </c>
      <c r="O31" s="72" t="e">
        <f>O30/O29</f>
        <v>#REF!</v>
      </c>
      <c r="P31" s="72" t="e">
        <f>P30/P29</f>
        <v>#REF!</v>
      </c>
      <c r="Q31" s="166"/>
      <c r="R31" s="103"/>
    </row>
    <row r="32" spans="1:18">
      <c r="A32" s="67" t="s">
        <v>61</v>
      </c>
      <c r="B32" s="66">
        <f>B22*0.2</f>
        <v>0</v>
      </c>
      <c r="C32" s="66">
        <f>C22*0.2</f>
        <v>0</v>
      </c>
      <c r="D32" s="66">
        <f>D22*0.2</f>
        <v>0</v>
      </c>
      <c r="E32" s="165"/>
      <c r="F32" s="66">
        <f>F22*0.2</f>
        <v>0</v>
      </c>
      <c r="G32" s="66">
        <f>G22*0.2</f>
        <v>0</v>
      </c>
      <c r="H32" s="66">
        <f>H22*0.2</f>
        <v>0</v>
      </c>
      <c r="I32" s="165"/>
      <c r="J32" s="66">
        <f>J22*0.2</f>
        <v>0</v>
      </c>
      <c r="K32" s="66">
        <f>K22*0.2</f>
        <v>0</v>
      </c>
      <c r="L32" s="66">
        <f>L22*0.2</f>
        <v>0</v>
      </c>
      <c r="M32" s="165"/>
      <c r="N32" s="66">
        <f>N22*0.2</f>
        <v>0</v>
      </c>
      <c r="O32" s="66">
        <f>O22*0.2</f>
        <v>0</v>
      </c>
      <c r="P32" s="66">
        <f>P22*0.2</f>
        <v>0</v>
      </c>
      <c r="Q32" s="165"/>
      <c r="R32" s="103"/>
    </row>
    <row r="33" spans="1:18">
      <c r="A33" s="34" t="s">
        <v>57</v>
      </c>
      <c r="B33" s="44" t="e">
        <f>IF(B31&lt;80%,0,IF(B31&lt;90%,0.5,IF(B31&lt;95%,0.75,1)))</f>
        <v>#REF!</v>
      </c>
      <c r="C33" s="44" t="e">
        <f>IF(C31&lt;80%,0,IF(C31&lt;90%,0.5,IF(C31&lt;95%,0.75,1)))</f>
        <v>#REF!</v>
      </c>
      <c r="D33" s="44" t="e">
        <f>IF(D31&lt;80%,0,IF(D31&lt;90%,0.5,IF(D31&lt;95%,0.75,1)))</f>
        <v>#REF!</v>
      </c>
      <c r="E33" s="167"/>
      <c r="F33" s="44" t="e">
        <f>IF(F31&lt;80%,0,IF(F31&lt;90%,0.5,IF(F31&lt;95%,0.75,1)))</f>
        <v>#REF!</v>
      </c>
      <c r="G33" s="44" t="e">
        <f>IF(G31&lt;80%,0,IF(G31&lt;90%,0.5,IF(G31&lt;95%,0.75,1)))</f>
        <v>#REF!</v>
      </c>
      <c r="H33" s="44" t="e">
        <f>IF(H31&lt;80%,0,IF(H31&lt;90%,0.5,IF(H31&lt;95%,0.75,1)))</f>
        <v>#REF!</v>
      </c>
      <c r="I33" s="167"/>
      <c r="J33" s="44" t="e">
        <f>IF(J31&lt;80%,0,IF(J31&lt;90%,0.5,IF(J31&lt;95%,0.75,1)))</f>
        <v>#DIV/0!</v>
      </c>
      <c r="K33" s="44" t="e">
        <f>IF(K31&lt;80%,0,IF(K31&lt;90%,0.5,IF(K31&lt;95%,0.75,1)))</f>
        <v>#REF!</v>
      </c>
      <c r="L33" s="44" t="e">
        <f>IF(L31&lt;80%,0,IF(L31&lt;90%,0.5,IF(L31&lt;95%,0.75,1)))</f>
        <v>#REF!</v>
      </c>
      <c r="M33" s="167"/>
      <c r="N33" s="44" t="e">
        <f>IF(N31&lt;80%,0,IF(N31&lt;90%,0.5,IF(N31&lt;95%,0.75,1)))</f>
        <v>#REF!</v>
      </c>
      <c r="O33" s="44" t="e">
        <f>IF(O31&lt;80%,0,IF(O31&lt;90%,0.5,IF(O31&lt;95%,0.75,1)))</f>
        <v>#REF!</v>
      </c>
      <c r="P33" s="44" t="e">
        <f>IF(P31&lt;80%,0,IF(P31&lt;90%,0.5,IF(P31&lt;95%,0.75,1)))</f>
        <v>#REF!</v>
      </c>
      <c r="Q33" s="167"/>
      <c r="R33" s="103"/>
    </row>
    <row r="34" spans="1:18">
      <c r="A34" s="45" t="s">
        <v>58</v>
      </c>
      <c r="B34" s="57" t="e">
        <f>B33*B32</f>
        <v>#REF!</v>
      </c>
      <c r="C34" s="57" t="e">
        <f>C33*C32</f>
        <v>#REF!</v>
      </c>
      <c r="D34" s="57" t="e">
        <f>D33*D32</f>
        <v>#REF!</v>
      </c>
      <c r="E34" s="168"/>
      <c r="F34" s="57" t="e">
        <f>F33*F32</f>
        <v>#REF!</v>
      </c>
      <c r="G34" s="57" t="e">
        <f>G33*G32</f>
        <v>#REF!</v>
      </c>
      <c r="H34" s="57" t="e">
        <f>H33*H32</f>
        <v>#REF!</v>
      </c>
      <c r="I34" s="168"/>
      <c r="J34" s="57" t="e">
        <f>J33*J32</f>
        <v>#DIV/0!</v>
      </c>
      <c r="K34" s="57" t="e">
        <f>K33*K32</f>
        <v>#REF!</v>
      </c>
      <c r="L34" s="57" t="e">
        <f>L33*L32</f>
        <v>#REF!</v>
      </c>
      <c r="M34" s="168"/>
      <c r="N34" s="57" t="e">
        <f>N33*N32</f>
        <v>#REF!</v>
      </c>
      <c r="O34" s="57" t="e">
        <f>O33*O32</f>
        <v>#REF!</v>
      </c>
      <c r="P34" s="57" t="e">
        <f>P33*P32</f>
        <v>#REF!</v>
      </c>
      <c r="Q34" s="168"/>
      <c r="R34" s="107"/>
    </row>
    <row r="35" spans="1:18">
      <c r="A35" s="17" t="s">
        <v>34</v>
      </c>
      <c r="B35" s="73">
        <v>1</v>
      </c>
      <c r="C35" s="73">
        <v>1</v>
      </c>
      <c r="D35" s="73">
        <v>1</v>
      </c>
      <c r="E35" s="164"/>
      <c r="F35" s="73">
        <v>1</v>
      </c>
      <c r="G35" s="73">
        <v>1</v>
      </c>
      <c r="H35" s="73">
        <v>1</v>
      </c>
      <c r="I35" s="164"/>
      <c r="J35" s="73">
        <v>1</v>
      </c>
      <c r="K35" s="73">
        <v>1</v>
      </c>
      <c r="L35" s="73">
        <v>1</v>
      </c>
      <c r="M35" s="164"/>
      <c r="N35" s="73">
        <v>1</v>
      </c>
      <c r="O35" s="73">
        <v>1</v>
      </c>
      <c r="P35" s="73">
        <v>1</v>
      </c>
      <c r="Q35" s="164"/>
      <c r="R35" s="108"/>
    </row>
    <row r="36" spans="1:18">
      <c r="A36" s="40" t="s">
        <v>59</v>
      </c>
      <c r="B36" s="62">
        <f>B22*0.1</f>
        <v>0</v>
      </c>
      <c r="C36" s="62">
        <f>C22*0.1</f>
        <v>0</v>
      </c>
      <c r="D36" s="62">
        <f>D22*0.1</f>
        <v>0</v>
      </c>
      <c r="E36" s="169"/>
      <c r="F36" s="62">
        <f>F22*0.1</f>
        <v>0</v>
      </c>
      <c r="G36" s="62">
        <f>G22*0.1</f>
        <v>0</v>
      </c>
      <c r="H36" s="62">
        <f>H22*0.1</f>
        <v>0</v>
      </c>
      <c r="I36" s="169"/>
      <c r="J36" s="62">
        <f>J22*0.1</f>
        <v>0</v>
      </c>
      <c r="K36" s="62">
        <f>K22*0.1</f>
        <v>0</v>
      </c>
      <c r="L36" s="62">
        <f>L22*0.1</f>
        <v>0</v>
      </c>
      <c r="M36" s="169"/>
      <c r="N36" s="62">
        <f>N22*0.1</f>
        <v>0</v>
      </c>
      <c r="O36" s="62">
        <f>O22*0.1</f>
        <v>0</v>
      </c>
      <c r="P36" s="62">
        <f>P22*0.1</f>
        <v>0</v>
      </c>
      <c r="Q36" s="169"/>
      <c r="R36" s="106"/>
    </row>
    <row r="37" spans="1:18">
      <c r="A37" s="34" t="s">
        <v>62</v>
      </c>
      <c r="B37" s="80"/>
      <c r="C37" s="80"/>
      <c r="D37" s="80"/>
      <c r="E37" s="165"/>
      <c r="F37" s="80"/>
      <c r="G37" s="80"/>
      <c r="H37" s="80"/>
      <c r="I37" s="165"/>
      <c r="J37" s="80"/>
      <c r="K37" s="80"/>
      <c r="L37" s="80"/>
      <c r="M37" s="165"/>
      <c r="N37" s="81"/>
      <c r="O37" s="80"/>
      <c r="P37" s="80"/>
      <c r="Q37" s="165"/>
      <c r="R37" s="103"/>
    </row>
    <row r="38" spans="1:18">
      <c r="A38" s="50" t="s">
        <v>63</v>
      </c>
      <c r="B38" s="60">
        <f>B37*B36</f>
        <v>0</v>
      </c>
      <c r="C38" s="60">
        <f>C37*C36</f>
        <v>0</v>
      </c>
      <c r="D38" s="60">
        <f>D37*D36</f>
        <v>0</v>
      </c>
      <c r="E38" s="168"/>
      <c r="F38" s="60">
        <f>F37*F36</f>
        <v>0</v>
      </c>
      <c r="G38" s="60">
        <f>G37*G36</f>
        <v>0</v>
      </c>
      <c r="H38" s="60">
        <f>H37*H36</f>
        <v>0</v>
      </c>
      <c r="I38" s="168"/>
      <c r="J38" s="60">
        <f>J37*J36</f>
        <v>0</v>
      </c>
      <c r="K38" s="60">
        <f>K37*K36</f>
        <v>0</v>
      </c>
      <c r="L38" s="60">
        <f>L37*L36</f>
        <v>0</v>
      </c>
      <c r="M38" s="168"/>
      <c r="N38" s="60">
        <f>N37*N36</f>
        <v>0</v>
      </c>
      <c r="O38" s="60">
        <f>O37*O36</f>
        <v>0</v>
      </c>
      <c r="P38" s="60">
        <f>P37*P36</f>
        <v>0</v>
      </c>
      <c r="Q38" s="168"/>
      <c r="R38" s="110"/>
    </row>
    <row r="39" spans="1:18">
      <c r="A39" s="43" t="s">
        <v>67</v>
      </c>
      <c r="B39" s="63" t="e">
        <f>B34+B28+B38</f>
        <v>#REF!</v>
      </c>
      <c r="C39" s="63" t="e">
        <f>C34+C28+C38</f>
        <v>#REF!</v>
      </c>
      <c r="D39" s="63" t="e">
        <f>D34+D28+D38</f>
        <v>#REF!</v>
      </c>
      <c r="E39" s="170"/>
      <c r="F39" s="63" t="e">
        <f>F34+F28+F38</f>
        <v>#REF!</v>
      </c>
      <c r="G39" s="63" t="e">
        <f>G34+G28+G38</f>
        <v>#REF!</v>
      </c>
      <c r="H39" s="63" t="e">
        <f>H34+H28+H38</f>
        <v>#REF!</v>
      </c>
      <c r="I39" s="170"/>
      <c r="J39" s="63" t="e">
        <f>J34+J28+J38</f>
        <v>#DIV/0!</v>
      </c>
      <c r="K39" s="63" t="e">
        <f>K34+K28+K38</f>
        <v>#REF!</v>
      </c>
      <c r="L39" s="63" t="e">
        <f>L34+L28+L38</f>
        <v>#REF!</v>
      </c>
      <c r="M39" s="170"/>
      <c r="N39" s="63" t="e">
        <f>N34+N28+N38</f>
        <v>#REF!</v>
      </c>
      <c r="O39" s="63" t="e">
        <f>O34+O28+O38</f>
        <v>#REF!</v>
      </c>
      <c r="P39" s="63" t="e">
        <f>P34+P28+P38</f>
        <v>#REF!</v>
      </c>
      <c r="Q39" s="170"/>
      <c r="R39" s="111"/>
    </row>
    <row r="40" spans="1:18">
      <c r="A40" s="102" t="s">
        <v>115</v>
      </c>
      <c r="B40" s="764" t="e">
        <f>D5</f>
        <v>#REF!</v>
      </c>
      <c r="C40" s="765"/>
      <c r="D40" s="765"/>
      <c r="E40" s="790"/>
      <c r="F40" s="764" t="e">
        <f>H5</f>
        <v>#REF!</v>
      </c>
      <c r="G40" s="765"/>
      <c r="H40" s="765"/>
      <c r="I40" s="790"/>
      <c r="J40" s="764" t="e">
        <f>L5</f>
        <v>#REF!</v>
      </c>
      <c r="K40" s="765"/>
      <c r="L40" s="765"/>
      <c r="M40" s="790"/>
      <c r="N40" s="764" t="e">
        <f>P5</f>
        <v>#REF!</v>
      </c>
      <c r="O40" s="765"/>
      <c r="P40" s="765"/>
      <c r="Q40" s="790"/>
      <c r="R40" s="106"/>
    </row>
    <row r="41" spans="1:18">
      <c r="A41" s="104" t="s">
        <v>69</v>
      </c>
      <c r="B41" s="821">
        <f>D7</f>
        <v>0</v>
      </c>
      <c r="C41" s="822"/>
      <c r="D41" s="822"/>
      <c r="E41" s="790"/>
      <c r="F41" s="821">
        <f>H7</f>
        <v>0</v>
      </c>
      <c r="G41" s="822"/>
      <c r="H41" s="822"/>
      <c r="I41" s="790"/>
      <c r="J41" s="821">
        <f>L7</f>
        <v>0</v>
      </c>
      <c r="K41" s="822"/>
      <c r="L41" s="822"/>
      <c r="M41" s="790"/>
      <c r="N41" s="821">
        <f>P7</f>
        <v>0</v>
      </c>
      <c r="O41" s="822"/>
      <c r="P41" s="822"/>
      <c r="Q41" s="790"/>
      <c r="R41" s="106"/>
    </row>
    <row r="42" spans="1:18">
      <c r="A42" s="104" t="s">
        <v>68</v>
      </c>
      <c r="B42" s="823" t="e">
        <f>B41/B40</f>
        <v>#REF!</v>
      </c>
      <c r="C42" s="824"/>
      <c r="D42" s="824"/>
      <c r="E42" s="790"/>
      <c r="F42" s="823" t="e">
        <f>F41/F40</f>
        <v>#REF!</v>
      </c>
      <c r="G42" s="824"/>
      <c r="H42" s="824"/>
      <c r="I42" s="790"/>
      <c r="J42" s="823" t="e">
        <f>J41/J40</f>
        <v>#REF!</v>
      </c>
      <c r="K42" s="824"/>
      <c r="L42" s="824"/>
      <c r="M42" s="790"/>
      <c r="N42" s="823" t="e">
        <f>N41/N40</f>
        <v>#REF!</v>
      </c>
      <c r="O42" s="824"/>
      <c r="P42" s="824"/>
      <c r="Q42" s="790"/>
      <c r="R42" s="112"/>
    </row>
    <row r="43" spans="1:18">
      <c r="A43" s="104" t="s">
        <v>65</v>
      </c>
      <c r="B43" s="819">
        <f>D22</f>
        <v>0</v>
      </c>
      <c r="C43" s="820"/>
      <c r="D43" s="820"/>
      <c r="E43" s="790"/>
      <c r="F43" s="819">
        <f>H22</f>
        <v>0</v>
      </c>
      <c r="G43" s="820"/>
      <c r="H43" s="820"/>
      <c r="I43" s="790"/>
      <c r="J43" s="819">
        <f>L22</f>
        <v>0</v>
      </c>
      <c r="K43" s="820"/>
      <c r="L43" s="820"/>
      <c r="M43" s="790"/>
      <c r="N43" s="819">
        <f>P22</f>
        <v>0</v>
      </c>
      <c r="O43" s="820"/>
      <c r="P43" s="820"/>
      <c r="Q43" s="790"/>
      <c r="R43" s="106"/>
    </row>
    <row r="44" spans="1:18">
      <c r="A44" s="67" t="s">
        <v>66</v>
      </c>
      <c r="B44" s="776" t="e">
        <f>IF(B42&lt;100%,0,IF(B42&lt;110%,0.5,1))</f>
        <v>#REF!</v>
      </c>
      <c r="C44" s="777"/>
      <c r="D44" s="777"/>
      <c r="E44" s="769"/>
      <c r="F44" s="776" t="e">
        <f>IF(F42&lt;100%,0,IF(F42&lt;110%,0.5,1))</f>
        <v>#REF!</v>
      </c>
      <c r="G44" s="777"/>
      <c r="H44" s="777"/>
      <c r="I44" s="769"/>
      <c r="J44" s="776" t="e">
        <f>IF(J42&lt;100%,0,IF(J42&lt;110%,0.5,1))</f>
        <v>#REF!</v>
      </c>
      <c r="K44" s="777"/>
      <c r="L44" s="777"/>
      <c r="M44" s="769"/>
      <c r="N44" s="776" t="e">
        <f>IF(N42&lt;100%,0,IF(N42&lt;110%,0.5,1))</f>
        <v>#REF!</v>
      </c>
      <c r="O44" s="777"/>
      <c r="P44" s="777"/>
      <c r="Q44" s="769"/>
      <c r="R44" s="113"/>
    </row>
    <row r="45" spans="1:18">
      <c r="A45" s="43" t="s">
        <v>64</v>
      </c>
      <c r="B45" s="774" t="e">
        <f>B44*B43</f>
        <v>#REF!</v>
      </c>
      <c r="C45" s="775"/>
      <c r="D45" s="775"/>
      <c r="E45" s="769"/>
      <c r="F45" s="774" t="e">
        <f>F44*F43</f>
        <v>#REF!</v>
      </c>
      <c r="G45" s="775"/>
      <c r="H45" s="775"/>
      <c r="I45" s="769"/>
      <c r="J45" s="774" t="e">
        <f>J44*J43</f>
        <v>#REF!</v>
      </c>
      <c r="K45" s="775"/>
      <c r="L45" s="775"/>
      <c r="M45" s="769"/>
      <c r="N45" s="774" t="e">
        <f>N44*N43</f>
        <v>#REF!</v>
      </c>
      <c r="O45" s="775"/>
      <c r="P45" s="775"/>
      <c r="Q45" s="769"/>
      <c r="R45" s="114"/>
    </row>
    <row r="46" spans="1:18" ht="13.8" thickBot="1">
      <c r="A46" s="48"/>
      <c r="B46" s="49"/>
      <c r="C46" s="49"/>
      <c r="D46" s="49"/>
      <c r="E46" s="116"/>
      <c r="F46" s="49"/>
      <c r="G46" s="49"/>
      <c r="H46" s="49"/>
      <c r="I46" s="116"/>
      <c r="J46" s="49"/>
      <c r="K46" s="49"/>
      <c r="L46" s="49"/>
      <c r="M46" s="116"/>
      <c r="N46" s="49"/>
      <c r="O46" s="49"/>
      <c r="P46" s="49"/>
      <c r="Q46" s="116"/>
      <c r="R46" s="117"/>
    </row>
    <row r="47" spans="1:18" ht="13.8" thickBot="1">
      <c r="A47" s="322" t="s">
        <v>91</v>
      </c>
      <c r="B47" s="368" t="s">
        <v>92</v>
      </c>
      <c r="C47" s="368" t="s">
        <v>11</v>
      </c>
      <c r="D47" s="323" t="s">
        <v>12</v>
      </c>
      <c r="E47" s="289" t="s">
        <v>93</v>
      </c>
      <c r="F47" s="323" t="s">
        <v>7</v>
      </c>
      <c r="G47" s="323" t="s">
        <v>8</v>
      </c>
      <c r="H47" s="323" t="s">
        <v>9</v>
      </c>
      <c r="I47" s="289" t="s">
        <v>93</v>
      </c>
      <c r="J47" s="343" t="s">
        <v>4</v>
      </c>
      <c r="K47" s="304" t="s">
        <v>5</v>
      </c>
      <c r="L47" s="304" t="s">
        <v>6</v>
      </c>
      <c r="M47" s="289" t="s">
        <v>93</v>
      </c>
      <c r="N47" s="323" t="s">
        <v>1</v>
      </c>
      <c r="O47" s="323" t="s">
        <v>2</v>
      </c>
      <c r="P47" s="323" t="s">
        <v>3</v>
      </c>
      <c r="Q47" s="289" t="s">
        <v>93</v>
      </c>
      <c r="R47" s="289" t="s">
        <v>93</v>
      </c>
    </row>
    <row r="48" spans="1:18" ht="13.8" thickTop="1">
      <c r="A48" s="324" t="s">
        <v>94</v>
      </c>
      <c r="B48" s="361"/>
      <c r="C48" s="361"/>
      <c r="D48" s="133"/>
      <c r="E48" s="290">
        <f>SUM(B48:D48)</f>
        <v>0</v>
      </c>
      <c r="F48" s="133"/>
      <c r="G48" s="133"/>
      <c r="H48" s="133"/>
      <c r="I48" s="290">
        <f>SUM(F48:H48)</f>
        <v>0</v>
      </c>
      <c r="J48" s="336"/>
      <c r="K48" s="133"/>
      <c r="L48" s="133"/>
      <c r="M48" s="290">
        <f>SUM(J48:L48)</f>
        <v>0</v>
      </c>
      <c r="N48" s="133"/>
      <c r="O48" s="133"/>
      <c r="P48" s="133"/>
      <c r="Q48" s="290">
        <f>SUM(N48:P48)</f>
        <v>0</v>
      </c>
      <c r="R48" s="290">
        <f>M48+I48+E48+Q48</f>
        <v>0</v>
      </c>
    </row>
    <row r="49" spans="1:18">
      <c r="A49" s="325" t="s">
        <v>95</v>
      </c>
      <c r="B49" s="358"/>
      <c r="C49" s="358"/>
      <c r="D49" s="134"/>
      <c r="E49" s="174"/>
      <c r="F49" s="134"/>
      <c r="G49" s="134"/>
      <c r="H49" s="134"/>
      <c r="I49" s="174"/>
      <c r="J49" s="335"/>
      <c r="K49" s="134"/>
      <c r="L49" s="134"/>
      <c r="M49" s="174"/>
      <c r="N49" s="134"/>
      <c r="O49" s="134"/>
      <c r="P49" s="134"/>
      <c r="Q49" s="174"/>
      <c r="R49" s="174"/>
    </row>
    <row r="50" spans="1:18">
      <c r="A50" s="325" t="s">
        <v>96</v>
      </c>
      <c r="B50" s="358"/>
      <c r="C50" s="358"/>
      <c r="D50" s="134"/>
      <c r="E50" s="174"/>
      <c r="F50" s="134"/>
      <c r="G50" s="134"/>
      <c r="H50" s="134"/>
      <c r="I50" s="174"/>
      <c r="J50" s="335"/>
      <c r="K50" s="134"/>
      <c r="L50" s="134"/>
      <c r="M50" s="174"/>
      <c r="N50" s="134"/>
      <c r="O50" s="134"/>
      <c r="P50" s="134"/>
      <c r="Q50" s="174"/>
      <c r="R50" s="174"/>
    </row>
    <row r="51" spans="1:18">
      <c r="A51" s="325" t="s">
        <v>125</v>
      </c>
      <c r="B51" s="358"/>
      <c r="C51" s="358"/>
      <c r="D51" s="134"/>
      <c r="E51" s="174"/>
      <c r="F51" s="134"/>
      <c r="G51" s="134"/>
      <c r="H51" s="134"/>
      <c r="I51" s="174"/>
      <c r="J51" s="335"/>
      <c r="K51" s="134"/>
      <c r="L51" s="134"/>
      <c r="M51" s="174"/>
      <c r="N51" s="134"/>
      <c r="O51" s="134"/>
      <c r="P51" s="134"/>
      <c r="Q51" s="174"/>
      <c r="R51" s="174"/>
    </row>
    <row r="52" spans="1:18">
      <c r="A52" s="325" t="s">
        <v>97</v>
      </c>
      <c r="B52" s="369"/>
      <c r="C52" s="369"/>
      <c r="D52" s="326"/>
      <c r="E52" s="175"/>
      <c r="F52" s="326"/>
      <c r="G52" s="326"/>
      <c r="H52" s="326"/>
      <c r="I52" s="175"/>
      <c r="J52" s="344"/>
      <c r="K52" s="305"/>
      <c r="L52" s="305"/>
      <c r="M52" s="175"/>
      <c r="N52" s="326"/>
      <c r="O52" s="326"/>
      <c r="P52" s="326"/>
      <c r="Q52" s="175"/>
      <c r="R52" s="175"/>
    </row>
    <row r="53" spans="1:18" ht="13.8" thickBot="1">
      <c r="A53" s="327" t="s">
        <v>98</v>
      </c>
      <c r="B53" s="362"/>
      <c r="C53" s="362"/>
      <c r="D53" s="135"/>
      <c r="E53" s="290">
        <f t="shared" ref="E53:E54" si="12">SUM(B53:D53)</f>
        <v>0</v>
      </c>
      <c r="F53" s="135"/>
      <c r="G53" s="135"/>
      <c r="H53" s="135"/>
      <c r="I53" s="290">
        <f t="shared" ref="I53:I54" si="13">SUM(F53:H53)</f>
        <v>0</v>
      </c>
      <c r="J53" s="337"/>
      <c r="K53" s="135"/>
      <c r="L53" s="135"/>
      <c r="M53" s="290">
        <f t="shared" ref="M53:M54" si="14">SUM(J53:L53)</f>
        <v>0</v>
      </c>
      <c r="N53" s="135"/>
      <c r="O53" s="135"/>
      <c r="P53" s="135"/>
      <c r="Q53" s="290">
        <f t="shared" ref="Q53:Q54" si="15">SUM(N53:P53)</f>
        <v>0</v>
      </c>
      <c r="R53" s="290">
        <f>M53+I53+E53+Q53</f>
        <v>0</v>
      </c>
    </row>
    <row r="54" spans="1:18" ht="13.8" thickTop="1">
      <c r="A54" s="328" t="s">
        <v>126</v>
      </c>
      <c r="B54" s="363"/>
      <c r="C54" s="363"/>
      <c r="D54" s="136"/>
      <c r="E54" s="290">
        <f t="shared" si="12"/>
        <v>0</v>
      </c>
      <c r="F54" s="136"/>
      <c r="G54" s="136"/>
      <c r="H54" s="136"/>
      <c r="I54" s="290">
        <f t="shared" si="13"/>
        <v>0</v>
      </c>
      <c r="J54" s="338"/>
      <c r="K54" s="136"/>
      <c r="L54" s="136"/>
      <c r="M54" s="290">
        <f t="shared" si="14"/>
        <v>0</v>
      </c>
      <c r="N54" s="136"/>
      <c r="O54" s="136"/>
      <c r="P54" s="136"/>
      <c r="Q54" s="290">
        <f t="shared" si="15"/>
        <v>0</v>
      </c>
      <c r="R54" s="290">
        <f>M54+I54+E54+Q54</f>
        <v>0</v>
      </c>
    </row>
    <row r="55" spans="1:18">
      <c r="A55" s="325" t="s">
        <v>99</v>
      </c>
      <c r="B55" s="358"/>
      <c r="C55" s="358"/>
      <c r="D55" s="134"/>
      <c r="E55" s="176"/>
      <c r="F55" s="134"/>
      <c r="G55" s="134"/>
      <c r="H55" s="134"/>
      <c r="I55" s="176"/>
      <c r="J55" s="335"/>
      <c r="K55" s="134"/>
      <c r="L55" s="134"/>
      <c r="M55" s="176"/>
      <c r="N55" s="134"/>
      <c r="O55" s="134"/>
      <c r="P55" s="134"/>
      <c r="Q55" s="176"/>
      <c r="R55" s="176"/>
    </row>
    <row r="56" spans="1:18">
      <c r="A56" s="325" t="s">
        <v>100</v>
      </c>
      <c r="B56" s="358"/>
      <c r="C56" s="358"/>
      <c r="D56" s="134"/>
      <c r="E56" s="290">
        <f t="shared" ref="E56:E60" si="16">SUM(B56:D56)</f>
        <v>0</v>
      </c>
      <c r="F56" s="134"/>
      <c r="G56" s="134"/>
      <c r="H56" s="134"/>
      <c r="I56" s="290">
        <f t="shared" ref="I56:I60" si="17">SUM(F56:H56)</f>
        <v>0</v>
      </c>
      <c r="J56" s="335"/>
      <c r="K56" s="134"/>
      <c r="L56" s="134"/>
      <c r="M56" s="290">
        <f t="shared" ref="M56:M60" si="18">SUM(J56:L56)</f>
        <v>0</v>
      </c>
      <c r="N56" s="134"/>
      <c r="O56" s="134"/>
      <c r="P56" s="134"/>
      <c r="Q56" s="290">
        <f t="shared" ref="Q56:Q60" si="19">SUM(N56:P56)</f>
        <v>0</v>
      </c>
      <c r="R56" s="290">
        <f>M56+I56+E56+Q56</f>
        <v>0</v>
      </c>
    </row>
    <row r="57" spans="1:18" ht="13.8" thickBot="1">
      <c r="A57" s="329" t="s">
        <v>101</v>
      </c>
      <c r="B57" s="364"/>
      <c r="C57" s="364"/>
      <c r="D57" s="137"/>
      <c r="E57" s="290">
        <f t="shared" si="16"/>
        <v>0</v>
      </c>
      <c r="F57" s="137"/>
      <c r="G57" s="137"/>
      <c r="H57" s="137"/>
      <c r="I57" s="290">
        <f t="shared" si="17"/>
        <v>0</v>
      </c>
      <c r="J57" s="339"/>
      <c r="K57" s="137"/>
      <c r="L57" s="137"/>
      <c r="M57" s="290">
        <f t="shared" si="18"/>
        <v>0</v>
      </c>
      <c r="N57" s="137"/>
      <c r="O57" s="137"/>
      <c r="P57" s="137"/>
      <c r="Q57" s="290">
        <f t="shared" si="19"/>
        <v>0</v>
      </c>
      <c r="R57" s="290">
        <f>M57+I57+E57+Q57</f>
        <v>0</v>
      </c>
    </row>
    <row r="58" spans="1:18" ht="13.8" thickTop="1">
      <c r="A58" s="324" t="s">
        <v>173</v>
      </c>
      <c r="B58" s="361"/>
      <c r="C58" s="361"/>
      <c r="D58" s="133"/>
      <c r="E58" s="290">
        <f t="shared" si="16"/>
        <v>0</v>
      </c>
      <c r="F58" s="133"/>
      <c r="G58" s="133"/>
      <c r="H58" s="133"/>
      <c r="I58" s="290">
        <f t="shared" si="17"/>
        <v>0</v>
      </c>
      <c r="J58" s="336"/>
      <c r="K58" s="133"/>
      <c r="L58" s="133"/>
      <c r="M58" s="290">
        <f t="shared" si="18"/>
        <v>0</v>
      </c>
      <c r="N58" s="133"/>
      <c r="O58" s="133"/>
      <c r="P58" s="133"/>
      <c r="Q58" s="290">
        <f t="shared" si="19"/>
        <v>0</v>
      </c>
      <c r="R58" s="290">
        <f>M58+I58+E58+Q58</f>
        <v>0</v>
      </c>
    </row>
    <row r="59" spans="1:18" ht="13.8" thickBot="1">
      <c r="A59" s="327" t="s">
        <v>102</v>
      </c>
      <c r="B59" s="362"/>
      <c r="C59" s="362"/>
      <c r="D59" s="135"/>
      <c r="E59" s="290">
        <f t="shared" si="16"/>
        <v>0</v>
      </c>
      <c r="F59" s="135"/>
      <c r="G59" s="135"/>
      <c r="H59" s="135"/>
      <c r="I59" s="290">
        <f t="shared" si="17"/>
        <v>0</v>
      </c>
      <c r="J59" s="337"/>
      <c r="K59" s="135"/>
      <c r="L59" s="135"/>
      <c r="M59" s="290">
        <f t="shared" si="18"/>
        <v>0</v>
      </c>
      <c r="N59" s="135"/>
      <c r="O59" s="135"/>
      <c r="P59" s="135"/>
      <c r="Q59" s="290">
        <f t="shared" si="19"/>
        <v>0</v>
      </c>
      <c r="R59" s="290">
        <f>M59+I59+E59+Q59</f>
        <v>0</v>
      </c>
    </row>
    <row r="60" spans="1:18" ht="14.4" thickTop="1" thickBot="1">
      <c r="A60" s="327" t="s">
        <v>103</v>
      </c>
      <c r="B60" s="362"/>
      <c r="C60" s="362"/>
      <c r="D60" s="135"/>
      <c r="E60" s="290">
        <f t="shared" si="16"/>
        <v>0</v>
      </c>
      <c r="F60" s="135"/>
      <c r="G60" s="135"/>
      <c r="H60" s="135"/>
      <c r="I60" s="290">
        <f t="shared" si="17"/>
        <v>0</v>
      </c>
      <c r="J60" s="337"/>
      <c r="K60" s="135"/>
      <c r="L60" s="135"/>
      <c r="M60" s="290">
        <f t="shared" si="18"/>
        <v>0</v>
      </c>
      <c r="N60" s="135"/>
      <c r="O60" s="135"/>
      <c r="P60" s="135"/>
      <c r="Q60" s="290">
        <f t="shared" si="19"/>
        <v>0</v>
      </c>
      <c r="R60" s="290">
        <f>M60+I60+E60+Q60</f>
        <v>0</v>
      </c>
    </row>
    <row r="61" spans="1:18" ht="13.8" thickTop="1">
      <c r="A61" s="330" t="s">
        <v>104</v>
      </c>
      <c r="B61" s="365"/>
      <c r="C61" s="365"/>
      <c r="D61" s="139"/>
      <c r="E61" s="132"/>
      <c r="F61" s="139"/>
      <c r="G61" s="139"/>
      <c r="H61" s="172"/>
      <c r="I61" s="132"/>
      <c r="J61" s="340"/>
      <c r="K61" s="139"/>
      <c r="L61" s="139"/>
      <c r="M61" s="132"/>
      <c r="N61" s="139"/>
      <c r="O61" s="139"/>
      <c r="P61" s="139"/>
      <c r="Q61" s="132"/>
      <c r="R61" s="132"/>
    </row>
    <row r="62" spans="1:18">
      <c r="A62" s="331" t="s">
        <v>105</v>
      </c>
      <c r="B62" s="366"/>
      <c r="C62" s="366"/>
      <c r="D62" s="140"/>
      <c r="E62" s="290">
        <f t="shared" ref="E62:E64" si="20">SUM(B62:D62)</f>
        <v>0</v>
      </c>
      <c r="F62" s="140"/>
      <c r="G62" s="140"/>
      <c r="H62" s="173"/>
      <c r="I62" s="290">
        <f t="shared" ref="I62:I64" si="21">SUM(F62:H62)</f>
        <v>0</v>
      </c>
      <c r="J62" s="341"/>
      <c r="K62" s="140"/>
      <c r="L62" s="140"/>
      <c r="M62" s="290">
        <f t="shared" ref="M62:M64" si="22">SUM(J62:L62)</f>
        <v>0</v>
      </c>
      <c r="N62" s="140"/>
      <c r="O62" s="140"/>
      <c r="P62" s="140"/>
      <c r="Q62" s="290">
        <f t="shared" ref="Q62:Q64" si="23">SUM(N62:P62)</f>
        <v>0</v>
      </c>
      <c r="R62" s="290">
        <f>M62+I62+E62+Q62</f>
        <v>0</v>
      </c>
    </row>
    <row r="63" spans="1:18">
      <c r="A63" s="331" t="s">
        <v>106</v>
      </c>
      <c r="B63" s="366"/>
      <c r="C63" s="360"/>
      <c r="D63" s="319"/>
      <c r="E63" s="290">
        <f t="shared" si="20"/>
        <v>0</v>
      </c>
      <c r="F63" s="140"/>
      <c r="G63" s="140"/>
      <c r="H63" s="173"/>
      <c r="I63" s="290">
        <f t="shared" si="21"/>
        <v>0</v>
      </c>
      <c r="J63" s="341"/>
      <c r="K63" s="140"/>
      <c r="L63" s="140"/>
      <c r="M63" s="290">
        <f t="shared" si="22"/>
        <v>0</v>
      </c>
      <c r="N63" s="140"/>
      <c r="O63" s="140"/>
      <c r="P63" s="140"/>
      <c r="Q63" s="290">
        <f t="shared" si="23"/>
        <v>0</v>
      </c>
      <c r="R63" s="290">
        <f>M63+I63+E63+Q63</f>
        <v>0</v>
      </c>
    </row>
    <row r="64" spans="1:18">
      <c r="A64" s="331" t="s">
        <v>107</v>
      </c>
      <c r="B64" s="366"/>
      <c r="C64" s="360"/>
      <c r="D64" s="319"/>
      <c r="E64" s="290">
        <f t="shared" si="20"/>
        <v>0</v>
      </c>
      <c r="F64" s="140"/>
      <c r="G64" s="140"/>
      <c r="H64" s="173"/>
      <c r="I64" s="290">
        <f t="shared" si="21"/>
        <v>0</v>
      </c>
      <c r="J64" s="341"/>
      <c r="K64" s="140"/>
      <c r="L64" s="140"/>
      <c r="M64" s="290">
        <f t="shared" si="22"/>
        <v>0</v>
      </c>
      <c r="N64" s="140"/>
      <c r="O64" s="140"/>
      <c r="P64" s="140"/>
      <c r="Q64" s="290">
        <f t="shared" si="23"/>
        <v>0</v>
      </c>
      <c r="R64" s="290">
        <f>M64+I64+E64+Q64</f>
        <v>0</v>
      </c>
    </row>
    <row r="65" spans="1:18" ht="13.8" thickBot="1">
      <c r="A65" s="332" t="s">
        <v>108</v>
      </c>
      <c r="B65" s="367"/>
      <c r="C65" s="359"/>
      <c r="D65" s="320"/>
      <c r="E65" s="177"/>
      <c r="F65" s="295"/>
      <c r="G65" s="295"/>
      <c r="H65" s="297"/>
      <c r="I65" s="177"/>
      <c r="J65" s="342"/>
      <c r="K65" s="295"/>
      <c r="L65" s="295"/>
      <c r="M65" s="177"/>
      <c r="N65" s="295"/>
      <c r="O65" s="295"/>
      <c r="P65" s="295"/>
      <c r="Q65" s="177"/>
      <c r="R65" s="177"/>
    </row>
    <row r="66" spans="1:18" ht="13.8" thickTop="1">
      <c r="A66"/>
      <c r="B66" s="52"/>
      <c r="C66" s="52"/>
      <c r="D66" s="138" t="e">
        <f>SUM(#REF!)</f>
        <v>#REF!</v>
      </c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372"/>
    </row>
    <row r="2" spans="1:6" ht="14.4">
      <c r="A2" s="475"/>
      <c r="B2" s="145"/>
      <c r="C2" s="145"/>
      <c r="D2" s="237"/>
      <c r="E2" s="129"/>
    </row>
    <row r="3" spans="1:6" ht="14.4">
      <c r="A3" s="475"/>
      <c r="B3" s="145"/>
      <c r="C3" s="145"/>
      <c r="D3" s="237"/>
      <c r="E3" s="129"/>
    </row>
    <row r="4" spans="1:6" ht="14.4">
      <c r="A4" s="475"/>
      <c r="B4" s="145"/>
      <c r="C4" s="145"/>
      <c r="D4" s="237"/>
      <c r="E4" s="129"/>
      <c r="F4" s="145"/>
    </row>
    <row r="5" spans="1:6" ht="14.4">
      <c r="A5" s="475"/>
      <c r="B5" s="145"/>
      <c r="C5" s="145"/>
      <c r="D5" s="237"/>
      <c r="E5" s="129"/>
    </row>
    <row r="6" spans="1:6" ht="14.4">
      <c r="A6" s="475"/>
      <c r="B6" s="145"/>
      <c r="C6" s="145"/>
      <c r="D6" s="237"/>
      <c r="E6" s="129"/>
    </row>
    <row r="7" spans="1:6" ht="14.4">
      <c r="A7" s="475"/>
    </row>
    <row r="8" spans="1:6" ht="14.4">
      <c r="A8" s="475"/>
    </row>
    <row r="9" spans="1:6" ht="14.4">
      <c r="A9" s="475"/>
    </row>
    <row r="10" spans="1:6" ht="14.4">
      <c r="A10" s="475"/>
    </row>
    <row r="11" spans="1:6" ht="14.4">
      <c r="A11" s="475"/>
    </row>
    <row r="12" spans="1:6" ht="14.4">
      <c r="A12" s="475"/>
    </row>
    <row r="13" spans="1:6" ht="14.4">
      <c r="A13" s="475"/>
    </row>
    <row r="14" spans="1:6" ht="13.8" customHeight="1">
      <c r="A14" s="475"/>
    </row>
    <row r="15" spans="1:6" ht="14.4">
      <c r="A15" s="475"/>
    </row>
    <row r="16" spans="1:6" ht="14.4">
      <c r="A16" s="475"/>
    </row>
    <row r="17" spans="1:1" ht="14.4">
      <c r="A17" s="475"/>
    </row>
    <row r="18" spans="1:1" ht="14.4">
      <c r="A18" s="475"/>
    </row>
    <row r="19" spans="1:1" ht="14.4">
      <c r="A19" s="475"/>
    </row>
    <row r="20" spans="1:1" ht="14.4">
      <c r="A20" s="475"/>
    </row>
    <row r="21" spans="1:1" ht="14.4">
      <c r="A21" s="475"/>
    </row>
    <row r="22" spans="1:1" ht="14.4">
      <c r="A22" s="476"/>
    </row>
    <row r="23" spans="1:1" ht="14.4">
      <c r="A23" s="476"/>
    </row>
    <row r="24" spans="1:1" ht="14.4">
      <c r="A24" s="476"/>
    </row>
    <row r="25" spans="1:1" ht="14.4">
      <c r="A25" s="476"/>
    </row>
    <row r="26" spans="1:1" ht="14.4">
      <c r="A26" s="476"/>
    </row>
    <row r="27" spans="1:1" ht="14.4">
      <c r="A27" s="476"/>
    </row>
    <row r="28" spans="1:1" ht="14.4">
      <c r="A28" s="476"/>
    </row>
    <row r="29" spans="1:1" ht="14.4">
      <c r="A29" s="47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Zakresy nazwane</vt:lpstr>
      </vt:variant>
      <vt:variant>
        <vt:i4>1</vt:i4>
      </vt:variant>
    </vt:vector>
  </HeadingPairs>
  <TitlesOfParts>
    <vt:vector size="25" baseType="lpstr">
      <vt:lpstr>TOMEK</vt:lpstr>
      <vt:lpstr>RCKIK</vt:lpstr>
      <vt:lpstr>BARTEK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regulamin</vt:lpstr>
      <vt:lpstr>regulamin!OLE_LINK3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2024-04-04T08:59:36Z</cp:lastPrinted>
  <dcterms:created xsi:type="dcterms:W3CDTF">2009-01-30T23:10:02Z</dcterms:created>
  <dcterms:modified xsi:type="dcterms:W3CDTF">2025-07-02T08:06:21Z</dcterms:modified>
</cp:coreProperties>
</file>