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758"/>
  </bookViews>
  <sheets>
    <sheet name="TOMEK" sheetId="6" r:id="rId1"/>
    <sheet name="RCKIK" sheetId="1" r:id="rId2"/>
    <sheet name="PIOTR" sheetId="4" r:id="rId3"/>
    <sheet name="KRZYSZTOF" sheetId="5" r:id="rId4"/>
    <sheet name="DH" sheetId="70" r:id="rId5"/>
    <sheet name="REALIZACJE" sheetId="102" r:id="rId6"/>
    <sheet name="WYPŁATY" sheetId="8" r:id="rId7"/>
    <sheet name="Target" sheetId="88" r:id="rId8"/>
    <sheet name="I" sheetId="89" r:id="rId9"/>
    <sheet name="II" sheetId="90" r:id="rId10"/>
    <sheet name="III" sheetId="91" r:id="rId11"/>
    <sheet name="IV" sheetId="92" r:id="rId12"/>
    <sheet name="V" sheetId="93" r:id="rId13"/>
    <sheet name="VI" sheetId="94" r:id="rId14"/>
    <sheet name="VII" sheetId="95" r:id="rId15"/>
    <sheet name="VIII" sheetId="96" r:id="rId16"/>
    <sheet name="IX" sheetId="97" r:id="rId17"/>
    <sheet name="X" sheetId="98" r:id="rId18"/>
    <sheet name="XI" sheetId="99" r:id="rId19"/>
    <sheet name="XII" sheetId="100" r:id="rId20"/>
    <sheet name="1" sheetId="3" r:id="rId21"/>
    <sheet name="0" sheetId="103" r:id="rId22"/>
    <sheet name="regulamin" sheetId="101" r:id="rId23"/>
    <sheet name="Arkusz1" sheetId="104" r:id="rId24"/>
    <sheet name="BARTEK" sheetId="2" r:id="rId25"/>
  </sheets>
  <definedNames>
    <definedName name="_xlnm.Database">#REF!</definedName>
    <definedName name="OLE_LINK3" localSheetId="22">regulamin!$A$16</definedName>
  </definedNames>
  <calcPr calcId="145621"/>
</workbook>
</file>

<file path=xl/calcChain.xml><?xml version="1.0" encoding="utf-8"?>
<calcChain xmlns="http://schemas.openxmlformats.org/spreadsheetml/2006/main">
  <c r="F38" i="4" l="1"/>
  <c r="O44" i="88" l="1"/>
  <c r="O43" i="88"/>
  <c r="O40" i="88"/>
  <c r="D8" i="102"/>
  <c r="N50" i="88"/>
  <c r="O50" i="88"/>
  <c r="O54" i="88"/>
  <c r="O53" i="88"/>
  <c r="N43" i="88"/>
  <c r="D19" i="5"/>
  <c r="C19" i="5"/>
  <c r="B19" i="5"/>
  <c r="D19" i="4"/>
  <c r="C19" i="4"/>
  <c r="B19" i="4"/>
  <c r="D19" i="6"/>
  <c r="C19" i="6"/>
  <c r="B19" i="6"/>
  <c r="O31" i="88"/>
  <c r="D4" i="6" l="1"/>
  <c r="C4" i="6"/>
  <c r="I40" i="88" l="1"/>
  <c r="I44" i="88"/>
  <c r="K23" i="88" l="1"/>
  <c r="L23" i="88"/>
  <c r="M23" i="88"/>
  <c r="J23" i="88"/>
  <c r="I23" i="88"/>
  <c r="H23" i="88"/>
  <c r="L4" i="5" l="1"/>
  <c r="K4" i="5"/>
  <c r="I43" i="88" l="1"/>
  <c r="P35" i="4" l="1"/>
  <c r="O35" i="4"/>
  <c r="N35" i="4"/>
  <c r="P35" i="5"/>
  <c r="O35" i="5"/>
  <c r="N35" i="5"/>
  <c r="N63" i="88" l="1"/>
  <c r="N62" i="88"/>
  <c r="N61" i="88"/>
  <c r="N60" i="88"/>
  <c r="N59" i="88"/>
  <c r="N54" i="88"/>
  <c r="N53" i="88"/>
  <c r="N52" i="88"/>
  <c r="N51" i="88"/>
  <c r="N42" i="88"/>
  <c r="N33" i="88"/>
  <c r="N35" i="88"/>
  <c r="N34" i="88"/>
  <c r="N32" i="88"/>
  <c r="N31" i="88"/>
  <c r="K64" i="88"/>
  <c r="K63" i="88"/>
  <c r="K62" i="88"/>
  <c r="K60" i="88"/>
  <c r="K59" i="88"/>
  <c r="K55" i="88"/>
  <c r="K54" i="88"/>
  <c r="K53" i="88"/>
  <c r="K51" i="88"/>
  <c r="K50" i="88"/>
  <c r="K45" i="88"/>
  <c r="K36" i="88"/>
  <c r="K35" i="88"/>
  <c r="K32" i="88"/>
  <c r="K31" i="88"/>
  <c r="K34" i="88"/>
  <c r="I53" i="88" l="1"/>
  <c r="I54" i="88"/>
  <c r="I50" i="88"/>
  <c r="I51" i="88"/>
  <c r="I41" i="88"/>
  <c r="P3" i="102" l="1"/>
  <c r="Q3" i="70"/>
  <c r="R3" i="70" s="1"/>
  <c r="M3" i="70"/>
  <c r="I3" i="70"/>
  <c r="E3" i="70"/>
  <c r="I52" i="88"/>
  <c r="D6" i="1"/>
  <c r="P24" i="8"/>
  <c r="O24" i="8"/>
  <c r="N24" i="8"/>
  <c r="M24" i="8"/>
  <c r="L24" i="8"/>
  <c r="K24" i="8"/>
  <c r="J24" i="8"/>
  <c r="I24" i="8"/>
  <c r="E24" i="8"/>
  <c r="P19" i="1"/>
  <c r="O19" i="1"/>
  <c r="N19" i="1"/>
  <c r="L19" i="1"/>
  <c r="K19" i="1"/>
  <c r="J19" i="1"/>
  <c r="H19" i="1"/>
  <c r="H24" i="8" s="1"/>
  <c r="G19" i="1"/>
  <c r="G24" i="8" s="1"/>
  <c r="F19" i="1"/>
  <c r="F24" i="8" s="1"/>
  <c r="D19" i="1"/>
  <c r="D24" i="8" s="1"/>
  <c r="C19" i="1"/>
  <c r="C24" i="8" s="1"/>
  <c r="B19" i="1"/>
  <c r="B24" i="8" s="1"/>
  <c r="P22" i="1"/>
  <c r="O22" i="1"/>
  <c r="N22" i="1"/>
  <c r="D22" i="1"/>
  <c r="C22" i="1"/>
  <c r="B22" i="1"/>
  <c r="P23" i="8"/>
  <c r="O23" i="8"/>
  <c r="P22" i="8"/>
  <c r="O22" i="8"/>
  <c r="P21" i="8"/>
  <c r="O21" i="8"/>
  <c r="N21" i="8"/>
  <c r="L23" i="8"/>
  <c r="K23" i="8"/>
  <c r="J23" i="8"/>
  <c r="L22" i="8"/>
  <c r="K22" i="8"/>
  <c r="J22" i="8"/>
  <c r="L21" i="8"/>
  <c r="K21" i="8"/>
  <c r="J21" i="8"/>
  <c r="H23" i="8"/>
  <c r="G23" i="8"/>
  <c r="F23" i="8"/>
  <c r="H22" i="8"/>
  <c r="G22" i="8"/>
  <c r="H21" i="8"/>
  <c r="G21" i="8"/>
  <c r="F21" i="8"/>
  <c r="D23" i="8"/>
  <c r="D22" i="8"/>
  <c r="D21" i="8"/>
  <c r="G5" i="8"/>
  <c r="H5" i="8"/>
  <c r="J5" i="8"/>
  <c r="K5" i="8"/>
  <c r="L5" i="8"/>
  <c r="O5" i="8"/>
  <c r="P5" i="8"/>
  <c r="P34" i="5"/>
  <c r="O34" i="5"/>
  <c r="N34" i="5"/>
  <c r="N23" i="8" s="1"/>
  <c r="L34" i="5"/>
  <c r="K34" i="5"/>
  <c r="J34" i="5"/>
  <c r="H34" i="5"/>
  <c r="G34" i="5"/>
  <c r="F34" i="5"/>
  <c r="D34" i="5"/>
  <c r="C34" i="5"/>
  <c r="C23" i="8" s="1"/>
  <c r="B34" i="5"/>
  <c r="B23" i="8" s="1"/>
  <c r="P34" i="4"/>
  <c r="O34" i="4"/>
  <c r="N34" i="4"/>
  <c r="N5" i="8" s="1"/>
  <c r="L34" i="4"/>
  <c r="K34" i="4"/>
  <c r="J34" i="4"/>
  <c r="H34" i="4"/>
  <c r="G34" i="4"/>
  <c r="F34" i="4"/>
  <c r="F22" i="8" s="1"/>
  <c r="D34" i="4"/>
  <c r="C34" i="4"/>
  <c r="C22" i="8" s="1"/>
  <c r="B34" i="4"/>
  <c r="B22" i="8" s="1"/>
  <c r="B6" i="6"/>
  <c r="P34" i="6"/>
  <c r="O34" i="6"/>
  <c r="N34" i="6"/>
  <c r="L34" i="6"/>
  <c r="K34" i="6"/>
  <c r="J34" i="6"/>
  <c r="H34" i="6"/>
  <c r="G34" i="6"/>
  <c r="F34" i="6"/>
  <c r="D34" i="6"/>
  <c r="C34" i="6"/>
  <c r="C21" i="8" s="1"/>
  <c r="B34" i="6"/>
  <c r="B21" i="8" s="1"/>
  <c r="D17" i="5"/>
  <c r="D18" i="5" s="1"/>
  <c r="C17" i="5"/>
  <c r="C18" i="5" s="1"/>
  <c r="B17" i="5"/>
  <c r="B18" i="5" s="1"/>
  <c r="D17" i="4"/>
  <c r="D18" i="4" s="1"/>
  <c r="C17" i="4"/>
  <c r="C18" i="4" s="1"/>
  <c r="B17" i="4"/>
  <c r="B18" i="4" s="1"/>
  <c r="D17" i="2"/>
  <c r="C17" i="2"/>
  <c r="B17" i="2"/>
  <c r="D17" i="6"/>
  <c r="D18" i="6" s="1"/>
  <c r="C17" i="6"/>
  <c r="C18" i="6" s="1"/>
  <c r="B17" i="6"/>
  <c r="B18" i="6" s="1"/>
  <c r="I55" i="88" l="1"/>
  <c r="J52" i="88" s="1"/>
  <c r="N22" i="8"/>
  <c r="F5" i="8"/>
  <c r="D23" i="88"/>
  <c r="C23" i="88"/>
  <c r="B23" i="88"/>
  <c r="J50" i="88" l="1"/>
  <c r="J53" i="88"/>
  <c r="J51" i="88"/>
  <c r="J54" i="88"/>
  <c r="I35" i="88"/>
  <c r="I34" i="88"/>
  <c r="I31" i="88"/>
  <c r="P6" i="1" l="1"/>
  <c r="J6" i="2" l="1"/>
  <c r="H6" i="4" l="1"/>
  <c r="X18" i="88" l="1"/>
  <c r="X17" i="88"/>
  <c r="X16" i="88"/>
  <c r="X15" i="88"/>
  <c r="X14" i="88"/>
  <c r="V18" i="88"/>
  <c r="V17" i="88"/>
  <c r="V16" i="88"/>
  <c r="V15" i="88"/>
  <c r="V14" i="88"/>
  <c r="T18" i="88"/>
  <c r="T17" i="88"/>
  <c r="T16" i="88"/>
  <c r="T15" i="88"/>
  <c r="T14" i="88"/>
  <c r="T4" i="8" l="1"/>
  <c r="T5" i="8"/>
  <c r="T6" i="8"/>
  <c r="S6" i="8"/>
  <c r="S5" i="8"/>
  <c r="S4" i="8"/>
  <c r="D6" i="4" l="1"/>
  <c r="P17" i="5" l="1"/>
  <c r="P18" i="5" s="1"/>
  <c r="O17" i="5"/>
  <c r="O18" i="5" s="1"/>
  <c r="N17" i="5"/>
  <c r="N18" i="5" s="1"/>
  <c r="L17" i="5"/>
  <c r="L18" i="5" s="1"/>
  <c r="K17" i="5"/>
  <c r="K18" i="5" s="1"/>
  <c r="J17" i="5"/>
  <c r="J18" i="5" s="1"/>
  <c r="P17" i="4"/>
  <c r="P18" i="4" s="1"/>
  <c r="O17" i="4"/>
  <c r="O18" i="4" s="1"/>
  <c r="N17" i="4"/>
  <c r="N18" i="4" s="1"/>
  <c r="L17" i="4"/>
  <c r="L18" i="4" s="1"/>
  <c r="K17" i="4"/>
  <c r="K18" i="4" s="1"/>
  <c r="J17" i="4"/>
  <c r="J18" i="4" s="1"/>
  <c r="P17" i="2"/>
  <c r="O17" i="2"/>
  <c r="N17" i="2"/>
  <c r="L17" i="2"/>
  <c r="K17" i="2"/>
  <c r="J17" i="2"/>
  <c r="B34" i="2"/>
  <c r="P19" i="6" l="1"/>
  <c r="P28" i="6" s="1"/>
  <c r="P30" i="6" s="1"/>
  <c r="O19" i="6"/>
  <c r="O28" i="6" s="1"/>
  <c r="O30" i="6" s="1"/>
  <c r="N19" i="6"/>
  <c r="N28" i="6" s="1"/>
  <c r="N30" i="6" s="1"/>
  <c r="L19" i="6"/>
  <c r="L28" i="6" s="1"/>
  <c r="L30" i="6" s="1"/>
  <c r="K19" i="6"/>
  <c r="K28" i="6" s="1"/>
  <c r="K30" i="6" s="1"/>
  <c r="P17" i="6"/>
  <c r="P18" i="6" s="1"/>
  <c r="O17" i="6"/>
  <c r="O18" i="6" s="1"/>
  <c r="N17" i="6"/>
  <c r="N18" i="6" s="1"/>
  <c r="L17" i="6"/>
  <c r="L18" i="6" s="1"/>
  <c r="K17" i="6"/>
  <c r="K18" i="6" s="1"/>
  <c r="J17" i="6"/>
  <c r="J18" i="6" s="1"/>
  <c r="P64" i="88"/>
  <c r="O63" i="88"/>
  <c r="O62" i="88"/>
  <c r="O61" i="88"/>
  <c r="O59" i="88"/>
  <c r="P55" i="88"/>
  <c r="P19" i="5" l="1"/>
  <c r="P18" i="2"/>
  <c r="P19" i="4"/>
  <c r="O19" i="4"/>
  <c r="O28" i="4" s="1"/>
  <c r="O30" i="4" s="1"/>
  <c r="N19" i="4"/>
  <c r="N28" i="4" s="1"/>
  <c r="N30" i="4" s="1"/>
  <c r="O19" i="5"/>
  <c r="O28" i="5" s="1"/>
  <c r="O30" i="5" s="1"/>
  <c r="N19" i="5"/>
  <c r="N28" i="5" s="1"/>
  <c r="N30" i="5" s="1"/>
  <c r="O18" i="2"/>
  <c r="O27" i="2" s="1"/>
  <c r="O29" i="2" s="1"/>
  <c r="N18" i="2"/>
  <c r="N27" i="2" s="1"/>
  <c r="N29" i="2" s="1"/>
  <c r="K19" i="4"/>
  <c r="K28" i="4" s="1"/>
  <c r="K30" i="4" s="1"/>
  <c r="K35" i="4" s="1"/>
  <c r="L19" i="4"/>
  <c r="J19" i="4"/>
  <c r="J28" i="4" s="1"/>
  <c r="J30" i="4" s="1"/>
  <c r="J35" i="4" s="1"/>
  <c r="L19" i="5"/>
  <c r="L18" i="2"/>
  <c r="K19" i="5"/>
  <c r="K28" i="5" s="1"/>
  <c r="K30" i="5" s="1"/>
  <c r="K18" i="2"/>
  <c r="K27" i="2" s="1"/>
  <c r="K29" i="2" s="1"/>
  <c r="J19" i="5"/>
  <c r="J28" i="5" s="1"/>
  <c r="J30" i="5" s="1"/>
  <c r="J35" i="5" s="1"/>
  <c r="J18" i="2"/>
  <c r="J27" i="2" s="1"/>
  <c r="J29" i="2" s="1"/>
  <c r="J19" i="6"/>
  <c r="J28" i="6" s="1"/>
  <c r="J30" i="6" s="1"/>
  <c r="N39" i="6"/>
  <c r="J39" i="6"/>
  <c r="H17" i="5"/>
  <c r="H18" i="5" s="1"/>
  <c r="G17" i="5"/>
  <c r="G18" i="5" s="1"/>
  <c r="F17" i="5"/>
  <c r="F18" i="5" s="1"/>
  <c r="J39" i="4" l="1"/>
  <c r="L28" i="4"/>
  <c r="L30" i="4" s="1"/>
  <c r="L35" i="4" s="1"/>
  <c r="P28" i="4"/>
  <c r="P30" i="4" s="1"/>
  <c r="N39" i="4"/>
  <c r="N34" i="2"/>
  <c r="P27" i="2"/>
  <c r="P29" i="2" s="1"/>
  <c r="L27" i="2"/>
  <c r="L29" i="2" s="1"/>
  <c r="J34" i="2"/>
  <c r="J39" i="5"/>
  <c r="L28" i="5"/>
  <c r="L30" i="5" s="1"/>
  <c r="P28" i="5"/>
  <c r="P30" i="5" s="1"/>
  <c r="N39" i="5"/>
  <c r="H17" i="4"/>
  <c r="H18" i="4" s="1"/>
  <c r="G17" i="4"/>
  <c r="G18" i="4" s="1"/>
  <c r="F17" i="4"/>
  <c r="F18" i="4" s="1"/>
  <c r="H17" i="2"/>
  <c r="G17" i="2"/>
  <c r="F17" i="2"/>
  <c r="G19" i="6"/>
  <c r="G28" i="6" s="1"/>
  <c r="G30" i="6" s="1"/>
  <c r="H17" i="6"/>
  <c r="H18" i="6" s="1"/>
  <c r="G17" i="6"/>
  <c r="G18" i="6" s="1"/>
  <c r="F17" i="6"/>
  <c r="F18" i="6" s="1"/>
  <c r="O35" i="88"/>
  <c r="O34" i="88"/>
  <c r="O33" i="88"/>
  <c r="F19" i="6" l="1"/>
  <c r="F28" i="6" s="1"/>
  <c r="F30" i="6" s="1"/>
  <c r="C28" i="5"/>
  <c r="C30" i="5" s="1"/>
  <c r="B28" i="4"/>
  <c r="B30" i="4" s="1"/>
  <c r="D18" i="2"/>
  <c r="D27" i="2" s="1"/>
  <c r="D29" i="2" s="1"/>
  <c r="B28" i="5"/>
  <c r="B30" i="5" s="1"/>
  <c r="C28" i="6"/>
  <c r="C30" i="6" s="1"/>
  <c r="B28" i="6"/>
  <c r="B30" i="6" s="1"/>
  <c r="C28" i="4"/>
  <c r="C30" i="4" s="1"/>
  <c r="C18" i="2"/>
  <c r="C27" i="2" s="1"/>
  <c r="C29" i="2" s="1"/>
  <c r="B18" i="2"/>
  <c r="B27" i="2" s="1"/>
  <c r="B29" i="2" s="1"/>
  <c r="H19" i="5"/>
  <c r="H18" i="2"/>
  <c r="G18" i="2"/>
  <c r="G27" i="2" s="1"/>
  <c r="G29" i="2" s="1"/>
  <c r="H19" i="4"/>
  <c r="G19" i="4"/>
  <c r="G28" i="4" s="1"/>
  <c r="G30" i="4" s="1"/>
  <c r="G19" i="5"/>
  <c r="G28" i="5" s="1"/>
  <c r="G30" i="5" s="1"/>
  <c r="F19" i="5"/>
  <c r="F28" i="5" s="1"/>
  <c r="F30" i="5" s="1"/>
  <c r="F18" i="2"/>
  <c r="F27" i="2" s="1"/>
  <c r="F29" i="2" s="1"/>
  <c r="F19" i="4"/>
  <c r="F28" i="4" s="1"/>
  <c r="F30" i="4" s="1"/>
  <c r="H19" i="6"/>
  <c r="P45" i="88"/>
  <c r="F34" i="2" l="1"/>
  <c r="H27" i="2"/>
  <c r="H29" i="2" s="1"/>
  <c r="D28" i="4"/>
  <c r="D30" i="4" s="1"/>
  <c r="B39" i="4"/>
  <c r="H28" i="5"/>
  <c r="H30" i="5" s="1"/>
  <c r="F39" i="5"/>
  <c r="D28" i="6"/>
  <c r="D30" i="6" s="1"/>
  <c r="B39" i="6"/>
  <c r="D28" i="5"/>
  <c r="D30" i="5" s="1"/>
  <c r="B39" i="5"/>
  <c r="F39" i="6"/>
  <c r="H28" i="6"/>
  <c r="H30" i="6" s="1"/>
  <c r="F39" i="4"/>
  <c r="H28" i="4"/>
  <c r="H30" i="4" s="1"/>
  <c r="I42" i="88"/>
  <c r="P19" i="102" l="1"/>
  <c r="O19" i="102"/>
  <c r="N19" i="102"/>
  <c r="L19" i="102"/>
  <c r="K19" i="102"/>
  <c r="J19" i="102"/>
  <c r="H19" i="102"/>
  <c r="G19" i="102"/>
  <c r="F19" i="102"/>
  <c r="Q16" i="70"/>
  <c r="Q19" i="102" s="1"/>
  <c r="M16" i="70"/>
  <c r="M19" i="102" s="1"/>
  <c r="I16" i="70"/>
  <c r="I19" i="102" s="1"/>
  <c r="E16" i="70"/>
  <c r="E19" i="102" s="1"/>
  <c r="D19" i="102"/>
  <c r="C19" i="102"/>
  <c r="B19" i="102"/>
  <c r="B20" i="102" s="1"/>
  <c r="R3" i="102" l="1"/>
  <c r="C20" i="102"/>
  <c r="D20" i="102" s="1"/>
  <c r="F20" i="102"/>
  <c r="G20" i="102" s="1"/>
  <c r="H20" i="102" s="1"/>
  <c r="J20" i="102" s="1"/>
  <c r="K20" i="102" s="1"/>
  <c r="L20" i="102" s="1"/>
  <c r="N20" i="102" s="1"/>
  <c r="O20" i="102" s="1"/>
  <c r="P20" i="102" s="1"/>
  <c r="I20" i="102"/>
  <c r="L6" i="4" l="1"/>
  <c r="L6" i="5" l="1"/>
  <c r="K6" i="5" l="1"/>
  <c r="F6" i="5" l="1"/>
  <c r="C6" i="5" l="1"/>
  <c r="C6" i="2" l="1"/>
  <c r="C6" i="4" l="1"/>
  <c r="B6" i="5" l="1"/>
  <c r="R16" i="70" l="1"/>
  <c r="O6" i="5" l="1"/>
  <c r="M55" i="2" l="1"/>
  <c r="M54" i="2"/>
  <c r="M53" i="2"/>
  <c r="M51" i="2"/>
  <c r="M50" i="2"/>
  <c r="M49" i="2"/>
  <c r="M48" i="2"/>
  <c r="M47" i="2"/>
  <c r="M45" i="2"/>
  <c r="M44" i="2"/>
  <c r="M39" i="2"/>
  <c r="M60" i="6" l="1"/>
  <c r="M59" i="6"/>
  <c r="M58" i="6"/>
  <c r="M56" i="6"/>
  <c r="M55" i="6"/>
  <c r="M54" i="6"/>
  <c r="M53" i="6"/>
  <c r="M52" i="6"/>
  <c r="M50" i="6"/>
  <c r="M49" i="6"/>
  <c r="M44" i="6"/>
  <c r="M60" i="4"/>
  <c r="M59" i="4"/>
  <c r="M58" i="4"/>
  <c r="M56" i="4"/>
  <c r="M55" i="4"/>
  <c r="M54" i="4"/>
  <c r="M53" i="4"/>
  <c r="M52" i="4"/>
  <c r="M50" i="4"/>
  <c r="M49" i="4"/>
  <c r="M44" i="4"/>
  <c r="M60" i="5"/>
  <c r="M59" i="5"/>
  <c r="M58" i="5"/>
  <c r="M56" i="5"/>
  <c r="M55" i="5"/>
  <c r="M54" i="5"/>
  <c r="M53" i="5"/>
  <c r="M52" i="5"/>
  <c r="M50" i="5"/>
  <c r="M49" i="5"/>
  <c r="M44" i="5"/>
  <c r="I60" i="4" l="1"/>
  <c r="I59" i="4"/>
  <c r="I58" i="4"/>
  <c r="I56" i="4"/>
  <c r="I55" i="4"/>
  <c r="I54" i="4"/>
  <c r="I53" i="4"/>
  <c r="I52" i="4"/>
  <c r="I50" i="4"/>
  <c r="I49" i="4"/>
  <c r="I44" i="4"/>
  <c r="I60" i="5" l="1"/>
  <c r="I59" i="5"/>
  <c r="I58" i="5"/>
  <c r="I56" i="5"/>
  <c r="I55" i="5"/>
  <c r="I54" i="5"/>
  <c r="I53" i="5"/>
  <c r="I52" i="5"/>
  <c r="I50" i="5"/>
  <c r="I49" i="5"/>
  <c r="I44" i="5"/>
  <c r="I55" i="2"/>
  <c r="I54" i="2"/>
  <c r="I53" i="2"/>
  <c r="I51" i="2"/>
  <c r="I50" i="2"/>
  <c r="I49" i="2"/>
  <c r="I48" i="2"/>
  <c r="I47" i="2"/>
  <c r="I45" i="2"/>
  <c r="I44" i="2"/>
  <c r="I39" i="2"/>
  <c r="I60" i="6"/>
  <c r="I59" i="6"/>
  <c r="I58" i="6"/>
  <c r="I56" i="6"/>
  <c r="I55" i="6"/>
  <c r="I54" i="6"/>
  <c r="I53" i="6"/>
  <c r="I52" i="6"/>
  <c r="I50" i="6"/>
  <c r="I49" i="6"/>
  <c r="I44" i="6"/>
  <c r="G6" i="5" l="1"/>
  <c r="B3" i="102" l="1"/>
  <c r="F6" i="4" l="1"/>
  <c r="E60" i="5" l="1"/>
  <c r="E59" i="5"/>
  <c r="E58" i="5"/>
  <c r="E56" i="5"/>
  <c r="E55" i="5"/>
  <c r="E54" i="5"/>
  <c r="E53" i="5"/>
  <c r="E52" i="5"/>
  <c r="E50" i="5"/>
  <c r="E49" i="5"/>
  <c r="E44" i="5"/>
  <c r="E60" i="4"/>
  <c r="E59" i="4"/>
  <c r="E58" i="4"/>
  <c r="E56" i="4"/>
  <c r="E55" i="4"/>
  <c r="E54" i="4"/>
  <c r="E53" i="4"/>
  <c r="E52" i="4"/>
  <c r="E50" i="4"/>
  <c r="E49" i="4"/>
  <c r="E44" i="4"/>
  <c r="E55" i="2"/>
  <c r="E54" i="2"/>
  <c r="E53" i="2"/>
  <c r="E51" i="2"/>
  <c r="E50" i="2"/>
  <c r="E49" i="2"/>
  <c r="E48" i="2"/>
  <c r="E47" i="2"/>
  <c r="E45" i="2"/>
  <c r="E44" i="2"/>
  <c r="E39" i="2"/>
  <c r="E60" i="6"/>
  <c r="E59" i="6"/>
  <c r="E58" i="6"/>
  <c r="E56" i="6"/>
  <c r="E55" i="6"/>
  <c r="E54" i="6"/>
  <c r="E53" i="6"/>
  <c r="E52" i="6"/>
  <c r="E50" i="6"/>
  <c r="E49" i="6"/>
  <c r="E44" i="6"/>
  <c r="N32" i="1" l="1"/>
  <c r="J32" i="1"/>
  <c r="F32" i="1"/>
  <c r="B32" i="1"/>
  <c r="D6" i="2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C54" i="70"/>
  <c r="C53" i="70"/>
  <c r="C52" i="70"/>
  <c r="C51" i="70"/>
  <c r="C50" i="70"/>
  <c r="C49" i="70"/>
  <c r="C48" i="70"/>
  <c r="C47" i="70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E55" i="70" l="1"/>
  <c r="E47" i="70"/>
  <c r="Q46" i="70"/>
  <c r="Q41" i="70"/>
  <c r="Q47" i="70"/>
  <c r="Q56" i="70"/>
  <c r="Q57" i="70"/>
  <c r="Q55" i="70"/>
  <c r="M56" i="70"/>
  <c r="M57" i="70"/>
  <c r="M55" i="70"/>
  <c r="M47" i="70"/>
  <c r="M46" i="70"/>
  <c r="M41" i="70"/>
  <c r="I57" i="70"/>
  <c r="I41" i="70"/>
  <c r="I47" i="70"/>
  <c r="I56" i="70"/>
  <c r="I46" i="70"/>
  <c r="I55" i="70"/>
  <c r="E46" i="70"/>
  <c r="E41" i="70"/>
  <c r="E56" i="70"/>
  <c r="E57" i="70"/>
  <c r="E49" i="70" l="1"/>
  <c r="E50" i="70" s="1"/>
  <c r="M49" i="70"/>
  <c r="M50" i="70" s="1"/>
  <c r="Q49" i="70"/>
  <c r="Q50" i="70" s="1"/>
  <c r="R55" i="70"/>
  <c r="R47" i="70"/>
  <c r="R41" i="70"/>
  <c r="I49" i="70"/>
  <c r="I50" i="70" s="1"/>
  <c r="R57" i="70"/>
  <c r="R46" i="70"/>
  <c r="R56" i="70"/>
  <c r="B6" i="2"/>
  <c r="E51" i="70" l="1"/>
  <c r="E52" i="70" s="1"/>
  <c r="E53" i="70" s="1"/>
  <c r="M51" i="70"/>
  <c r="M52" i="70" s="1"/>
  <c r="M53" i="70" s="1"/>
  <c r="I51" i="70"/>
  <c r="I52" i="70" s="1"/>
  <c r="R50" i="70"/>
  <c r="R49" i="70"/>
  <c r="S56" i="70"/>
  <c r="S57" i="70"/>
  <c r="Q51" i="70"/>
  <c r="Q52" i="70" s="1"/>
  <c r="I53" i="70" l="1"/>
  <c r="R51" i="70"/>
  <c r="Q53" i="70"/>
  <c r="R52" i="70"/>
  <c r="T19" i="102"/>
  <c r="R53" i="70" l="1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P36" i="88" l="1"/>
  <c r="J44" i="88"/>
  <c r="K44" i="88" s="1"/>
  <c r="N44" i="88" s="1"/>
  <c r="J43" i="88"/>
  <c r="K43" i="88" s="1"/>
  <c r="J42" i="88"/>
  <c r="J41" i="88"/>
  <c r="K41" i="88" s="1"/>
  <c r="N41" i="88" s="1"/>
  <c r="J40" i="88"/>
  <c r="K40" i="88" s="1"/>
  <c r="N40" i="88" s="1"/>
  <c r="I36" i="88"/>
  <c r="J34" i="88" s="1"/>
  <c r="F22" i="1" l="1"/>
  <c r="H22" i="1"/>
  <c r="G22" i="1"/>
  <c r="D20" i="4"/>
  <c r="C20" i="4"/>
  <c r="B20" i="4"/>
  <c r="H20" i="6"/>
  <c r="G20" i="6"/>
  <c r="F20" i="6"/>
  <c r="H19" i="2"/>
  <c r="G19" i="2"/>
  <c r="F19" i="2"/>
  <c r="H20" i="4"/>
  <c r="G20" i="4"/>
  <c r="F20" i="4"/>
  <c r="F20" i="5"/>
  <c r="H20" i="5"/>
  <c r="G20" i="5"/>
  <c r="J33" i="88"/>
  <c r="J32" i="88"/>
  <c r="J31" i="88"/>
  <c r="J35" i="88"/>
  <c r="D19" i="2" l="1"/>
  <c r="C19" i="2"/>
  <c r="B19" i="2"/>
  <c r="D20" i="5"/>
  <c r="C20" i="5"/>
  <c r="B20" i="5"/>
  <c r="D20" i="6"/>
  <c r="C20" i="6"/>
  <c r="B20" i="6"/>
  <c r="H21" i="4"/>
  <c r="H25" i="4" s="1"/>
  <c r="F21" i="4"/>
  <c r="F25" i="4" s="1"/>
  <c r="G21" i="4"/>
  <c r="G25" i="4" s="1"/>
  <c r="H21" i="5"/>
  <c r="H25" i="5" s="1"/>
  <c r="G21" i="5"/>
  <c r="G25" i="5" s="1"/>
  <c r="F21" i="5"/>
  <c r="F25" i="5" s="1"/>
  <c r="G21" i="6"/>
  <c r="G25" i="6" s="1"/>
  <c r="F21" i="6"/>
  <c r="F25" i="6" s="1"/>
  <c r="H21" i="6"/>
  <c r="H25" i="6" s="1"/>
  <c r="F20" i="2"/>
  <c r="F24" i="2" s="1"/>
  <c r="H20" i="2"/>
  <c r="H24" i="2" s="1"/>
  <c r="G20" i="2"/>
  <c r="G24" i="2" s="1"/>
  <c r="K4" i="88"/>
  <c r="K5" i="88"/>
  <c r="L4" i="2" s="1"/>
  <c r="K6" i="88"/>
  <c r="L4" i="4" s="1"/>
  <c r="K7" i="88"/>
  <c r="K3" i="88"/>
  <c r="L4" i="6" s="1"/>
  <c r="J4" i="88"/>
  <c r="J5" i="88"/>
  <c r="K4" i="2" s="1"/>
  <c r="J6" i="88"/>
  <c r="K4" i="4" s="1"/>
  <c r="J7" i="88"/>
  <c r="J3" i="88"/>
  <c r="K4" i="6" s="1"/>
  <c r="I4" i="88"/>
  <c r="I5" i="88"/>
  <c r="J4" i="2" s="1"/>
  <c r="I6" i="88"/>
  <c r="J4" i="4" s="1"/>
  <c r="I7" i="88"/>
  <c r="I3" i="88"/>
  <c r="F6" i="1"/>
  <c r="L20" i="5" l="1"/>
  <c r="J20" i="5"/>
  <c r="K20" i="5"/>
  <c r="C3" i="102"/>
  <c r="D3" i="102"/>
  <c r="E3" i="102"/>
  <c r="F3" i="102"/>
  <c r="G3" i="102"/>
  <c r="B4" i="102"/>
  <c r="L22" i="1" l="1"/>
  <c r="K22" i="1"/>
  <c r="J22" i="1"/>
  <c r="C4" i="102"/>
  <c r="L21" i="5"/>
  <c r="L25" i="5" s="1"/>
  <c r="J21" i="5"/>
  <c r="J25" i="5" s="1"/>
  <c r="K21" i="5"/>
  <c r="K25" i="5" s="1"/>
  <c r="K19" i="2"/>
  <c r="J19" i="2"/>
  <c r="L19" i="2"/>
  <c r="J20" i="6"/>
  <c r="L20" i="6"/>
  <c r="K20" i="6"/>
  <c r="J20" i="4"/>
  <c r="L20" i="4"/>
  <c r="K20" i="4"/>
  <c r="D4" i="102"/>
  <c r="F4" i="102" s="1"/>
  <c r="G4" i="102" s="1"/>
  <c r="L21" i="4" l="1"/>
  <c r="L25" i="4" s="1"/>
  <c r="K21" i="4"/>
  <c r="K25" i="4" s="1"/>
  <c r="J21" i="4"/>
  <c r="J25" i="4" s="1"/>
  <c r="K20" i="2"/>
  <c r="K24" i="2" s="1"/>
  <c r="L20" i="2"/>
  <c r="L24" i="2" s="1"/>
  <c r="J20" i="2"/>
  <c r="J24" i="2" s="1"/>
  <c r="K21" i="6"/>
  <c r="K25" i="6" s="1"/>
  <c r="J21" i="6"/>
  <c r="J25" i="6" s="1"/>
  <c r="L21" i="6"/>
  <c r="L25" i="6" s="1"/>
  <c r="C14" i="88"/>
  <c r="P6" i="2" l="1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L16" i="88" l="1"/>
  <c r="G11" i="5" l="1"/>
  <c r="Q3" i="102" l="1"/>
  <c r="O3" i="102"/>
  <c r="N3" i="102"/>
  <c r="M3" i="102"/>
  <c r="L3" i="102"/>
  <c r="K3" i="102"/>
  <c r="J3" i="102"/>
  <c r="I3" i="102"/>
  <c r="H3" i="102"/>
  <c r="T3" i="102" l="1"/>
  <c r="I4" i="102"/>
  <c r="Q4" i="102"/>
  <c r="G13" i="103" l="1"/>
  <c r="L6" i="103"/>
  <c r="G6" i="103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60" i="5"/>
  <c r="Q59" i="5"/>
  <c r="Q58" i="5"/>
  <c r="Q56" i="5"/>
  <c r="Q55" i="5"/>
  <c r="Q54" i="5"/>
  <c r="Q53" i="5"/>
  <c r="Q52" i="5"/>
  <c r="Q50" i="5"/>
  <c r="Q49" i="5"/>
  <c r="Q44" i="5"/>
  <c r="Q60" i="4"/>
  <c r="Q59" i="4"/>
  <c r="Q58" i="4"/>
  <c r="Q56" i="4"/>
  <c r="Q55" i="4"/>
  <c r="Q54" i="4"/>
  <c r="Q53" i="4"/>
  <c r="Q52" i="4"/>
  <c r="Q50" i="4"/>
  <c r="Q49" i="4"/>
  <c r="Q44" i="4"/>
  <c r="Q55" i="2"/>
  <c r="Q54" i="2"/>
  <c r="Q53" i="2"/>
  <c r="Q51" i="2"/>
  <c r="Q50" i="2"/>
  <c r="Q49" i="2"/>
  <c r="Q48" i="2"/>
  <c r="Q47" i="2"/>
  <c r="Q45" i="2"/>
  <c r="Q44" i="2"/>
  <c r="Q39" i="2"/>
  <c r="M64" i="3"/>
  <c r="M63" i="3"/>
  <c r="M62" i="3"/>
  <c r="M60" i="3"/>
  <c r="M59" i="3"/>
  <c r="M58" i="3"/>
  <c r="M57" i="3"/>
  <c r="M56" i="3"/>
  <c r="M54" i="3"/>
  <c r="M53" i="3"/>
  <c r="M48" i="3"/>
  <c r="Q60" i="6"/>
  <c r="Q59" i="6"/>
  <c r="Q58" i="6"/>
  <c r="Q56" i="6"/>
  <c r="Q55" i="6"/>
  <c r="Q54" i="6"/>
  <c r="Q53" i="6"/>
  <c r="Q52" i="6"/>
  <c r="Q50" i="6"/>
  <c r="Q49" i="6"/>
  <c r="Q44" i="6"/>
  <c r="R56" i="103" l="1"/>
  <c r="R60" i="103"/>
  <c r="R58" i="4"/>
  <c r="R60" i="4"/>
  <c r="R59" i="4"/>
  <c r="R60" i="3"/>
  <c r="R58" i="6"/>
  <c r="R44" i="6"/>
  <c r="R53" i="6"/>
  <c r="R60" i="6"/>
  <c r="R50" i="6"/>
  <c r="R55" i="6"/>
  <c r="R52" i="4"/>
  <c r="R56" i="4"/>
  <c r="R44" i="4"/>
  <c r="R49" i="4"/>
  <c r="R50" i="4"/>
  <c r="R53" i="4"/>
  <c r="R54" i="4"/>
  <c r="R55" i="4"/>
  <c r="R52" i="5"/>
  <c r="R56" i="5"/>
  <c r="R44" i="5"/>
  <c r="R49" i="5"/>
  <c r="R50" i="5"/>
  <c r="R53" i="5"/>
  <c r="R54" i="5"/>
  <c r="R55" i="5"/>
  <c r="R58" i="5"/>
  <c r="R59" i="5"/>
  <c r="R60" i="5"/>
  <c r="R62" i="103"/>
  <c r="R63" i="103"/>
  <c r="R64" i="103"/>
  <c r="R54" i="103"/>
  <c r="R59" i="103"/>
  <c r="R48" i="103"/>
  <c r="R53" i="103"/>
  <c r="R57" i="103"/>
  <c r="R58" i="103"/>
  <c r="R47" i="2"/>
  <c r="R51" i="2"/>
  <c r="R39" i="2"/>
  <c r="R44" i="2"/>
  <c r="R45" i="2"/>
  <c r="R48" i="2"/>
  <c r="R49" i="2"/>
  <c r="R50" i="2"/>
  <c r="R53" i="2"/>
  <c r="R54" i="2"/>
  <c r="R55" i="2"/>
  <c r="R48" i="3"/>
  <c r="R53" i="3"/>
  <c r="R54" i="3"/>
  <c r="R57" i="3"/>
  <c r="R58" i="3"/>
  <c r="R59" i="3"/>
  <c r="R56" i="3"/>
  <c r="R62" i="3"/>
  <c r="R63" i="3"/>
  <c r="R64" i="3"/>
  <c r="R49" i="6"/>
  <c r="R54" i="6"/>
  <c r="R59" i="6"/>
  <c r="R52" i="6"/>
  <c r="R56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H4" i="6" s="1"/>
  <c r="L14" i="88"/>
  <c r="K14" i="88"/>
  <c r="G3" i="88" s="1"/>
  <c r="G4" i="6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I4" i="2" l="1"/>
  <c r="H4" i="102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7" i="2"/>
  <c r="J22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D5" i="88"/>
  <c r="C4" i="2" s="1"/>
  <c r="E5" i="88"/>
  <c r="D4" i="2" s="1"/>
  <c r="C6" i="88"/>
  <c r="B4" i="4" s="1"/>
  <c r="D6" i="88"/>
  <c r="C4" i="4" s="1"/>
  <c r="E6" i="88"/>
  <c r="D4" i="4" s="1"/>
  <c r="C7" i="88"/>
  <c r="B4" i="5" s="1"/>
  <c r="D7" i="88"/>
  <c r="C4" i="5" s="1"/>
  <c r="E7" i="88"/>
  <c r="D4" i="5" s="1"/>
  <c r="D3" i="88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H6" i="5"/>
  <c r="B7" i="5"/>
  <c r="B23" i="5" s="1"/>
  <c r="P6" i="4"/>
  <c r="K6" i="4"/>
  <c r="G6" i="4"/>
  <c r="F7" i="4"/>
  <c r="F23" i="4" s="1"/>
  <c r="B6" i="4"/>
  <c r="D6" i="3"/>
  <c r="C6" i="3"/>
  <c r="H6" i="3"/>
  <c r="G6" i="3"/>
  <c r="L6" i="3"/>
  <c r="K6" i="3"/>
  <c r="J6" i="3"/>
  <c r="P6" i="3"/>
  <c r="O6" i="3"/>
  <c r="N6" i="3"/>
  <c r="O6" i="1"/>
  <c r="N6" i="1"/>
  <c r="L6" i="1"/>
  <c r="K6" i="1"/>
  <c r="P6" i="6"/>
  <c r="O6" i="6"/>
  <c r="L6" i="6"/>
  <c r="K6" i="6"/>
  <c r="H6" i="6"/>
  <c r="G6" i="6"/>
  <c r="F7" i="6"/>
  <c r="F23" i="6" s="1"/>
  <c r="C6" i="6"/>
  <c r="L6" i="2"/>
  <c r="G6" i="2"/>
  <c r="F6" i="2"/>
  <c r="F7" i="2" s="1"/>
  <c r="F22" i="2" s="1"/>
  <c r="D13" i="2"/>
  <c r="N6" i="4"/>
  <c r="N7" i="4" s="1"/>
  <c r="N23" i="4" s="1"/>
  <c r="N11" i="5"/>
  <c r="N6" i="5"/>
  <c r="N7" i="5" s="1"/>
  <c r="N23" i="5" s="1"/>
  <c r="B6" i="3"/>
  <c r="N6" i="2"/>
  <c r="N13" i="2" s="1"/>
  <c r="N11" i="6"/>
  <c r="N6" i="6"/>
  <c r="B13" i="3"/>
  <c r="B5" i="2" l="1"/>
  <c r="B21" i="2" s="1"/>
  <c r="N12" i="1"/>
  <c r="O12" i="1" s="1"/>
  <c r="P12" i="1" s="1"/>
  <c r="Q11" i="1"/>
  <c r="M6" i="4"/>
  <c r="I11" i="1"/>
  <c r="E6" i="4"/>
  <c r="L34" i="88" s="1"/>
  <c r="Q6" i="1"/>
  <c r="L60" i="88" s="1"/>
  <c r="I6" i="1"/>
  <c r="J12" i="1"/>
  <c r="K12" i="1" s="1"/>
  <c r="L12" i="1" s="1"/>
  <c r="M11" i="1"/>
  <c r="J7" i="1"/>
  <c r="K7" i="1" s="1"/>
  <c r="M6" i="1"/>
  <c r="P8" i="70"/>
  <c r="P8" i="102" s="1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K8" i="102" s="1"/>
  <c r="G21" i="70"/>
  <c r="G24" i="102" s="1"/>
  <c r="B7" i="4"/>
  <c r="B23" i="4" s="1"/>
  <c r="B12" i="2"/>
  <c r="E11" i="2"/>
  <c r="B7" i="1"/>
  <c r="C7" i="1" s="1"/>
  <c r="D7" i="1" s="1"/>
  <c r="B30" i="1" s="1"/>
  <c r="R6" i="1"/>
  <c r="M11" i="3"/>
  <c r="K8" i="5"/>
  <c r="J7" i="5"/>
  <c r="J23" i="5" s="1"/>
  <c r="E6" i="6"/>
  <c r="H13" i="4"/>
  <c r="B8" i="70"/>
  <c r="B8" i="102" s="1"/>
  <c r="K13" i="1"/>
  <c r="K13" i="2"/>
  <c r="N13" i="1"/>
  <c r="H13" i="5"/>
  <c r="J8" i="3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21" i="2" s="1"/>
  <c r="J23" i="2" s="1"/>
  <c r="J25" i="2" s="1"/>
  <c r="J26" i="2" s="1"/>
  <c r="J30" i="2" s="1"/>
  <c r="J5" i="4"/>
  <c r="J22" i="4" s="1"/>
  <c r="J5" i="6"/>
  <c r="J22" i="6" s="1"/>
  <c r="J5" i="5"/>
  <c r="J22" i="5" s="1"/>
  <c r="J4" i="1"/>
  <c r="I4" i="1"/>
  <c r="M11" i="103"/>
  <c r="L15" i="103"/>
  <c r="G18" i="3"/>
  <c r="N7" i="6"/>
  <c r="N23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Q6" i="5"/>
  <c r="L63" i="88" s="1"/>
  <c r="M11" i="5"/>
  <c r="O13" i="2"/>
  <c r="H18" i="3"/>
  <c r="J7" i="3"/>
  <c r="J24" i="3" s="1"/>
  <c r="Q6" i="6"/>
  <c r="L59" i="88" s="1"/>
  <c r="M11" i="6"/>
  <c r="I6" i="4"/>
  <c r="O13" i="4"/>
  <c r="D8" i="88"/>
  <c r="N5" i="3"/>
  <c r="O5" i="3" s="1"/>
  <c r="B5" i="5"/>
  <c r="B22" i="5" s="1"/>
  <c r="B24" i="5" s="1"/>
  <c r="B26" i="5" s="1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22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23" i="5" s="1"/>
  <c r="E6" i="5"/>
  <c r="G13" i="5"/>
  <c r="P13" i="5"/>
  <c r="F7" i="5"/>
  <c r="F23" i="5" s="1"/>
  <c r="F13" i="5"/>
  <c r="K13" i="5"/>
  <c r="H8" i="5"/>
  <c r="D13" i="5"/>
  <c r="C13" i="5"/>
  <c r="G7" i="4"/>
  <c r="G23" i="4" s="1"/>
  <c r="D13" i="4"/>
  <c r="K13" i="4"/>
  <c r="L8" i="4"/>
  <c r="H8" i="4"/>
  <c r="F13" i="2"/>
  <c r="B7" i="2"/>
  <c r="B22" i="2" s="1"/>
  <c r="G7" i="2"/>
  <c r="G22" i="2" s="1"/>
  <c r="M11" i="2"/>
  <c r="J14" i="2"/>
  <c r="I6" i="2"/>
  <c r="M6" i="2"/>
  <c r="D8" i="2"/>
  <c r="J13" i="2"/>
  <c r="E11" i="4"/>
  <c r="Q13" i="3"/>
  <c r="E13" i="3"/>
  <c r="F13" i="4"/>
  <c r="N7" i="3"/>
  <c r="N24" i="3" s="1"/>
  <c r="E6" i="1"/>
  <c r="O13" i="1"/>
  <c r="O7" i="5"/>
  <c r="O23" i="5" s="1"/>
  <c r="N13" i="4"/>
  <c r="D8" i="4"/>
  <c r="C8" i="2"/>
  <c r="J7" i="4"/>
  <c r="J23" i="4" s="1"/>
  <c r="H8" i="88"/>
  <c r="L8" i="6"/>
  <c r="K8" i="88"/>
  <c r="O12" i="2"/>
  <c r="Q11" i="2"/>
  <c r="N7" i="2"/>
  <c r="N22" i="2" s="1"/>
  <c r="N12" i="5"/>
  <c r="Q11" i="5"/>
  <c r="Q6" i="3"/>
  <c r="H13" i="1"/>
  <c r="K18" i="3"/>
  <c r="E4" i="6"/>
  <c r="C8" i="88"/>
  <c r="O7" i="4"/>
  <c r="O23" i="4" s="1"/>
  <c r="Q6" i="4"/>
  <c r="L62" i="88" s="1"/>
  <c r="E6" i="3"/>
  <c r="D13" i="6"/>
  <c r="Q6" i="2"/>
  <c r="L61" i="88" s="1"/>
  <c r="C12" i="6"/>
  <c r="L13" i="2"/>
  <c r="M6" i="5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23" i="6" s="1"/>
  <c r="B13" i="6"/>
  <c r="G7" i="6"/>
  <c r="I6" i="6"/>
  <c r="F12" i="6"/>
  <c r="O13" i="6"/>
  <c r="I11" i="6"/>
  <c r="H13" i="6"/>
  <c r="N13" i="6"/>
  <c r="Q11" i="6"/>
  <c r="L13" i="6"/>
  <c r="J7" i="6"/>
  <c r="J23" i="6" s="1"/>
  <c r="M6" i="6"/>
  <c r="C8" i="6"/>
  <c r="G8" i="6"/>
  <c r="J23" i="3"/>
  <c r="F5" i="5"/>
  <c r="F22" i="5" s="1"/>
  <c r="F8" i="5"/>
  <c r="I4" i="6"/>
  <c r="B5" i="1"/>
  <c r="C5" i="1" s="1"/>
  <c r="B8" i="1"/>
  <c r="K5" i="3"/>
  <c r="L5" i="3" s="1"/>
  <c r="M4" i="3"/>
  <c r="F8" i="6"/>
  <c r="I4" i="5"/>
  <c r="F5" i="6"/>
  <c r="F22" i="6" s="1"/>
  <c r="F24" i="6" s="1"/>
  <c r="F26" i="6" s="1"/>
  <c r="F27" i="6" s="1"/>
  <c r="F5" i="4"/>
  <c r="F22" i="4" s="1"/>
  <c r="F24" i="4" s="1"/>
  <c r="F26" i="4" s="1"/>
  <c r="F27" i="4" s="1"/>
  <c r="I4" i="4"/>
  <c r="B12" i="3"/>
  <c r="B29" i="3" s="1"/>
  <c r="B15" i="3"/>
  <c r="D8" i="6"/>
  <c r="E4" i="4"/>
  <c r="B8" i="4"/>
  <c r="B5" i="4"/>
  <c r="B22" i="4" s="1"/>
  <c r="B24" i="4" s="1"/>
  <c r="B26" i="4" s="1"/>
  <c r="L8" i="5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F21" i="2" s="1"/>
  <c r="F23" i="2" s="1"/>
  <c r="F25" i="2" s="1"/>
  <c r="F26" i="2" s="1"/>
  <c r="F30" i="2" s="1"/>
  <c r="F31" i="6" l="1"/>
  <c r="F4" i="8" s="1"/>
  <c r="F35" i="6"/>
  <c r="F31" i="4"/>
  <c r="F35" i="4"/>
  <c r="B23" i="2"/>
  <c r="B25" i="2" s="1"/>
  <c r="F24" i="5"/>
  <c r="F26" i="5" s="1"/>
  <c r="F27" i="5" s="1"/>
  <c r="J24" i="5"/>
  <c r="J26" i="5" s="1"/>
  <c r="J27" i="5" s="1"/>
  <c r="J31" i="5" s="1"/>
  <c r="C5" i="2"/>
  <c r="C21" i="2" s="1"/>
  <c r="J24" i="6"/>
  <c r="J26" i="6" s="1"/>
  <c r="J27" i="6" s="1"/>
  <c r="P4" i="88"/>
  <c r="Q9" i="1"/>
  <c r="Q8" i="1"/>
  <c r="L52" i="88"/>
  <c r="M7" i="2"/>
  <c r="L51" i="88"/>
  <c r="L53" i="88"/>
  <c r="L54" i="88"/>
  <c r="L50" i="88"/>
  <c r="J24" i="4"/>
  <c r="J26" i="4" s="1"/>
  <c r="J27" i="4" s="1"/>
  <c r="J31" i="4" s="1"/>
  <c r="L41" i="88"/>
  <c r="L42" i="88"/>
  <c r="I7" i="2"/>
  <c r="L40" i="88"/>
  <c r="L43" i="88"/>
  <c r="L44" i="88"/>
  <c r="H7" i="6"/>
  <c r="H23" i="6" s="1"/>
  <c r="G23" i="6"/>
  <c r="I8" i="102"/>
  <c r="I5" i="102" s="1"/>
  <c r="Q8" i="102"/>
  <c r="R8" i="102"/>
  <c r="M8" i="102"/>
  <c r="C13" i="102"/>
  <c r="C13" i="70"/>
  <c r="C22" i="88"/>
  <c r="B13" i="102"/>
  <c r="B13" i="70"/>
  <c r="B14" i="70" s="1"/>
  <c r="B22" i="88"/>
  <c r="D13" i="102"/>
  <c r="D13" i="70"/>
  <c r="D22" i="88"/>
  <c r="M5" i="4"/>
  <c r="N14" i="1"/>
  <c r="K13" i="102"/>
  <c r="K13" i="70"/>
  <c r="I22" i="88"/>
  <c r="J13" i="102"/>
  <c r="J13" i="70"/>
  <c r="H22" i="88"/>
  <c r="L13" i="102"/>
  <c r="L13" i="70"/>
  <c r="J22" i="88"/>
  <c r="F13" i="102"/>
  <c r="F14" i="102" s="1"/>
  <c r="F13" i="70"/>
  <c r="F14" i="70" s="1"/>
  <c r="E22" i="88"/>
  <c r="E23" i="88" s="1"/>
  <c r="G13" i="102"/>
  <c r="G13" i="70"/>
  <c r="F22" i="88"/>
  <c r="F23" i="88" s="1"/>
  <c r="H13" i="102"/>
  <c r="H13" i="70"/>
  <c r="G22" i="88"/>
  <c r="G23" i="88" s="1"/>
  <c r="B25" i="102"/>
  <c r="B33" i="102"/>
  <c r="M5" i="6"/>
  <c r="L31" i="88"/>
  <c r="M5" i="5"/>
  <c r="L35" i="88"/>
  <c r="L32" i="88"/>
  <c r="M5" i="1"/>
  <c r="M5" i="2"/>
  <c r="L33" i="88"/>
  <c r="L64" i="88"/>
  <c r="M59" i="88" s="1"/>
  <c r="J14" i="1"/>
  <c r="J8" i="1"/>
  <c r="M4" i="1"/>
  <c r="E24" i="102"/>
  <c r="E25" i="102" s="1"/>
  <c r="D33" i="102"/>
  <c r="B9" i="102"/>
  <c r="G33" i="102"/>
  <c r="F33" i="102"/>
  <c r="Y12" i="70"/>
  <c r="Z13" i="70" s="1"/>
  <c r="E8" i="70"/>
  <c r="C12" i="5"/>
  <c r="D12" i="5" s="1"/>
  <c r="F14" i="4"/>
  <c r="R6" i="6"/>
  <c r="N15" i="3"/>
  <c r="P27" i="70"/>
  <c r="Q8" i="70"/>
  <c r="Q5" i="70" s="1"/>
  <c r="I8" i="70"/>
  <c r="R8" i="70"/>
  <c r="G5" i="2"/>
  <c r="G21" i="2" s="1"/>
  <c r="G23" i="2" s="1"/>
  <c r="G25" i="2" s="1"/>
  <c r="G26" i="2" s="1"/>
  <c r="G30" i="2" s="1"/>
  <c r="G5" i="4"/>
  <c r="G22" i="4" s="1"/>
  <c r="G24" i="4" s="1"/>
  <c r="G26" i="4" s="1"/>
  <c r="G27" i="4" s="1"/>
  <c r="K5" i="5"/>
  <c r="K22" i="5" s="1"/>
  <c r="H12" i="4"/>
  <c r="K12" i="4"/>
  <c r="O12" i="4"/>
  <c r="M8" i="70"/>
  <c r="I21" i="70"/>
  <c r="C7" i="4"/>
  <c r="C23" i="4" s="1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23" i="4" s="1"/>
  <c r="J14" i="5"/>
  <c r="K7" i="5"/>
  <c r="K23" i="5" s="1"/>
  <c r="H7" i="2"/>
  <c r="F14" i="5"/>
  <c r="H12" i="5"/>
  <c r="G12" i="2"/>
  <c r="R6" i="2"/>
  <c r="E4" i="2"/>
  <c r="B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J9" i="6"/>
  <c r="J8" i="6"/>
  <c r="M4" i="4"/>
  <c r="N12" i="3"/>
  <c r="O7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22" i="6" s="1"/>
  <c r="B24" i="6" s="1"/>
  <c r="B26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22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C22" i="5" s="1"/>
  <c r="C24" i="5" s="1"/>
  <c r="C26" i="5" s="1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23" i="5" s="1"/>
  <c r="O12" i="5"/>
  <c r="D7" i="5"/>
  <c r="D23" i="5" s="1"/>
  <c r="H7" i="4"/>
  <c r="M21" i="70"/>
  <c r="G14" i="4"/>
  <c r="B10" i="2"/>
  <c r="B14" i="2"/>
  <c r="N27" i="70"/>
  <c r="R13" i="3"/>
  <c r="M4" i="6"/>
  <c r="F27" i="70"/>
  <c r="O27" i="70"/>
  <c r="R6" i="5"/>
  <c r="D12" i="6"/>
  <c r="P7" i="4"/>
  <c r="O7" i="2"/>
  <c r="O22" i="2" s="1"/>
  <c r="J14" i="4"/>
  <c r="N14" i="4"/>
  <c r="P7" i="5"/>
  <c r="R6" i="4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K23" i="6" s="1"/>
  <c r="J14" i="6"/>
  <c r="C27" i="70"/>
  <c r="F14" i="6"/>
  <c r="G12" i="6"/>
  <c r="G14" i="6" s="1"/>
  <c r="B14" i="6"/>
  <c r="L27" i="70"/>
  <c r="G27" i="70"/>
  <c r="C7" i="6"/>
  <c r="C23" i="6" s="1"/>
  <c r="R21" i="70"/>
  <c r="O12" i="6"/>
  <c r="N14" i="6"/>
  <c r="F10" i="5"/>
  <c r="G5" i="5"/>
  <c r="G22" i="5" s="1"/>
  <c r="J40" i="3"/>
  <c r="B9" i="1"/>
  <c r="K23" i="3"/>
  <c r="J10" i="4"/>
  <c r="K5" i="4"/>
  <c r="K22" i="4" s="1"/>
  <c r="J9" i="4"/>
  <c r="H14" i="70"/>
  <c r="J10" i="5"/>
  <c r="J9" i="5"/>
  <c r="B10" i="1"/>
  <c r="F10" i="4"/>
  <c r="F9" i="4"/>
  <c r="F9" i="6"/>
  <c r="F10" i="6"/>
  <c r="G5" i="6"/>
  <c r="J17" i="3"/>
  <c r="K12" i="3"/>
  <c r="K29" i="3" s="1"/>
  <c r="J16" i="3"/>
  <c r="B10" i="4"/>
  <c r="B9" i="4"/>
  <c r="C5" i="4"/>
  <c r="C22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21" i="2" s="1"/>
  <c r="K23" i="2" s="1"/>
  <c r="K25" i="2" s="1"/>
  <c r="K26" i="2" s="1"/>
  <c r="K30" i="2" s="1"/>
  <c r="D5" i="1"/>
  <c r="B29" i="1" s="1"/>
  <c r="B31" i="1" s="1"/>
  <c r="B33" i="1" s="1"/>
  <c r="B34" i="1" s="1"/>
  <c r="B15" i="8" s="1"/>
  <c r="C9" i="1"/>
  <c r="C10" i="1"/>
  <c r="J31" i="6" l="1"/>
  <c r="J4" i="8" s="1"/>
  <c r="J35" i="6"/>
  <c r="F31" i="5"/>
  <c r="F35" i="5"/>
  <c r="G31" i="4"/>
  <c r="G35" i="4"/>
  <c r="C24" i="4"/>
  <c r="C26" i="4" s="1"/>
  <c r="C23" i="2"/>
  <c r="C25" i="2" s="1"/>
  <c r="L55" i="88"/>
  <c r="M53" i="88" s="1"/>
  <c r="L45" i="88"/>
  <c r="M41" i="88" s="1"/>
  <c r="G24" i="5"/>
  <c r="G26" i="5" s="1"/>
  <c r="G27" i="5" s="1"/>
  <c r="G22" i="6"/>
  <c r="G24" i="6" s="1"/>
  <c r="G26" i="6" s="1"/>
  <c r="G27" i="6" s="1"/>
  <c r="H5" i="6"/>
  <c r="H22" i="6" s="1"/>
  <c r="H24" i="6" s="1"/>
  <c r="H26" i="6" s="1"/>
  <c r="H27" i="6" s="1"/>
  <c r="P23" i="5"/>
  <c r="N37" i="5"/>
  <c r="P23" i="4"/>
  <c r="N37" i="4"/>
  <c r="P5" i="88"/>
  <c r="Q9" i="2"/>
  <c r="Q8" i="2"/>
  <c r="P3" i="88"/>
  <c r="Q9" i="6"/>
  <c r="Q8" i="6"/>
  <c r="P7" i="88"/>
  <c r="Q9" i="5"/>
  <c r="Q8" i="5"/>
  <c r="P6" i="88"/>
  <c r="Q9" i="4"/>
  <c r="Q8" i="4"/>
  <c r="M9" i="2"/>
  <c r="M8" i="2"/>
  <c r="K24" i="5"/>
  <c r="K26" i="5" s="1"/>
  <c r="K27" i="5" s="1"/>
  <c r="K24" i="4"/>
  <c r="K26" i="4" s="1"/>
  <c r="K27" i="4" s="1"/>
  <c r="K31" i="4" s="1"/>
  <c r="J32" i="2"/>
  <c r="L22" i="2"/>
  <c r="I8" i="2"/>
  <c r="I9" i="2"/>
  <c r="F37" i="4"/>
  <c r="H23" i="4"/>
  <c r="H22" i="2"/>
  <c r="F32" i="2"/>
  <c r="B37" i="5"/>
  <c r="G9" i="2"/>
  <c r="L5" i="6"/>
  <c r="L22" i="6" s="1"/>
  <c r="K22" i="6"/>
  <c r="K24" i="6" s="1"/>
  <c r="K26" i="6" s="1"/>
  <c r="K27" i="6" s="1"/>
  <c r="F37" i="6"/>
  <c r="P7" i="6"/>
  <c r="O23" i="6"/>
  <c r="Q5" i="102"/>
  <c r="M5" i="102"/>
  <c r="G14" i="102"/>
  <c r="I13" i="102"/>
  <c r="E13" i="102"/>
  <c r="B14" i="102"/>
  <c r="B19" i="70"/>
  <c r="B6" i="70"/>
  <c r="E13" i="70"/>
  <c r="C19" i="70"/>
  <c r="C6" i="70"/>
  <c r="D19" i="70"/>
  <c r="D6" i="70"/>
  <c r="C14" i="5"/>
  <c r="L14" i="1"/>
  <c r="J30" i="1"/>
  <c r="M13" i="102"/>
  <c r="H14" i="1"/>
  <c r="F30" i="1"/>
  <c r="F31" i="1" s="1"/>
  <c r="F33" i="1" s="1"/>
  <c r="F34" i="1" s="1"/>
  <c r="E21" i="102"/>
  <c r="M13" i="70"/>
  <c r="K19" i="70"/>
  <c r="K6" i="70"/>
  <c r="K6" i="102" s="1"/>
  <c r="K10" i="102" s="1"/>
  <c r="L19" i="70"/>
  <c r="L6" i="70"/>
  <c r="L6" i="102" s="1"/>
  <c r="J19" i="70"/>
  <c r="J6" i="70"/>
  <c r="J6" i="102" s="1"/>
  <c r="G19" i="70"/>
  <c r="G6" i="70"/>
  <c r="F6" i="70"/>
  <c r="I13" i="70"/>
  <c r="H19" i="70"/>
  <c r="H6" i="70"/>
  <c r="B34" i="102"/>
  <c r="B21" i="102"/>
  <c r="C25" i="102"/>
  <c r="D25" i="102" s="1"/>
  <c r="D14" i="102"/>
  <c r="C33" i="102"/>
  <c r="L36" i="88"/>
  <c r="M34" i="88" s="1"/>
  <c r="K9" i="6"/>
  <c r="M61" i="88"/>
  <c r="M62" i="88"/>
  <c r="M63" i="88"/>
  <c r="M60" i="88"/>
  <c r="G10" i="2"/>
  <c r="E8" i="102"/>
  <c r="T8" i="102" s="1"/>
  <c r="B5" i="102"/>
  <c r="C9" i="102"/>
  <c r="C14" i="102"/>
  <c r="R5" i="70"/>
  <c r="T3" i="70"/>
  <c r="L5" i="5"/>
  <c r="D7" i="4"/>
  <c r="D23" i="4" s="1"/>
  <c r="G9" i="4"/>
  <c r="G10" i="4"/>
  <c r="H5" i="4"/>
  <c r="C10" i="5"/>
  <c r="H5" i="2"/>
  <c r="L12" i="4"/>
  <c r="P12" i="4"/>
  <c r="I5" i="70"/>
  <c r="C14" i="4"/>
  <c r="U5" i="8"/>
  <c r="V5" i="8" s="1"/>
  <c r="E5" i="70"/>
  <c r="M5" i="70"/>
  <c r="B18" i="70"/>
  <c r="G24" i="3"/>
  <c r="G19" i="3"/>
  <c r="K9" i="5"/>
  <c r="J6" i="8"/>
  <c r="F39" i="3"/>
  <c r="H12" i="2"/>
  <c r="D12" i="2"/>
  <c r="C9" i="2"/>
  <c r="C10" i="2"/>
  <c r="C14" i="2"/>
  <c r="G31" i="3"/>
  <c r="G33" i="3" s="1"/>
  <c r="G34" i="3" s="1"/>
  <c r="J39" i="3"/>
  <c r="G14" i="2"/>
  <c r="B5" i="70"/>
  <c r="C9" i="70"/>
  <c r="B10" i="6"/>
  <c r="N16" i="3"/>
  <c r="N29" i="3"/>
  <c r="N31" i="3" s="1"/>
  <c r="N33" i="3" s="1"/>
  <c r="N34" i="3" s="1"/>
  <c r="N39" i="3" s="1"/>
  <c r="K14" i="4"/>
  <c r="F6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D21" i="2" s="1"/>
  <c r="K16" i="3"/>
  <c r="P14" i="3"/>
  <c r="P30" i="3" s="1"/>
  <c r="J10" i="1"/>
  <c r="M24" i="102"/>
  <c r="G17" i="3"/>
  <c r="H14" i="3"/>
  <c r="H30" i="3" s="1"/>
  <c r="C19" i="3"/>
  <c r="H7" i="3"/>
  <c r="K5" i="1"/>
  <c r="K10" i="1" s="1"/>
  <c r="O19" i="3"/>
  <c r="H23" i="3"/>
  <c r="F40" i="3"/>
  <c r="J14" i="102"/>
  <c r="K14" i="102"/>
  <c r="H12" i="3"/>
  <c r="H29" i="3" s="1"/>
  <c r="G10" i="3"/>
  <c r="K10" i="6"/>
  <c r="N17" i="3"/>
  <c r="O12" i="3"/>
  <c r="O29" i="3" s="1"/>
  <c r="O31" i="3" s="1"/>
  <c r="O33" i="3" s="1"/>
  <c r="O34" i="3" s="1"/>
  <c r="D7" i="2"/>
  <c r="D22" i="2" s="1"/>
  <c r="B9" i="6"/>
  <c r="R11" i="3"/>
  <c r="R12" i="3" s="1"/>
  <c r="G23" i="3"/>
  <c r="G16" i="3"/>
  <c r="C5" i="6"/>
  <c r="C22" i="6" s="1"/>
  <c r="C24" i="6" s="1"/>
  <c r="C26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N33" i="102"/>
  <c r="H33" i="102"/>
  <c r="H14" i="102"/>
  <c r="L33" i="102"/>
  <c r="C14" i="70"/>
  <c r="C9" i="5"/>
  <c r="D5" i="5"/>
  <c r="D22" i="5" s="1"/>
  <c r="D24" i="5" s="1"/>
  <c r="D26" i="5" s="1"/>
  <c r="C22" i="70"/>
  <c r="R24" i="102"/>
  <c r="B28" i="70"/>
  <c r="H9" i="1"/>
  <c r="H14" i="4"/>
  <c r="H5" i="5"/>
  <c r="O10" i="3"/>
  <c r="D14" i="5"/>
  <c r="H7" i="5"/>
  <c r="G14" i="5"/>
  <c r="U4" i="8"/>
  <c r="V4" i="8" s="1"/>
  <c r="O14" i="1"/>
  <c r="P7" i="1"/>
  <c r="P7" i="2"/>
  <c r="O14" i="2"/>
  <c r="D14" i="3"/>
  <c r="D30" i="3" s="1"/>
  <c r="H10" i="1"/>
  <c r="P12" i="6"/>
  <c r="O14" i="6"/>
  <c r="D7" i="6"/>
  <c r="D23" i="6" s="1"/>
  <c r="C14" i="6"/>
  <c r="K14" i="6"/>
  <c r="L7" i="6"/>
  <c r="H12" i="6"/>
  <c r="G10" i="5"/>
  <c r="G9" i="5"/>
  <c r="L23" i="3"/>
  <c r="G14" i="70"/>
  <c r="L5" i="4"/>
  <c r="K9" i="4"/>
  <c r="K10" i="4"/>
  <c r="G10" i="6"/>
  <c r="G9" i="6"/>
  <c r="D12" i="3"/>
  <c r="D29" i="3" s="1"/>
  <c r="C17" i="3"/>
  <c r="C16" i="3"/>
  <c r="C9" i="4"/>
  <c r="C10" i="4"/>
  <c r="D5" i="4"/>
  <c r="D22" i="4" s="1"/>
  <c r="K17" i="3"/>
  <c r="L12" i="3"/>
  <c r="L29" i="3" s="1"/>
  <c r="L5" i="2"/>
  <c r="K10" i="2"/>
  <c r="K9" i="2"/>
  <c r="D10" i="1"/>
  <c r="D9" i="1"/>
  <c r="K31" i="6" l="1"/>
  <c r="K4" i="8" s="1"/>
  <c r="K35" i="6"/>
  <c r="K31" i="5"/>
  <c r="K35" i="5"/>
  <c r="D23" i="2"/>
  <c r="D25" i="2" s="1"/>
  <c r="H31" i="6"/>
  <c r="H4" i="8" s="1"/>
  <c r="H35" i="6"/>
  <c r="G31" i="6"/>
  <c r="G4" i="8" s="1"/>
  <c r="G35" i="6"/>
  <c r="G31" i="5"/>
  <c r="G35" i="5"/>
  <c r="D24" i="4"/>
  <c r="D26" i="4" s="1"/>
  <c r="M43" i="88"/>
  <c r="M54" i="88"/>
  <c r="M44" i="88"/>
  <c r="M51" i="88"/>
  <c r="M50" i="88"/>
  <c r="M42" i="88"/>
  <c r="M52" i="88"/>
  <c r="M40" i="88"/>
  <c r="P8" i="88"/>
  <c r="S6" i="88" s="1"/>
  <c r="Q9" i="102"/>
  <c r="B36" i="5"/>
  <c r="B38" i="5" s="1"/>
  <c r="B40" i="5" s="1"/>
  <c r="B41" i="5" s="1"/>
  <c r="F36" i="5"/>
  <c r="H22" i="5"/>
  <c r="F36" i="4"/>
  <c r="F40" i="4" s="1"/>
  <c r="F41" i="4" s="1"/>
  <c r="F13" i="8" s="1"/>
  <c r="H22" i="4"/>
  <c r="H24" i="4" s="1"/>
  <c r="H26" i="4" s="1"/>
  <c r="H27" i="4" s="1"/>
  <c r="B31" i="2"/>
  <c r="F31" i="2"/>
  <c r="F33" i="2" s="1"/>
  <c r="F35" i="2" s="1"/>
  <c r="F36" i="2" s="1"/>
  <c r="H21" i="2"/>
  <c r="H23" i="2" s="1"/>
  <c r="H25" i="2" s="1"/>
  <c r="H26" i="2" s="1"/>
  <c r="H30" i="2" s="1"/>
  <c r="P22" i="2"/>
  <c r="N32" i="2"/>
  <c r="M21" i="102"/>
  <c r="M25" i="102"/>
  <c r="U6" i="8"/>
  <c r="V6" i="8" s="1"/>
  <c r="F9" i="8"/>
  <c r="L22" i="5"/>
  <c r="J36" i="5"/>
  <c r="J37" i="4"/>
  <c r="L23" i="4"/>
  <c r="L23" i="5"/>
  <c r="J37" i="5"/>
  <c r="I21" i="102"/>
  <c r="I25" i="102"/>
  <c r="R25" i="102"/>
  <c r="F37" i="5"/>
  <c r="H23" i="5"/>
  <c r="L21" i="2"/>
  <c r="L23" i="2" s="1"/>
  <c r="L25" i="2" s="1"/>
  <c r="L26" i="2" s="1"/>
  <c r="L30" i="2" s="1"/>
  <c r="J31" i="2"/>
  <c r="J33" i="2" s="1"/>
  <c r="J35" i="2" s="1"/>
  <c r="J36" i="2" s="1"/>
  <c r="J36" i="4"/>
  <c r="L22" i="4"/>
  <c r="B36" i="4"/>
  <c r="B37" i="4"/>
  <c r="B32" i="2"/>
  <c r="D14" i="4"/>
  <c r="H9" i="2"/>
  <c r="L9" i="6"/>
  <c r="L23" i="6"/>
  <c r="J36" i="6"/>
  <c r="N37" i="6"/>
  <c r="P23" i="6"/>
  <c r="M9" i="102"/>
  <c r="J10" i="102"/>
  <c r="M6" i="102"/>
  <c r="M7" i="102" s="1"/>
  <c r="L10" i="102"/>
  <c r="E9" i="102"/>
  <c r="I9" i="102"/>
  <c r="M11" i="102"/>
  <c r="D6" i="102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M32" i="88"/>
  <c r="M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M35" i="88"/>
  <c r="M33" i="88"/>
  <c r="C21" i="102"/>
  <c r="E5" i="102"/>
  <c r="E14" i="102"/>
  <c r="M14" i="102"/>
  <c r="C5" i="102"/>
  <c r="D9" i="102"/>
  <c r="D21" i="102"/>
  <c r="F25" i="102"/>
  <c r="D9" i="70"/>
  <c r="Y11" i="70" s="1"/>
  <c r="H9" i="4"/>
  <c r="H10" i="4"/>
  <c r="H10" i="2"/>
  <c r="K39" i="3"/>
  <c r="D22" i="70"/>
  <c r="C18" i="70"/>
  <c r="G25" i="3"/>
  <c r="G27" i="3" s="1"/>
  <c r="G28" i="3" s="1"/>
  <c r="G39" i="3" s="1"/>
  <c r="L9" i="5"/>
  <c r="K6" i="8"/>
  <c r="H14" i="2"/>
  <c r="D9" i="2"/>
  <c r="D10" i="2"/>
  <c r="D14" i="2"/>
  <c r="G6" i="8"/>
  <c r="F44" i="103"/>
  <c r="F45" i="103" s="1"/>
  <c r="C5" i="70"/>
  <c r="O39" i="3"/>
  <c r="H31" i="3"/>
  <c r="H33" i="3" s="1"/>
  <c r="H34" i="3" s="1"/>
  <c r="L14" i="5"/>
  <c r="L10" i="5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H16" i="3"/>
  <c r="H10" i="3"/>
  <c r="H19" i="3"/>
  <c r="H9" i="3"/>
  <c r="N40" i="3"/>
  <c r="P10" i="3"/>
  <c r="D9" i="5"/>
  <c r="H17" i="3"/>
  <c r="N41" i="3"/>
  <c r="J41" i="3"/>
  <c r="J42" i="3" s="1"/>
  <c r="L19" i="3"/>
  <c r="P14" i="5"/>
  <c r="C10" i="6"/>
  <c r="O17" i="3"/>
  <c r="C9" i="6"/>
  <c r="D5" i="6"/>
  <c r="O16" i="3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8" i="70"/>
  <c r="P9" i="3"/>
  <c r="P19" i="3"/>
  <c r="H14" i="5"/>
  <c r="H10" i="5"/>
  <c r="P14" i="2"/>
  <c r="L10" i="6"/>
  <c r="D19" i="3"/>
  <c r="H14" i="6"/>
  <c r="L14" i="6"/>
  <c r="J37" i="6"/>
  <c r="P14" i="6"/>
  <c r="B37" i="6"/>
  <c r="D14" i="6"/>
  <c r="L10" i="4"/>
  <c r="L9" i="4"/>
  <c r="H9" i="6"/>
  <c r="H10" i="6"/>
  <c r="F36" i="6"/>
  <c r="F38" i="6" s="1"/>
  <c r="F40" i="6" s="1"/>
  <c r="L10" i="2"/>
  <c r="L9" i="2"/>
  <c r="D9" i="4"/>
  <c r="D10" i="4"/>
  <c r="L17" i="3"/>
  <c r="L16" i="3"/>
  <c r="D16" i="3"/>
  <c r="D17" i="3"/>
  <c r="H31" i="4" l="1"/>
  <c r="H35" i="4"/>
  <c r="L24" i="6"/>
  <c r="L26" i="6" s="1"/>
  <c r="L27" i="6" s="1"/>
  <c r="S4" i="88"/>
  <c r="S3" i="88"/>
  <c r="S5" i="88"/>
  <c r="S7" i="88"/>
  <c r="F38" i="5"/>
  <c r="F40" i="5" s="1"/>
  <c r="F41" i="5" s="1"/>
  <c r="F14" i="8" s="1"/>
  <c r="L24" i="5"/>
  <c r="L26" i="5" s="1"/>
  <c r="L27" i="5" s="1"/>
  <c r="L35" i="5" s="1"/>
  <c r="H24" i="5"/>
  <c r="H26" i="5" s="1"/>
  <c r="H27" i="5" s="1"/>
  <c r="H35" i="5" s="1"/>
  <c r="B36" i="6"/>
  <c r="B38" i="6" s="1"/>
  <c r="D22" i="6"/>
  <c r="D24" i="6" s="1"/>
  <c r="D26" i="6" s="1"/>
  <c r="J38" i="5"/>
  <c r="J40" i="5" s="1"/>
  <c r="J41" i="5" s="1"/>
  <c r="J14" i="8" s="1"/>
  <c r="B33" i="2"/>
  <c r="B35" i="2" s="1"/>
  <c r="B36" i="2" s="1"/>
  <c r="D10" i="102"/>
  <c r="J38" i="6"/>
  <c r="J40" i="6" s="1"/>
  <c r="J41" i="6" s="1"/>
  <c r="J12" i="8" s="1"/>
  <c r="I63" i="88"/>
  <c r="P20" i="5"/>
  <c r="O20" i="5"/>
  <c r="N20" i="5"/>
  <c r="I61" i="88"/>
  <c r="P19" i="2"/>
  <c r="N19" i="2"/>
  <c r="O19" i="2"/>
  <c r="I62" i="88"/>
  <c r="N20" i="4"/>
  <c r="P20" i="4"/>
  <c r="O20" i="4"/>
  <c r="I59" i="88"/>
  <c r="O20" i="6"/>
  <c r="P20" i="6"/>
  <c r="N20" i="6"/>
  <c r="I60" i="88"/>
  <c r="L24" i="4"/>
  <c r="L26" i="4" s="1"/>
  <c r="L27" i="4" s="1"/>
  <c r="L31" i="4" s="1"/>
  <c r="J38" i="4"/>
  <c r="J40" i="4" s="1"/>
  <c r="J41" i="4" s="1"/>
  <c r="J13" i="8" s="1"/>
  <c r="G9" i="8"/>
  <c r="B38" i="4"/>
  <c r="B40" i="4" s="1"/>
  <c r="B41" i="4" s="1"/>
  <c r="B13" i="8" s="1"/>
  <c r="I6" i="102"/>
  <c r="I7" i="102" s="1"/>
  <c r="L10" i="1"/>
  <c r="J29" i="1"/>
  <c r="J31" i="1" s="1"/>
  <c r="J33" i="1" s="1"/>
  <c r="J34" i="1" s="1"/>
  <c r="C25" i="70"/>
  <c r="D20" i="70"/>
  <c r="D25" i="70" s="1"/>
  <c r="B11" i="70"/>
  <c r="B12" i="70"/>
  <c r="B7" i="102"/>
  <c r="E6" i="102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2" i="102"/>
  <c r="F23" i="70"/>
  <c r="H26" i="102"/>
  <c r="F10" i="102"/>
  <c r="F21" i="102"/>
  <c r="G25" i="102"/>
  <c r="D5" i="102"/>
  <c r="D34" i="102"/>
  <c r="F9" i="102"/>
  <c r="Z12" i="70"/>
  <c r="Z11" i="70"/>
  <c r="F22" i="70"/>
  <c r="D18" i="70"/>
  <c r="L9" i="1"/>
  <c r="H39" i="3"/>
  <c r="D5" i="70"/>
  <c r="F44" i="3"/>
  <c r="F45" i="3" s="1"/>
  <c r="P17" i="3"/>
  <c r="P29" i="3"/>
  <c r="P31" i="3" s="1"/>
  <c r="P33" i="3" s="1"/>
  <c r="P34" i="3" s="1"/>
  <c r="P39" i="3" s="1"/>
  <c r="L39" i="3"/>
  <c r="J44" i="3"/>
  <c r="J45" i="3" s="1"/>
  <c r="F41" i="6"/>
  <c r="F12" i="8" s="1"/>
  <c r="B14" i="8"/>
  <c r="N42" i="3"/>
  <c r="D9" i="6"/>
  <c r="D10" i="6"/>
  <c r="H39" i="103"/>
  <c r="P29" i="103"/>
  <c r="P31" i="103" s="1"/>
  <c r="P33" i="103" s="1"/>
  <c r="P34" i="103" s="1"/>
  <c r="P39" i="103" s="1"/>
  <c r="P17" i="103"/>
  <c r="P16" i="103"/>
  <c r="F9" i="70"/>
  <c r="D28" i="70"/>
  <c r="L31" i="6" l="1"/>
  <c r="L4" i="8" s="1"/>
  <c r="L35" i="6"/>
  <c r="L6" i="8"/>
  <c r="L31" i="5"/>
  <c r="I65" i="88"/>
  <c r="H6" i="8"/>
  <c r="H31" i="5"/>
  <c r="I11" i="102"/>
  <c r="G59" i="88"/>
  <c r="E59" i="88"/>
  <c r="C59" i="88"/>
  <c r="E61" i="88"/>
  <c r="C61" i="88"/>
  <c r="G61" i="88"/>
  <c r="G60" i="88"/>
  <c r="E60" i="88"/>
  <c r="C60" i="88"/>
  <c r="G62" i="88"/>
  <c r="E62" i="88"/>
  <c r="C62" i="88"/>
  <c r="E63" i="88"/>
  <c r="C63" i="88"/>
  <c r="G63" i="88"/>
  <c r="H9" i="8"/>
  <c r="F20" i="70"/>
  <c r="G20" i="70" s="1"/>
  <c r="H20" i="70" s="1"/>
  <c r="J20" i="70" s="1"/>
  <c r="K20" i="70" s="1"/>
  <c r="L20" i="70" s="1"/>
  <c r="D24" i="70"/>
  <c r="C7" i="102"/>
  <c r="D7" i="102" s="1"/>
  <c r="B12" i="102"/>
  <c r="B11" i="102"/>
  <c r="C27" i="102"/>
  <c r="C28" i="102"/>
  <c r="E33" i="102"/>
  <c r="E10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40" i="6"/>
  <c r="B41" i="6" s="1"/>
  <c r="B12" i="8" s="1"/>
  <c r="F18" i="70"/>
  <c r="G22" i="70"/>
  <c r="I23" i="70" s="1"/>
  <c r="F5" i="70"/>
  <c r="N44" i="3"/>
  <c r="N45" i="3" s="1"/>
  <c r="F28" i="70"/>
  <c r="G9" i="70"/>
  <c r="Y15" i="88" l="1"/>
  <c r="N4" i="88"/>
  <c r="Y16" i="88"/>
  <c r="N5" i="88"/>
  <c r="P4" i="2" s="1"/>
  <c r="W17" i="88"/>
  <c r="M6" i="88"/>
  <c r="O4" i="4" s="1"/>
  <c r="U14" i="88"/>
  <c r="L3" i="88"/>
  <c r="U16" i="88"/>
  <c r="L5" i="88"/>
  <c r="N4" i="2" s="1"/>
  <c r="U17" i="88"/>
  <c r="L6" i="88"/>
  <c r="N4" i="4" s="1"/>
  <c r="W16" i="88"/>
  <c r="M5" i="88"/>
  <c r="O4" i="2" s="1"/>
  <c r="Y18" i="88"/>
  <c r="N7" i="88"/>
  <c r="P4" i="5" s="1"/>
  <c r="W14" i="88"/>
  <c r="M3" i="88"/>
  <c r="O4" i="6" s="1"/>
  <c r="Y17" i="88"/>
  <c r="N6" i="88"/>
  <c r="P4" i="4" s="1"/>
  <c r="U18" i="88"/>
  <c r="L7" i="88"/>
  <c r="N4" i="5" s="1"/>
  <c r="U15" i="88"/>
  <c r="L4" i="88"/>
  <c r="W18" i="88"/>
  <c r="M7" i="88"/>
  <c r="O4" i="5" s="1"/>
  <c r="W15" i="88"/>
  <c r="M4" i="88"/>
  <c r="Y14" i="88"/>
  <c r="N3" i="88"/>
  <c r="P4" i="6" s="1"/>
  <c r="F24" i="70"/>
  <c r="F25" i="70"/>
  <c r="C11" i="102"/>
  <c r="C12" i="102"/>
  <c r="E10" i="70"/>
  <c r="E11" i="70" s="1"/>
  <c r="F7" i="70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K9" i="102" l="1"/>
  <c r="J5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34" i="102"/>
  <c r="H27" i="102"/>
  <c r="J25" i="102"/>
  <c r="J21" i="102" s="1"/>
  <c r="H28" i="102"/>
  <c r="L9" i="102" l="1"/>
  <c r="K5" i="102"/>
  <c r="H7" i="102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J7" i="102" l="1"/>
  <c r="J11" i="102" s="1"/>
  <c r="I10" i="102"/>
  <c r="L5" i="102"/>
  <c r="N9" i="102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K7" i="102" l="1"/>
  <c r="L7" i="102" s="1"/>
  <c r="M10" i="102" s="1"/>
  <c r="N5" i="102"/>
  <c r="O9" i="102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K11" i="102" l="1"/>
  <c r="L11" i="102"/>
  <c r="O5" i="102"/>
  <c r="P9" i="102"/>
  <c r="L11" i="70"/>
  <c r="L12" i="70"/>
  <c r="K12" i="102"/>
  <c r="P9" i="70"/>
  <c r="O5" i="70"/>
  <c r="O28" i="70"/>
  <c r="P22" i="70"/>
  <c r="N34" i="102"/>
  <c r="O25" i="102"/>
  <c r="O21" i="102" s="1"/>
  <c r="P5" i="102" l="1"/>
  <c r="L12" i="102"/>
  <c r="Q10" i="70"/>
  <c r="P18" i="70"/>
  <c r="Q23" i="70"/>
  <c r="P5" i="70"/>
  <c r="P25" i="102"/>
  <c r="P21" i="102" s="1"/>
  <c r="O34" i="102"/>
  <c r="P34" i="102" l="1"/>
  <c r="O4" i="1"/>
  <c r="P4" i="1"/>
  <c r="B11" i="103"/>
  <c r="B12" i="103" s="1"/>
  <c r="B17" i="103" s="1"/>
  <c r="D11" i="103"/>
  <c r="C11" i="103"/>
  <c r="P8" i="6" l="1"/>
  <c r="P8" i="2"/>
  <c r="O6" i="88"/>
  <c r="Q34" i="88" s="1"/>
  <c r="O5" i="88"/>
  <c r="N4" i="6"/>
  <c r="O3" i="88"/>
  <c r="Q31" i="88" s="1"/>
  <c r="N8" i="5"/>
  <c r="O7" i="88"/>
  <c r="O4" i="88"/>
  <c r="Q32" i="88" s="1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R3" i="5" l="1"/>
  <c r="Q35" i="88"/>
  <c r="R3" i="4"/>
  <c r="R3" i="2"/>
  <c r="Q33" i="88"/>
  <c r="R3" i="6"/>
  <c r="O13" i="102"/>
  <c r="O13" i="70"/>
  <c r="L22" i="88"/>
  <c r="P13" i="102"/>
  <c r="P13" i="70"/>
  <c r="M22" i="88"/>
  <c r="N13" i="102"/>
  <c r="N13" i="70"/>
  <c r="K22" i="88"/>
  <c r="R4" i="1"/>
  <c r="Q4" i="1"/>
  <c r="Q7" i="88"/>
  <c r="Q5" i="88"/>
  <c r="Q3" i="88"/>
  <c r="Q6" i="88"/>
  <c r="Q4" i="88"/>
  <c r="B8" i="103"/>
  <c r="N5" i="6"/>
  <c r="Q4" i="5"/>
  <c r="R4" i="5" s="1"/>
  <c r="N5" i="5"/>
  <c r="N22" i="5" s="1"/>
  <c r="N24" i="5" s="1"/>
  <c r="N26" i="5" s="1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21" i="2" s="1"/>
  <c r="N23" i="2" s="1"/>
  <c r="N25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22" i="4" s="1"/>
  <c r="N24" i="4" s="1"/>
  <c r="N26" i="4" s="1"/>
  <c r="N8" i="4"/>
  <c r="B23" i="3"/>
  <c r="B10" i="3"/>
  <c r="B9" i="3"/>
  <c r="N5" i="1"/>
  <c r="N8" i="1"/>
  <c r="Q4" i="6"/>
  <c r="R4" i="6" s="1"/>
  <c r="D8" i="3"/>
  <c r="R5" i="1" l="1"/>
  <c r="S4" i="1"/>
  <c r="N9" i="6"/>
  <c r="N22" i="6"/>
  <c r="N24" i="6" s="1"/>
  <c r="N26" i="6" s="1"/>
  <c r="R7" i="5"/>
  <c r="R8" i="5" s="1"/>
  <c r="R7" i="6"/>
  <c r="R8" i="6" s="1"/>
  <c r="Q13" i="70"/>
  <c r="Q13" i="102"/>
  <c r="Q14" i="102" s="1"/>
  <c r="R5" i="5"/>
  <c r="R5" i="6"/>
  <c r="O19" i="70"/>
  <c r="O6" i="70"/>
  <c r="O6" i="102" s="1"/>
  <c r="O10" i="102" s="1"/>
  <c r="P19" i="70"/>
  <c r="P6" i="70"/>
  <c r="P6" i="102" s="1"/>
  <c r="P10" i="102" s="1"/>
  <c r="N6" i="70"/>
  <c r="N6" i="102" s="1"/>
  <c r="N22" i="88"/>
  <c r="R6" i="88"/>
  <c r="R3" i="88"/>
  <c r="R5" i="88"/>
  <c r="R7" i="88"/>
  <c r="R4" i="88"/>
  <c r="J14" i="70"/>
  <c r="R4" i="2"/>
  <c r="R4" i="4"/>
  <c r="N10" i="6"/>
  <c r="O5" i="6"/>
  <c r="O22" i="6" s="1"/>
  <c r="O24" i="6" s="1"/>
  <c r="O26" i="6" s="1"/>
  <c r="N14" i="70"/>
  <c r="O5" i="5"/>
  <c r="O22" i="5" s="1"/>
  <c r="O24" i="5" s="1"/>
  <c r="O26" i="5" s="1"/>
  <c r="N10" i="5"/>
  <c r="N9" i="5"/>
  <c r="N9" i="2"/>
  <c r="N10" i="2"/>
  <c r="B25" i="3"/>
  <c r="B27" i="3" s="1"/>
  <c r="B28" i="3" s="1"/>
  <c r="B39" i="3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22" i="4" s="1"/>
  <c r="O24" i="4" s="1"/>
  <c r="O26" i="4" s="1"/>
  <c r="C10" i="3"/>
  <c r="C9" i="3"/>
  <c r="C23" i="3"/>
  <c r="N14" i="102"/>
  <c r="P14" i="102"/>
  <c r="O14" i="102"/>
  <c r="O5" i="2"/>
  <c r="O21" i="2" s="1"/>
  <c r="O23" i="2" s="1"/>
  <c r="O25" i="2" s="1"/>
  <c r="R7" i="2" l="1"/>
  <c r="R8" i="2" s="1"/>
  <c r="S4" i="2"/>
  <c r="R7" i="4"/>
  <c r="R8" i="4" s="1"/>
  <c r="Q6" i="102"/>
  <c r="Q7" i="102" s="1"/>
  <c r="N10" i="102"/>
  <c r="R6" i="102"/>
  <c r="N7" i="102"/>
  <c r="O9" i="6"/>
  <c r="R5" i="4"/>
  <c r="R5" i="2"/>
  <c r="P10" i="70"/>
  <c r="F26" i="88"/>
  <c r="O22" i="88"/>
  <c r="N19" i="70"/>
  <c r="N23" i="88"/>
  <c r="P22" i="102"/>
  <c r="P26" i="102" s="1"/>
  <c r="P23" i="70"/>
  <c r="Q6" i="70"/>
  <c r="N10" i="70"/>
  <c r="R6" i="70"/>
  <c r="N7" i="70"/>
  <c r="O10" i="70"/>
  <c r="O22" i="102"/>
  <c r="O26" i="102" s="1"/>
  <c r="O23" i="70"/>
  <c r="O10" i="5"/>
  <c r="O10" i="6"/>
  <c r="O9" i="5"/>
  <c r="P5" i="5"/>
  <c r="L14" i="70"/>
  <c r="K14" i="70"/>
  <c r="P5" i="6"/>
  <c r="O14" i="70"/>
  <c r="P14" i="70"/>
  <c r="D9" i="103"/>
  <c r="B44" i="103"/>
  <c r="B45" i="103" s="1"/>
  <c r="D25" i="3"/>
  <c r="D27" i="3" s="1"/>
  <c r="D28" i="3" s="1"/>
  <c r="D39" i="3" s="1"/>
  <c r="B44" i="3"/>
  <c r="B45" i="3" s="1"/>
  <c r="C25" i="3"/>
  <c r="C27" i="3" s="1"/>
  <c r="C28" i="3" s="1"/>
  <c r="C39" i="3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O9" i="4"/>
  <c r="O10" i="4"/>
  <c r="P5" i="4"/>
  <c r="O10" i="1"/>
  <c r="O9" i="1"/>
  <c r="P5" i="1"/>
  <c r="N29" i="1" s="1"/>
  <c r="N31" i="1" s="1"/>
  <c r="N33" i="1" s="1"/>
  <c r="N34" i="1" s="1"/>
  <c r="O10" i="2"/>
  <c r="O9" i="2"/>
  <c r="P5" i="2"/>
  <c r="P22" i="5" l="1"/>
  <c r="P24" i="5" s="1"/>
  <c r="P26" i="5" s="1"/>
  <c r="N36" i="5"/>
  <c r="N38" i="5" s="1"/>
  <c r="N40" i="5" s="1"/>
  <c r="P10" i="4"/>
  <c r="N36" i="4"/>
  <c r="N38" i="4" s="1"/>
  <c r="N40" i="4" s="1"/>
  <c r="N41" i="4" s="1"/>
  <c r="N13" i="8" s="1"/>
  <c r="Q13" i="8" s="1"/>
  <c r="P22" i="4"/>
  <c r="P24" i="4" s="1"/>
  <c r="P26" i="4" s="1"/>
  <c r="P21" i="2"/>
  <c r="P23" i="2" s="1"/>
  <c r="P25" i="2" s="1"/>
  <c r="N31" i="2"/>
  <c r="N33" i="2" s="1"/>
  <c r="N35" i="2" s="1"/>
  <c r="N36" i="2" s="1"/>
  <c r="N36" i="6"/>
  <c r="N38" i="6" s="1"/>
  <c r="N40" i="6" s="1"/>
  <c r="N41" i="6" s="1"/>
  <c r="N12" i="8" s="1"/>
  <c r="Q12" i="8" s="1"/>
  <c r="P22" i="6"/>
  <c r="P24" i="6" s="1"/>
  <c r="P26" i="6" s="1"/>
  <c r="O7" i="102"/>
  <c r="N11" i="102"/>
  <c r="R5" i="102"/>
  <c r="R7" i="102"/>
  <c r="N22" i="102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T6" i="102"/>
  <c r="O7" i="70"/>
  <c r="P9" i="5"/>
  <c r="P9" i="6"/>
  <c r="P10" i="6"/>
  <c r="P10" i="5"/>
  <c r="P9" i="4"/>
  <c r="P10" i="2"/>
  <c r="P9" i="2"/>
  <c r="P10" i="1"/>
  <c r="P9" i="1"/>
  <c r="U6" i="102" l="1"/>
  <c r="U3" i="102"/>
  <c r="P7" i="102"/>
  <c r="Q10" i="102" s="1"/>
  <c r="O11" i="102"/>
  <c r="N12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R23" i="102" s="1"/>
  <c r="N23" i="102"/>
  <c r="Q18" i="70"/>
  <c r="P11" i="102" l="1"/>
  <c r="Q23" i="102"/>
  <c r="T22" i="102"/>
  <c r="Q33" i="102"/>
  <c r="B27" i="88"/>
  <c r="E27" i="88" s="1"/>
  <c r="R19" i="102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O12" i="102"/>
  <c r="R21" i="102" l="1"/>
  <c r="R20" i="102"/>
  <c r="U19" i="102"/>
  <c r="U22" i="102"/>
  <c r="I27" i="88"/>
  <c r="G27" i="88"/>
  <c r="S19" i="102"/>
  <c r="P23" i="102"/>
  <c r="O28" i="102"/>
  <c r="O27" i="102"/>
  <c r="P12" i="102"/>
  <c r="P25" i="70"/>
  <c r="P24" i="70"/>
  <c r="P28" i="102" l="1"/>
  <c r="P27" i="102"/>
  <c r="B21" i="4"/>
  <c r="B21" i="5" l="1"/>
  <c r="B25" i="5" s="1"/>
  <c r="B27" i="5" s="1"/>
  <c r="C21" i="5"/>
  <c r="C25" i="5" s="1"/>
  <c r="C27" i="5" s="1"/>
  <c r="D21" i="5"/>
  <c r="D25" i="5" s="1"/>
  <c r="D27" i="5" s="1"/>
  <c r="C21" i="6"/>
  <c r="C25" i="6" s="1"/>
  <c r="C27" i="6" s="1"/>
  <c r="B21" i="6"/>
  <c r="B25" i="6" s="1"/>
  <c r="B27" i="6" s="1"/>
  <c r="D21" i="6"/>
  <c r="D25" i="6" s="1"/>
  <c r="D27" i="6" s="1"/>
  <c r="D21" i="4"/>
  <c r="D25" i="4" s="1"/>
  <c r="D27" i="4" s="1"/>
  <c r="C21" i="4"/>
  <c r="C25" i="4" s="1"/>
  <c r="C27" i="4" s="1"/>
  <c r="B25" i="4"/>
  <c r="B27" i="4" s="1"/>
  <c r="B20" i="2"/>
  <c r="B24" i="2" s="1"/>
  <c r="B26" i="2" s="1"/>
  <c r="B30" i="2" s="1"/>
  <c r="D20" i="2"/>
  <c r="D24" i="2" s="1"/>
  <c r="D26" i="2" s="1"/>
  <c r="D30" i="2" s="1"/>
  <c r="C20" i="2"/>
  <c r="C24" i="2" s="1"/>
  <c r="C26" i="2" s="1"/>
  <c r="C30" i="2" s="1"/>
  <c r="C31" i="4" l="1"/>
  <c r="C5" i="8" s="1"/>
  <c r="C35" i="4"/>
  <c r="B31" i="6"/>
  <c r="B4" i="8" s="1"/>
  <c r="B35" i="6"/>
  <c r="C31" i="6"/>
  <c r="C4" i="8" s="1"/>
  <c r="C35" i="6"/>
  <c r="D31" i="4"/>
  <c r="D5" i="8" s="1"/>
  <c r="D35" i="4"/>
  <c r="D31" i="6"/>
  <c r="D4" i="8" s="1"/>
  <c r="D35" i="6"/>
  <c r="D31" i="5"/>
  <c r="D6" i="8" s="1"/>
  <c r="D35" i="5"/>
  <c r="C31" i="5"/>
  <c r="C6" i="8" s="1"/>
  <c r="C35" i="5"/>
  <c r="B31" i="4"/>
  <c r="B5" i="8" s="1"/>
  <c r="B35" i="4"/>
  <c r="B31" i="5"/>
  <c r="B6" i="8" s="1"/>
  <c r="B35" i="5"/>
  <c r="O20" i="2"/>
  <c r="O24" i="2" s="1"/>
  <c r="O26" i="2" s="1"/>
  <c r="O30" i="2" s="1"/>
  <c r="P21" i="4"/>
  <c r="P25" i="4" s="1"/>
  <c r="P27" i="4" s="1"/>
  <c r="P31" i="4" s="1"/>
  <c r="N21" i="6"/>
  <c r="N25" i="6" s="1"/>
  <c r="N27" i="6" s="1"/>
  <c r="O21" i="5"/>
  <c r="O25" i="5" s="1"/>
  <c r="O27" i="5" s="1"/>
  <c r="D9" i="8" l="1"/>
  <c r="N31" i="6"/>
  <c r="N4" i="8" s="1"/>
  <c r="N35" i="6"/>
  <c r="C9" i="8"/>
  <c r="B9" i="8"/>
  <c r="O6" i="8"/>
  <c r="O31" i="5"/>
  <c r="P21" i="5"/>
  <c r="P25" i="5" s="1"/>
  <c r="P27" i="5" s="1"/>
  <c r="O21" i="4"/>
  <c r="O25" i="4" s="1"/>
  <c r="O27" i="4" s="1"/>
  <c r="O31" i="4" s="1"/>
  <c r="O21" i="6"/>
  <c r="O25" i="6" s="1"/>
  <c r="O27" i="6" s="1"/>
  <c r="P20" i="2"/>
  <c r="P24" i="2" s="1"/>
  <c r="P26" i="2" s="1"/>
  <c r="P30" i="2" s="1"/>
  <c r="N21" i="4"/>
  <c r="N25" i="4" s="1"/>
  <c r="N27" i="4" s="1"/>
  <c r="N31" i="4" s="1"/>
  <c r="N20" i="2"/>
  <c r="N24" i="2" s="1"/>
  <c r="N26" i="2" s="1"/>
  <c r="N30" i="2" s="1"/>
  <c r="N21" i="5"/>
  <c r="N25" i="5" s="1"/>
  <c r="N27" i="5" s="1"/>
  <c r="P21" i="6"/>
  <c r="P25" i="6" s="1"/>
  <c r="P27" i="6" s="1"/>
  <c r="O31" i="6" l="1"/>
  <c r="O4" i="8" s="1"/>
  <c r="O35" i="6"/>
  <c r="P31" i="6"/>
  <c r="P4" i="8" s="1"/>
  <c r="Q4" i="8" s="1"/>
  <c r="P35" i="6"/>
  <c r="P6" i="8"/>
  <c r="P31" i="5"/>
  <c r="N6" i="8"/>
  <c r="Q6" i="8" s="1"/>
  <c r="N31" i="5"/>
  <c r="N41" i="5"/>
  <c r="N14" i="8" s="1"/>
  <c r="Q14" i="8" s="1"/>
  <c r="Q5" i="8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C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</t>
        </r>
      </text>
    </comment>
    <comment ref="M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Bartkowe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M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M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Bartkowe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 O.</author>
    <author>katarzynao</author>
  </authors>
  <commentList>
    <comment ref="M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Bartkowe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I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adekwatnego okresu roku roku poprzedniego</t>
        </r>
      </text>
    </comment>
    <comment ref="M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Q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E10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Katarzyna O.:
zakładany wzrost % 
PS po 1 kw.
</t>
        </r>
      </text>
    </comment>
    <comment ref="I10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pół roku
</t>
        </r>
      </text>
    </comment>
    <comment ref="M10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3 kwartałach
</t>
        </r>
      </text>
    </comment>
    <comment ref="Q10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4 kwartałąch
</t>
        </r>
      </text>
    </comment>
    <comment ref="I11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Zakładana kwota wzrostu w stosunku do adekwatnego okresu roku poprzedniego 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R20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Poziom % marży z ubiegłego roku</t>
        </r>
      </text>
    </comment>
    <comment ref="M25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</commentList>
</comments>
</file>

<file path=xl/comments7.xml><?xml version="1.0" encoding="utf-8"?>
<comments xmlns="http://schemas.openxmlformats.org/spreadsheetml/2006/main">
  <authors>
    <author>Katarzyna O.</author>
  </authors>
  <commentList>
    <comment ref="S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Zastanowić się przy planowaniu IPS na IV kwartał nad wzięciem wskaźnika % z wyników 3 kwartałów br.</t>
        </r>
      </text>
    </comment>
    <comment ref="J5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Wstawić wskaźniki % wynikające z podsumowania 3 kwartałów roku aktualnego (zaokrąglić do dwóch miejsc po przecinku)
</t>
        </r>
      </text>
    </comment>
    <comment ref="J5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S3 po podsumowaniu 3 kwartałów</t>
        </r>
      </text>
    </comment>
    <comment ref="J60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S4 po podsumowaniu 3 kwartałów</t>
        </r>
      </text>
    </comment>
    <comment ref="J6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S5 po podsumowaniu 3 kwartałów</t>
        </r>
      </text>
    </comment>
    <comment ref="J6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S6 po podsumowaniu 3 kwartałów</t>
        </r>
      </text>
    </comment>
    <comment ref="J6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S7 po podsumowaniu 3 kwartałów</t>
        </r>
      </text>
    </comment>
  </commentList>
</comments>
</file>

<file path=xl/comments8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0.xml><?xml version="1.0" encoding="utf-8"?>
<comments xmlns="http://schemas.openxmlformats.org/spreadsheetml/2006/main">
  <authors>
    <author>Katarzyna O.</author>
    <author>katarzynao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M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<sst xmlns="http://schemas.openxmlformats.org/spreadsheetml/2006/main" count="1037" uniqueCount="246">
  <si>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</si>
  <si>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</si>
  <si>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</si>
  <si>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</si>
  <si>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</si>
  <si>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</si>
  <si>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</si>
  <si>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</si>
  <si>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</si>
  <si>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</si>
  <si>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</si>
  <si>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</si>
  <si>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</si>
  <si>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</si>
  <si>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</si>
  <si>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</si>
  <si>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</si>
  <si>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</si>
  <si>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</si>
  <si>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</si>
  <si>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</si>
  <si>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</si>
  <si>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</si>
  <si>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</si>
  <si>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</si>
  <si>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</si>
  <si>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</si>
  <si>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</si>
  <si>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</si>
  <si>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</si>
  <si>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</si>
  <si>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</si>
  <si>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</si>
  <si>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</si>
  <si>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</si>
  <si>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</si>
  <si>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</si>
  <si>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</si>
  <si>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</si>
  <si>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</si>
  <si>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</si>
  <si>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</si>
  <si>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</si>
  <si>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</si>
  <si>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</si>
  <si>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</si>
  <si>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</si>
  <si>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</si>
  <si>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</si>
  <si>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</si>
  <si>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</si>
  <si>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</si>
  <si>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</si>
  <si>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</si>
  <si>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</si>
  <si>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</si>
  <si>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</si>
  <si>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</si>
  <si>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</si>
  <si>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</si>
  <si>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</si>
  <si>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</si>
  <si>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</si>
  <si>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</si>
  <si>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</si>
  <si>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</si>
  <si>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</si>
  <si>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</si>
  <si>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</si>
  <si>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</si>
  <si>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</si>
  <si>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</si>
  <si>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</si>
  <si>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</si>
  <si>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</si>
  <si>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</si>
  <si>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</si>
  <si>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</si>
  <si>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</si>
  <si>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</si>
  <si>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</si>
  <si>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</si>
  <si>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</si>
  <si>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</si>
  <si>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</si>
  <si>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</si>
  <si>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</si>
  <si>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</si>
  <si>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</si>
  <si>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</si>
  <si>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</si>
  <si>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</si>
  <si>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</si>
  <si>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</si>
  <si>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</si>
  <si>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</si>
  <si>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</si>
  <si>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</si>
  <si>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</si>
  <si>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</si>
  <si>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</si>
  <si>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</si>
  <si>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</si>
  <si>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</si>
  <si>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</si>
  <si>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</si>
  <si>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</si>
  <si>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</si>
  <si>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</si>
  <si>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</si>
  <si>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</si>
  <si>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</si>
  <si>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</si>
  <si>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</si>
  <si>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</si>
  <si>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</si>
  <si>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</si>
  <si>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</si>
  <si>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</si>
  <si>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</si>
  <si>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</si>
  <si>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</si>
  <si>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</si>
  <si>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</si>
  <si>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</si>
  <si>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</si>
  <si>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</si>
  <si>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</si>
  <si>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</si>
  <si>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</si>
  <si>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</si>
  <si>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</si>
  <si>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</si>
  <si>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</si>
  <si>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</si>
  <si>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</si>
  <si>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</si>
  <si>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</si>
  <si>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</si>
  <si>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</si>
  <si>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</si>
  <si>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</si>
  <si>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</si>
  <si>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</si>
  <si>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</si>
  <si>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</si>
  <si>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</si>
  <si>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</si>
  <si>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</si>
  <si>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</si>
  <si>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</si>
  <si>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</si>
  <si>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</si>
  <si>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</si>
  <si>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</si>
  <si>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</si>
  <si>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</si>
  <si>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</si>
  <si>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</si>
  <si>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</si>
  <si>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</si>
  <si>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</si>
  <si>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</si>
  <si>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</si>
  <si>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</si>
  <si>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</si>
  <si>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</si>
  <si>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</si>
  <si>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</si>
  <si>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</si>
  <si>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</si>
  <si>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</si>
  <si>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</si>
  <si>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</si>
  <si>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</si>
  <si>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</si>
  <si>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PLAN IV KW Krzysztof Szwajdych</t>
  </si>
  <si>
    <t>Miesięczny Obrót</t>
  </si>
  <si>
    <t>Sumaryczny Obrót</t>
  </si>
  <si>
    <t>-</t>
  </si>
  <si>
    <t>II KW</t>
  </si>
  <si>
    <t>wynagr.zasad</t>
  </si>
  <si>
    <t>Realizacja suma Q</t>
  </si>
  <si>
    <t>% sumy real.Q</t>
  </si>
  <si>
    <t>% real rocznego PS</t>
  </si>
  <si>
    <t>% PSDH</t>
  </si>
  <si>
    <t>% sumy real rocznej</t>
  </si>
  <si>
    <t>Grupa RCKIK</t>
  </si>
  <si>
    <t>Wysokość % Marży miesięcznej</t>
  </si>
  <si>
    <t>Wysokość % Marży sumarycznej</t>
  </si>
  <si>
    <t>Premia kwartalna dodatkowa</t>
  </si>
  <si>
    <t>III KW</t>
  </si>
  <si>
    <t>IV KW</t>
  </si>
  <si>
    <t>średnia</t>
  </si>
  <si>
    <t>PREMIA DODATKOWA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</si>
  <si>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</si>
  <si>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 xml:space="preserve">PLAN SPRZEDAŻY </t>
  </si>
  <si>
    <t>Indywidualny Plan Sprzedaży Marża</t>
  </si>
  <si>
    <t>Sumaryczny Indywidulany Plan Sprzedaży Marża</t>
  </si>
  <si>
    <t>Sumaryczna realizacja Planu Sprzedaży Marża</t>
  </si>
  <si>
    <t>Wysokość % zrealizowania IPSM miesięcznego</t>
  </si>
  <si>
    <t>Wysokość % zrealizowania IPSM sumarycznego</t>
  </si>
  <si>
    <t xml:space="preserve">Różnica </t>
  </si>
  <si>
    <t>Wysokość Kwoty bazowej na dany okres</t>
  </si>
  <si>
    <t xml:space="preserve">Wysokość Indywidualnej Kwoty bazowej </t>
  </si>
  <si>
    <t>Ind. Kwota bazowa</t>
  </si>
  <si>
    <t>Kwota bazowa</t>
  </si>
  <si>
    <t>Udział % w PSM</t>
  </si>
  <si>
    <t>Udział % IPSM  w PSM</t>
  </si>
  <si>
    <t>Sumaryczny Indywidualny Plan Sprzedaży Marża</t>
  </si>
  <si>
    <t>premia 15</t>
  </si>
  <si>
    <t>zasadnicza</t>
  </si>
  <si>
    <t>suma mies</t>
  </si>
  <si>
    <t>Symulacja zarobków miesięcznych</t>
  </si>
  <si>
    <t>Premia dodatkowa</t>
  </si>
  <si>
    <t>PSM</t>
  </si>
  <si>
    <t>Marża 2025</t>
  </si>
  <si>
    <t>Obrót 2025</t>
  </si>
  <si>
    <t>Sumaryczna Marża 2025</t>
  </si>
  <si>
    <t>Sumaryczny Obrót 2025</t>
  </si>
  <si>
    <t>Wzrost Marży 2026 w stos do Marży 2025</t>
  </si>
  <si>
    <t>Wzrost Obrotu 2026 w stos do Obrotu 2025</t>
  </si>
  <si>
    <t>Wysokość premi dodatkowej</t>
  </si>
  <si>
    <t>Mnożnik premii dodatkowej</t>
  </si>
  <si>
    <t>Wysokość premii dodatkowej</t>
  </si>
  <si>
    <t xml:space="preserve">PLANY SPRZEDAŻY </t>
  </si>
  <si>
    <t xml:space="preserve">Wzrost Marży </t>
  </si>
  <si>
    <t>Marża rok poprzedni</t>
  </si>
  <si>
    <t>Obrót rok poprzedni</t>
  </si>
  <si>
    <t xml:space="preserve">Wzrost Obrotu 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</si>
  <si>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</si>
  <si>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</si>
  <si>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</si>
  <si>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</si>
  <si>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</si>
  <si>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</si>
  <si>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</si>
  <si>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</si>
  <si>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</si>
  <si>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</si>
  <si>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Udział% w PSM zaokr</t>
  </si>
  <si>
    <t>Premia 15% wynagrodzenia zasadniczego</t>
  </si>
  <si>
    <t>Suma premii za IPSM i CRM</t>
  </si>
  <si>
    <t>Suma wszystkich premii</t>
  </si>
  <si>
    <t>Krzysztof Szwajdych RCKIK</t>
  </si>
  <si>
    <t>Wzrost/spadek kwoty marży w stos. do adekw. okr.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</si>
</sst>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  <numFmt numFmtId="167" formatCode="0.0000%"/>
  </numFmts>
  <fonts count="42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00B050"/>
      <name val="Arial CE"/>
      <charset val="238"/>
    </font>
    <font>
      <b/>
      <sz val="8"/>
      <color rgb="FFFF0000"/>
      <name val="Arial CE"/>
      <charset val="238"/>
    </font>
    <font>
      <b/>
      <sz val="7"/>
      <color rgb="FF002060"/>
      <name val="Arial"/>
      <family val="2"/>
      <charset val="238"/>
    </font>
    <font>
      <sz val="10"/>
      <color rgb="FF0070C0"/>
      <name val="Arial CE"/>
      <charset val="238"/>
    </font>
    <font>
      <b/>
      <sz val="10"/>
      <color theme="3" tint="0.39997558519241921"/>
      <name val="Arial CE"/>
      <charset val="238"/>
    </font>
    <font>
      <b/>
      <sz val="8"/>
      <color theme="0" tint="-0.499984740745262"/>
      <name val="Arial"/>
      <family val="2"/>
    </font>
    <font>
      <b/>
      <sz val="8"/>
      <color theme="1" tint="0.499984740745262"/>
      <name val="Arial"/>
      <family val="2"/>
      <charset val="238"/>
    </font>
    <font>
      <b/>
      <sz val="8"/>
      <color theme="1" tint="0.499984740745262"/>
      <name val="Arial"/>
      <family val="2"/>
    </font>
    <font>
      <b/>
      <sz val="10"/>
      <color rgb="FF0070C0"/>
      <name val="Arial CE"/>
      <charset val="238"/>
    </font>
    <font>
      <sz val="8"/>
      <color rgb="FFFF0000"/>
      <name val="Arial"/>
      <family val="2"/>
      <charset val="238"/>
    </font>
    <font>
      <b/>
      <sz val="11"/>
      <color theme="3"/>
      <name val="Arial CE"/>
      <charset val="238"/>
    </font>
    <font>
      <b/>
      <sz val="8"/>
      <color rgb="FF7030A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theme="8" tint="-0.249977111117893"/>
      <name val="Arial"/>
      <family val="2"/>
      <charset val="238"/>
    </font>
    <font>
      <b/>
      <sz val="8"/>
      <color theme="8" tint="-0.249977111117893"/>
      <name val="Arial CE"/>
      <charset val="238"/>
    </font>
    <font>
      <b/>
      <sz val="10"/>
      <color theme="8" tint="-0.249977111117893"/>
      <name val="Arial CE"/>
      <charset val="238"/>
    </font>
    <font>
      <b/>
      <sz val="8"/>
      <color theme="9" tint="-0.249977111117893"/>
      <name val="Arial"/>
      <family val="2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715">
    <xf numFmtId="0" fontId="0" fillId="0" borderId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6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7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9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0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2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3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4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5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6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5" fillId="17" borderId="0" applyNumberFormat="0" applyBorder="0" applyAlignment="0" applyProtection="0"/>
    <xf numFmtId="0" fontId="276" fillId="18" borderId="0" applyNumberFormat="0" applyBorder="0" applyAlignment="0" applyProtection="0"/>
    <xf numFmtId="0" fontId="276" fillId="19" borderId="0" applyNumberFormat="0" applyBorder="0" applyAlignment="0" applyProtection="0"/>
    <xf numFmtId="0" fontId="276" fillId="20" borderId="0" applyNumberFormat="0" applyBorder="0" applyAlignment="0" applyProtection="0"/>
    <xf numFmtId="0" fontId="276" fillId="21" borderId="0" applyNumberFormat="0" applyBorder="0" applyAlignment="0" applyProtection="0"/>
    <xf numFmtId="0" fontId="276" fillId="22" borderId="0" applyNumberFormat="0" applyBorder="0" applyAlignment="0" applyProtection="0"/>
    <xf numFmtId="0" fontId="276" fillId="23" borderId="0" applyNumberFormat="0" applyBorder="0" applyAlignment="0" applyProtection="0"/>
    <xf numFmtId="0" fontId="276" fillId="24" borderId="0" applyNumberFormat="0" applyBorder="0" applyAlignment="0" applyProtection="0"/>
    <xf numFmtId="0" fontId="276" fillId="25" borderId="0" applyNumberFormat="0" applyBorder="0" applyAlignment="0" applyProtection="0"/>
    <xf numFmtId="0" fontId="276" fillId="26" borderId="0" applyNumberFormat="0" applyBorder="0" applyAlignment="0" applyProtection="0"/>
    <xf numFmtId="0" fontId="276" fillId="27" borderId="0" applyNumberFormat="0" applyBorder="0" applyAlignment="0" applyProtection="0"/>
    <xf numFmtId="0" fontId="276" fillId="28" borderId="0" applyNumberFormat="0" applyBorder="0" applyAlignment="0" applyProtection="0"/>
    <xf numFmtId="0" fontId="276" fillId="29" borderId="0" applyNumberFormat="0" applyBorder="0" applyAlignment="0" applyProtection="0"/>
    <xf numFmtId="0" fontId="277" fillId="30" borderId="38" applyNumberFormat="0" applyAlignment="0" applyProtection="0"/>
    <xf numFmtId="0" fontId="278" fillId="31" borderId="39" applyNumberFormat="0" applyAlignment="0" applyProtection="0"/>
    <xf numFmtId="0" fontId="279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0" fillId="0" borderId="40" applyNumberFormat="0" applyFill="0" applyAlignment="0" applyProtection="0"/>
    <xf numFmtId="0" fontId="281" fillId="33" borderId="41" applyNumberFormat="0" applyAlignment="0" applyProtection="0"/>
    <xf numFmtId="0" fontId="282" fillId="0" borderId="42" applyNumberFormat="0" applyFill="0" applyAlignment="0" applyProtection="0"/>
    <xf numFmtId="0" fontId="283" fillId="0" borderId="43" applyNumberFormat="0" applyFill="0" applyAlignment="0" applyProtection="0"/>
    <xf numFmtId="0" fontId="284" fillId="0" borderId="44" applyNumberFormat="0" applyFill="0" applyAlignment="0" applyProtection="0"/>
    <xf numFmtId="0" fontId="284" fillId="0" borderId="0" applyNumberFormat="0" applyFill="0" applyBorder="0" applyAlignment="0" applyProtection="0"/>
    <xf numFmtId="0" fontId="285" fillId="34" borderId="0" applyNumberFormat="0" applyBorder="0" applyAlignment="0" applyProtection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06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75" fillId="0" borderId="0"/>
    <xf numFmtId="0" fontId="209" fillId="0" borderId="0"/>
    <xf numFmtId="0" fontId="286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87" fillId="0" borderId="45" applyNumberFormat="0" applyFill="0" applyAlignment="0" applyProtection="0"/>
    <xf numFmtId="0" fontId="288" fillId="0" borderId="0" applyNumberFormat="0" applyFill="0" applyBorder="0" applyAlignment="0" applyProtection="0"/>
    <xf numFmtId="0" fontId="289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5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1" fillId="36" borderId="0" applyNumberFormat="0" applyBorder="0" applyAlignment="0" applyProtection="0"/>
    <xf numFmtId="43" fontId="275" fillId="0" borderId="0" applyFont="0" applyFill="0" applyBorder="0" applyAlignment="0" applyProtection="0"/>
    <xf numFmtId="0" fontId="275" fillId="35" borderId="46" applyNumberFormat="0" applyFont="0" applyAlignment="0" applyProtection="0"/>
    <xf numFmtId="0" fontId="294" fillId="0" borderId="0"/>
    <xf numFmtId="43" fontId="294" fillId="0" borderId="0" applyFont="0" applyFill="0" applyBorder="0" applyAlignment="0" applyProtection="0"/>
    <xf numFmtId="0" fontId="295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75" fillId="0" borderId="0" applyFont="0" applyFill="0" applyBorder="0" applyAlignment="0" applyProtection="0"/>
    <xf numFmtId="9" fontId="275" fillId="0" borderId="0" applyFont="0" applyFill="0" applyBorder="0" applyAlignment="0" applyProtection="0"/>
    <xf numFmtId="0" fontId="294" fillId="0" borderId="0"/>
    <xf numFmtId="9" fontId="275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75" fillId="0" borderId="0"/>
    <xf numFmtId="0" fontId="275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6" fillId="0" borderId="0"/>
    <xf numFmtId="0" fontId="317" fillId="37" borderId="0" applyNumberFormat="0" applyBorder="0" applyAlignment="0" applyProtection="0"/>
    <xf numFmtId="0" fontId="317" fillId="38" borderId="0" applyNumberFormat="0" applyBorder="0" applyAlignment="0" applyProtection="0"/>
    <xf numFmtId="0" fontId="317" fillId="39" borderId="0" applyNumberFormat="0" applyBorder="0" applyAlignment="0" applyProtection="0"/>
    <xf numFmtId="0" fontId="317" fillId="40" borderId="0" applyNumberFormat="0" applyBorder="0" applyAlignment="0" applyProtection="0"/>
    <xf numFmtId="0" fontId="317" fillId="41" borderId="0" applyNumberFormat="0" applyBorder="0" applyAlignment="0" applyProtection="0"/>
    <xf numFmtId="0" fontId="317" fillId="42" borderId="0" applyNumberFormat="0" applyBorder="0" applyAlignment="0" applyProtection="0"/>
    <xf numFmtId="0" fontId="317" fillId="43" borderId="0" applyNumberFormat="0" applyBorder="0" applyAlignment="0" applyProtection="0"/>
    <xf numFmtId="0" fontId="317" fillId="44" borderId="0" applyNumberFormat="0" applyBorder="0" applyAlignment="0" applyProtection="0"/>
    <xf numFmtId="0" fontId="317" fillId="45" borderId="0" applyNumberFormat="0" applyBorder="0" applyAlignment="0" applyProtection="0"/>
    <xf numFmtId="0" fontId="317" fillId="40" borderId="0" applyNumberFormat="0" applyBorder="0" applyAlignment="0" applyProtection="0"/>
    <xf numFmtId="0" fontId="317" fillId="43" borderId="0" applyNumberFormat="0" applyBorder="0" applyAlignment="0" applyProtection="0"/>
    <xf numFmtId="0" fontId="317" fillId="46" borderId="0" applyNumberFormat="0" applyBorder="0" applyAlignment="0" applyProtection="0"/>
    <xf numFmtId="0" fontId="318" fillId="47" borderId="0" applyNumberFormat="0" applyBorder="0" applyAlignment="0" applyProtection="0"/>
    <xf numFmtId="0" fontId="318" fillId="44" borderId="0" applyNumberFormat="0" applyBorder="0" applyAlignment="0" applyProtection="0"/>
    <xf numFmtId="0" fontId="318" fillId="45" borderId="0" applyNumberFormat="0" applyBorder="0" applyAlignment="0" applyProtection="0"/>
    <xf numFmtId="0" fontId="318" fillId="48" borderId="0" applyNumberFormat="0" applyBorder="0" applyAlignment="0" applyProtection="0"/>
    <xf numFmtId="0" fontId="318" fillId="49" borderId="0" applyNumberFormat="0" applyBorder="0" applyAlignment="0" applyProtection="0"/>
    <xf numFmtId="0" fontId="318" fillId="50" borderId="0" applyNumberFormat="0" applyBorder="0" applyAlignment="0" applyProtection="0"/>
    <xf numFmtId="0" fontId="318" fillId="51" borderId="0" applyNumberFormat="0" applyBorder="0" applyAlignment="0" applyProtection="0"/>
    <xf numFmtId="0" fontId="318" fillId="52" borderId="0" applyNumberFormat="0" applyBorder="0" applyAlignment="0" applyProtection="0"/>
    <xf numFmtId="0" fontId="318" fillId="53" borderId="0" applyNumberFormat="0" applyBorder="0" applyAlignment="0" applyProtection="0"/>
    <xf numFmtId="0" fontId="318" fillId="48" borderId="0" applyNumberFormat="0" applyBorder="0" applyAlignment="0" applyProtection="0"/>
    <xf numFmtId="0" fontId="318" fillId="49" borderId="0" applyNumberFormat="0" applyBorder="0" applyAlignment="0" applyProtection="0"/>
    <xf numFmtId="0" fontId="318" fillId="54" borderId="0" applyNumberFormat="0" applyBorder="0" applyAlignment="0" applyProtection="0"/>
    <xf numFmtId="0" fontId="319" fillId="42" borderId="48" applyNumberFormat="0" applyAlignment="0" applyProtection="0"/>
    <xf numFmtId="0" fontId="320" fillId="55" borderId="49" applyNumberFormat="0" applyAlignment="0" applyProtection="0"/>
    <xf numFmtId="0" fontId="321" fillId="39" borderId="0" applyNumberFormat="0" applyBorder="0" applyAlignment="0" applyProtection="0"/>
    <xf numFmtId="0" fontId="322" fillId="0" borderId="50" applyNumberFormat="0" applyFill="0" applyAlignment="0" applyProtection="0"/>
    <xf numFmtId="0" fontId="323" fillId="56" borderId="51" applyNumberFormat="0" applyAlignment="0" applyProtection="0"/>
    <xf numFmtId="0" fontId="324" fillId="0" borderId="52" applyNumberFormat="0" applyFill="0" applyAlignment="0" applyProtection="0"/>
    <xf numFmtId="0" fontId="325" fillId="0" borderId="53" applyNumberFormat="0" applyFill="0" applyAlignment="0" applyProtection="0"/>
    <xf numFmtId="0" fontId="326" fillId="0" borderId="54" applyNumberFormat="0" applyFill="0" applyAlignment="0" applyProtection="0"/>
    <xf numFmtId="0" fontId="326" fillId="0" borderId="0" applyNumberFormat="0" applyFill="0" applyBorder="0" applyAlignment="0" applyProtection="0"/>
    <xf numFmtId="0" fontId="327" fillId="57" borderId="0" applyNumberFormat="0" applyBorder="0" applyAlignment="0" applyProtection="0"/>
    <xf numFmtId="0" fontId="328" fillId="55" borderId="48" applyNumberFormat="0" applyAlignment="0" applyProtection="0"/>
    <xf numFmtId="9" fontId="316" fillId="0" borderId="0" applyFont="0" applyFill="0" applyBorder="0" applyAlignment="0" applyProtection="0"/>
    <xf numFmtId="0" fontId="329" fillId="0" borderId="55" applyNumberFormat="0" applyFill="0" applyAlignment="0" applyProtection="0"/>
    <xf numFmtId="0" fontId="330" fillId="0" borderId="0" applyNumberFormat="0" applyFill="0" applyBorder="0" applyAlignment="0" applyProtection="0"/>
    <xf numFmtId="0" fontId="331" fillId="0" borderId="0" applyNumberFormat="0" applyFill="0" applyBorder="0" applyAlignment="0" applyProtection="0"/>
    <xf numFmtId="0" fontId="332" fillId="0" borderId="0" applyNumberFormat="0" applyFill="0" applyBorder="0" applyAlignment="0" applyProtection="0"/>
    <xf numFmtId="0" fontId="316" fillId="58" borderId="56" applyNumberFormat="0" applyFont="0" applyAlignment="0" applyProtection="0"/>
    <xf numFmtId="0" fontId="333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35" fillId="0" borderId="0"/>
    <xf numFmtId="9" fontId="335" fillId="0" borderId="0" applyFont="0" applyFill="0" applyBorder="0" applyAlignment="0" applyProtection="0"/>
    <xf numFmtId="0" fontId="335" fillId="58" borderId="56" applyNumberFormat="0" applyFont="0" applyAlignment="0" applyProtection="0"/>
    <xf numFmtId="0" fontId="336" fillId="0" borderId="0"/>
    <xf numFmtId="9" fontId="336" fillId="0" borderId="0" applyFont="0" applyFill="0" applyBorder="0" applyAlignment="0" applyProtection="0"/>
    <xf numFmtId="0" fontId="336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3" fillId="0" borderId="0"/>
    <xf numFmtId="9" fontId="263" fillId="0" borderId="0" applyFont="0" applyFill="0" applyBorder="0" applyAlignment="0" applyProtection="0"/>
    <xf numFmtId="0" fontId="263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63" fillId="0" borderId="0"/>
    <xf numFmtId="9" fontId="263" fillId="0" borderId="0" applyFont="0" applyFill="0" applyBorder="0" applyAlignment="0" applyProtection="0"/>
    <xf numFmtId="0" fontId="263" fillId="58" borderId="56" applyNumberFormat="0" applyFont="0" applyAlignment="0" applyProtection="0"/>
    <xf numFmtId="0" fontId="263" fillId="0" borderId="0"/>
    <xf numFmtId="9" fontId="263" fillId="0" borderId="0" applyFont="0" applyFill="0" applyBorder="0" applyAlignment="0" applyProtection="0"/>
    <xf numFmtId="0" fontId="263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39" fillId="0" borderId="0"/>
    <xf numFmtId="9" fontId="339" fillId="0" borderId="0" applyFont="0" applyFill="0" applyBorder="0" applyAlignment="0" applyProtection="0"/>
    <xf numFmtId="0" fontId="339" fillId="58" borderId="56" applyNumberFormat="0" applyFont="0" applyAlignment="0" applyProtection="0"/>
    <xf numFmtId="0" fontId="342" fillId="0" borderId="0"/>
    <xf numFmtId="9" fontId="342" fillId="0" borderId="0" applyFont="0" applyFill="0" applyBorder="0" applyAlignment="0" applyProtection="0"/>
    <xf numFmtId="0" fontId="342" fillId="58" borderId="56" applyNumberFormat="0" applyFont="0" applyAlignment="0" applyProtection="0"/>
    <xf numFmtId="0" fontId="345" fillId="0" borderId="0"/>
    <xf numFmtId="9" fontId="345" fillId="0" borderId="0" applyFont="0" applyFill="0" applyBorder="0" applyAlignment="0" applyProtection="0"/>
    <xf numFmtId="0" fontId="345" fillId="58" borderId="56" applyNumberFormat="0" applyFont="0" applyAlignment="0" applyProtection="0"/>
    <xf numFmtId="0" fontId="346" fillId="0" borderId="0"/>
    <xf numFmtId="9" fontId="346" fillId="0" borderId="0" applyFont="0" applyFill="0" applyBorder="0" applyAlignment="0" applyProtection="0"/>
    <xf numFmtId="0" fontId="346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55" fillId="0" borderId="0"/>
    <xf numFmtId="9" fontId="355" fillId="0" borderId="0" applyFont="0" applyFill="0" applyBorder="0" applyAlignment="0" applyProtection="0"/>
    <xf numFmtId="0" fontId="355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59" fillId="0" borderId="0"/>
    <xf numFmtId="9" fontId="359" fillId="0" borderId="0" applyFont="0" applyFill="0" applyBorder="0" applyAlignment="0" applyProtection="0"/>
    <xf numFmtId="0" fontId="359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37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7" fillId="0" borderId="1" xfId="0" applyNumberFormat="1" applyFont="1" applyFill="1" applyBorder="1" applyAlignment="1">
      <alignment horizontal="left" vertical="center"/>
    </xf>
    <xf numFmtId="10" fontId="228" fillId="0" borderId="1" xfId="3304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30" fillId="0" borderId="1" xfId="3302" applyNumberFormat="1" applyFont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4" fontId="230" fillId="0" borderId="1" xfId="0" applyNumberFormat="1" applyFont="1" applyFill="1" applyBorder="1" applyAlignment="1">
      <alignment horizontal="left" vertical="center"/>
    </xf>
    <xf numFmtId="0" fontId="232" fillId="0" borderId="1" xfId="0" applyNumberFormat="1" applyFont="1" applyFill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3" fontId="237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8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37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39" fillId="0" borderId="1" xfId="0" applyNumberFormat="1" applyFont="1" applyFill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4" fontId="241" fillId="0" borderId="2" xfId="0" applyNumberFormat="1" applyFont="1" applyFill="1" applyBorder="1" applyAlignment="1">
      <alignment horizontal="left" vertical="center"/>
    </xf>
    <xf numFmtId="3" fontId="241" fillId="0" borderId="0" xfId="3302" applyNumberFormat="1" applyFont="1" applyBorder="1" applyAlignment="1">
      <alignment horizontal="center" vertical="center"/>
    </xf>
    <xf numFmtId="4" fontId="243" fillId="0" borderId="1" xfId="0" applyNumberFormat="1" applyFont="1" applyFill="1" applyBorder="1" applyAlignment="1">
      <alignment horizontal="left" vertical="center"/>
    </xf>
    <xf numFmtId="0" fontId="226" fillId="0" borderId="0" xfId="0" applyFont="1" applyAlignment="1">
      <alignment horizontal="left"/>
    </xf>
    <xf numFmtId="0" fontId="209" fillId="0" borderId="0" xfId="0" applyFont="1"/>
    <xf numFmtId="0" fontId="250" fillId="0" borderId="0" xfId="0" applyFont="1" applyAlignment="1">
      <alignment horizontal="left" vertical="center"/>
    </xf>
    <xf numFmtId="0" fontId="251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53" fillId="0" borderId="1" xfId="0" applyNumberFormat="1" applyFont="1" applyFill="1" applyBorder="1" applyAlignment="1">
      <alignment horizontal="left" vertical="center"/>
    </xf>
    <xf numFmtId="4" fontId="239" fillId="0" borderId="1" xfId="3302" applyNumberFormat="1" applyFont="1" applyBorder="1" applyAlignment="1">
      <alignment horizontal="center" vertical="center"/>
    </xf>
    <xf numFmtId="43" fontId="254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3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3" fontId="228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" fontId="253" fillId="0" borderId="1" xfId="0" applyNumberFormat="1" applyFont="1" applyFill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49" fillId="0" borderId="1" xfId="3040" applyNumberFormat="1" applyFont="1" applyBorder="1" applyAlignment="1">
      <alignment horizontal="center" vertical="center"/>
    </xf>
    <xf numFmtId="4" fontId="249" fillId="0" borderId="1" xfId="0" applyNumberFormat="1" applyFont="1" applyFill="1" applyBorder="1" applyAlignment="1">
      <alignment horizontal="left" vertical="center"/>
    </xf>
    <xf numFmtId="43" fontId="236" fillId="0" borderId="1" xfId="3040" applyFont="1" applyBorder="1" applyAlignment="1">
      <alignment horizontal="left" vertical="center"/>
    </xf>
    <xf numFmtId="10" fontId="247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48" fillId="0" borderId="1" xfId="3304" applyNumberFormat="1" applyFont="1" applyBorder="1" applyAlignment="1">
      <alignment horizontal="center" vertical="center"/>
    </xf>
    <xf numFmtId="10" fontId="237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8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" fontId="252" fillId="0" borderId="5" xfId="0" applyNumberFormat="1" applyFont="1" applyFill="1" applyBorder="1" applyAlignment="1">
      <alignment horizontal="left" vertical="center"/>
    </xf>
    <xf numFmtId="10" fontId="252" fillId="0" borderId="5" xfId="3304" applyNumberFormat="1" applyFont="1" applyBorder="1" applyAlignment="1">
      <alignment horizontal="center" vertical="center"/>
    </xf>
    <xf numFmtId="49" fontId="237" fillId="0" borderId="1" xfId="3040" applyNumberFormat="1" applyFont="1" applyBorder="1" applyAlignment="1">
      <alignment horizontal="center" vertical="center"/>
    </xf>
    <xf numFmtId="0" fontId="237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5" fillId="0" borderId="1" xfId="0" applyNumberFormat="1" applyFont="1" applyFill="1" applyBorder="1" applyAlignment="1">
      <alignment horizontal="left" vertical="center"/>
    </xf>
    <xf numFmtId="4" fontId="256" fillId="0" borderId="1" xfId="0" applyNumberFormat="1" applyFont="1" applyFill="1" applyBorder="1" applyAlignment="1">
      <alignment horizontal="left" vertical="center"/>
    </xf>
    <xf numFmtId="0" fontId="224" fillId="0" borderId="1" xfId="0" applyFont="1" applyBorder="1" applyAlignment="1">
      <alignment horizontal="left" vertical="center"/>
    </xf>
    <xf numFmtId="43" fontId="256" fillId="2" borderId="1" xfId="3040" applyFont="1" applyFill="1" applyBorder="1" applyAlignment="1">
      <alignment horizontal="left" vertical="center"/>
    </xf>
    <xf numFmtId="4" fontId="257" fillId="0" borderId="1" xfId="0" applyNumberFormat="1" applyFont="1" applyFill="1" applyBorder="1" applyAlignment="1">
      <alignment horizontal="left" vertical="center"/>
    </xf>
    <xf numFmtId="43" fontId="246" fillId="2" borderId="1" xfId="3040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left" vertical="center"/>
    </xf>
    <xf numFmtId="4" fontId="246" fillId="2" borderId="1" xfId="0" applyNumberFormat="1" applyFont="1" applyFill="1" applyBorder="1" applyAlignment="1">
      <alignment horizontal="left" vertical="center"/>
    </xf>
    <xf numFmtId="164" fontId="247" fillId="2" borderId="1" xfId="0" applyNumberFormat="1" applyFont="1" applyFill="1" applyBorder="1" applyAlignment="1">
      <alignment horizontal="left" vertical="center"/>
    </xf>
    <xf numFmtId="2" fontId="246" fillId="2" borderId="1" xfId="0" applyNumberFormat="1" applyFont="1" applyFill="1" applyBorder="1" applyAlignment="1">
      <alignment horizontal="left" vertical="center"/>
    </xf>
    <xf numFmtId="4" fontId="248" fillId="0" borderId="1" xfId="0" applyNumberFormat="1" applyFont="1" applyFill="1" applyBorder="1" applyAlignment="1">
      <alignment horizontal="left" vertical="center"/>
    </xf>
    <xf numFmtId="164" fontId="248" fillId="2" borderId="1" xfId="0" applyNumberFormat="1" applyFont="1" applyFill="1" applyBorder="1" applyAlignment="1">
      <alignment horizontal="left" vertical="center"/>
    </xf>
    <xf numFmtId="164" fontId="259" fillId="2" borderId="1" xfId="0" applyNumberFormat="1" applyFont="1" applyFill="1" applyBorder="1" applyAlignment="1">
      <alignment horizontal="left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0" fontId="260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58" fillId="2" borderId="1" xfId="0" applyNumberFormat="1" applyFont="1" applyFill="1" applyBorder="1" applyAlignment="1">
      <alignment horizontal="left" vertical="center"/>
    </xf>
    <xf numFmtId="4" fontId="244" fillId="0" borderId="1" xfId="0" applyNumberFormat="1" applyFont="1" applyFill="1" applyBorder="1" applyAlignment="1">
      <alignment horizontal="left" vertical="center"/>
    </xf>
    <xf numFmtId="10" fontId="244" fillId="0" borderId="1" xfId="3304" applyNumberFormat="1" applyFont="1" applyBorder="1" applyAlignment="1">
      <alignment horizontal="center" vertical="center"/>
    </xf>
    <xf numFmtId="4" fontId="247" fillId="2" borderId="1" xfId="0" applyNumberFormat="1" applyFont="1" applyFill="1" applyBorder="1" applyAlignment="1">
      <alignment horizontal="left" vertical="center"/>
    </xf>
    <xf numFmtId="4" fontId="243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47" fillId="0" borderId="1" xfId="3040" applyFont="1" applyBorder="1" applyAlignment="1">
      <alignment horizontal="center" vertical="center"/>
    </xf>
    <xf numFmtId="1" fontId="243" fillId="2" borderId="1" xfId="0" applyNumberFormat="1" applyFont="1" applyFill="1" applyBorder="1" applyAlignment="1">
      <alignment horizontal="left" vertical="center"/>
    </xf>
    <xf numFmtId="1" fontId="242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4" fontId="242" fillId="0" borderId="2" xfId="0" applyNumberFormat="1" applyFont="1" applyFill="1" applyBorder="1" applyAlignment="1">
      <alignment horizontal="left" vertical="center"/>
    </xf>
    <xf numFmtId="3" fontId="242" fillId="0" borderId="0" xfId="3302" applyNumberFormat="1" applyFont="1" applyBorder="1" applyAlignment="1">
      <alignment horizontal="center" vertical="center"/>
    </xf>
    <xf numFmtId="4" fontId="242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4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1" fillId="0" borderId="0" xfId="0" applyFont="1" applyAlignment="1">
      <alignment horizontal="left"/>
    </xf>
    <xf numFmtId="0" fontId="261" fillId="0" borderId="0" xfId="0" applyFont="1" applyAlignment="1">
      <alignment horizontal="left" vertical="center"/>
    </xf>
    <xf numFmtId="0" fontId="262" fillId="0" borderId="0" xfId="0" applyFont="1" applyAlignment="1">
      <alignment horizontal="left" vertical="center"/>
    </xf>
    <xf numFmtId="0" fontId="262" fillId="0" borderId="0" xfId="0" applyFont="1" applyAlignment="1">
      <alignment horizontal="left"/>
    </xf>
    <xf numFmtId="0" fontId="263" fillId="0" borderId="0" xfId="0" applyFont="1" applyAlignment="1">
      <alignment horizontal="left" vertical="center"/>
    </xf>
    <xf numFmtId="0" fontId="263" fillId="0" borderId="0" xfId="0" applyFont="1" applyAlignment="1">
      <alignment horizontal="left"/>
    </xf>
    <xf numFmtId="0" fontId="263" fillId="0" borderId="0" xfId="0" applyFont="1"/>
    <xf numFmtId="1" fontId="224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0" fontId="224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64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6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0" fillId="0" borderId="22" xfId="0" applyFont="1" applyBorder="1" applyAlignment="1">
      <alignment horizontal="center" vertical="center"/>
    </xf>
    <xf numFmtId="0" fontId="260" fillId="0" borderId="18" xfId="0" applyFont="1" applyBorder="1" applyAlignment="1">
      <alignment horizontal="center" vertical="center"/>
    </xf>
    <xf numFmtId="0" fontId="224" fillId="0" borderId="18" xfId="0" applyFont="1" applyBorder="1" applyAlignment="1">
      <alignment horizontal="center" vertical="center"/>
    </xf>
    <xf numFmtId="0" fontId="224" fillId="0" borderId="6" xfId="0" applyFont="1" applyBorder="1" applyAlignment="1">
      <alignment horizontal="center" vertical="center"/>
    </xf>
    <xf numFmtId="0" fontId="232" fillId="0" borderId="6" xfId="0" applyFont="1" applyFill="1" applyBorder="1" applyAlignment="1">
      <alignment horizontal="center" vertical="center"/>
    </xf>
    <xf numFmtId="0" fontId="235" fillId="0" borderId="22" xfId="0" applyFont="1" applyBorder="1" applyAlignment="1">
      <alignment horizontal="center" vertical="center"/>
    </xf>
    <xf numFmtId="0" fontId="235" fillId="0" borderId="18" xfId="0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2" fillId="4" borderId="18" xfId="0" applyFont="1" applyFill="1" applyBorder="1" applyAlignment="1">
      <alignment horizontal="center" vertical="center"/>
    </xf>
    <xf numFmtId="4" fontId="256" fillId="4" borderId="1" xfId="0" applyNumberFormat="1" applyFont="1" applyFill="1" applyBorder="1" applyAlignment="1">
      <alignment horizontal="center" vertical="center"/>
    </xf>
    <xf numFmtId="43" fontId="242" fillId="4" borderId="1" xfId="3040" applyFont="1" applyFill="1" applyBorder="1" applyAlignment="1">
      <alignment horizontal="left" vertical="center"/>
    </xf>
    <xf numFmtId="43" fontId="246" fillId="4" borderId="1" xfId="3040" applyFont="1" applyFill="1" applyBorder="1" applyAlignment="1">
      <alignment horizontal="left" vertical="center"/>
    </xf>
    <xf numFmtId="10" fontId="247" fillId="4" borderId="1" xfId="3304" applyNumberFormat="1" applyFont="1" applyFill="1" applyBorder="1" applyAlignment="1">
      <alignment horizontal="center" vertical="center"/>
    </xf>
    <xf numFmtId="10" fontId="248" fillId="4" borderId="1" xfId="3304" applyNumberFormat="1" applyFont="1" applyFill="1" applyBorder="1" applyAlignment="1">
      <alignment horizontal="center" vertical="center"/>
    </xf>
    <xf numFmtId="10" fontId="259" fillId="4" borderId="5" xfId="3304" applyNumberFormat="1" applyFont="1" applyFill="1" applyBorder="1" applyAlignment="1">
      <alignment horizontal="center" vertical="center"/>
    </xf>
    <xf numFmtId="0" fontId="260" fillId="4" borderId="18" xfId="0" applyFont="1" applyFill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44" fillId="4" borderId="1" xfId="3040" applyFont="1" applyFill="1" applyBorder="1" applyAlignment="1">
      <alignment horizontal="center" vertical="center"/>
    </xf>
    <xf numFmtId="10" fontId="244" fillId="4" borderId="1" xfId="3304" applyNumberFormat="1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43" fillId="4" borderId="1" xfId="3040" applyFont="1" applyFill="1" applyBorder="1" applyAlignment="1">
      <alignment horizontal="center" vertical="center"/>
    </xf>
    <xf numFmtId="43" fontId="247" fillId="4" borderId="1" xfId="3040" applyFont="1" applyFill="1" applyBorder="1" applyAlignment="1">
      <alignment horizontal="center" vertical="center"/>
    </xf>
    <xf numFmtId="43" fontId="242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4" fillId="3" borderId="17" xfId="0" applyFont="1" applyFill="1" applyBorder="1" applyAlignment="1">
      <alignment horizontal="center"/>
    </xf>
    <xf numFmtId="0" fontId="224" fillId="3" borderId="26" xfId="0" applyFont="1" applyFill="1" applyBorder="1" applyAlignment="1">
      <alignment horizontal="center"/>
    </xf>
    <xf numFmtId="0" fontId="224" fillId="5" borderId="26" xfId="0" applyFont="1" applyFill="1" applyBorder="1" applyAlignment="1">
      <alignment horizontal="center"/>
    </xf>
    <xf numFmtId="0" fontId="224" fillId="5" borderId="19" xfId="0" applyFont="1" applyFill="1" applyBorder="1" applyAlignment="1">
      <alignment horizontal="center"/>
    </xf>
    <xf numFmtId="0" fontId="235" fillId="0" borderId="6" xfId="0" applyFont="1" applyBorder="1" applyAlignment="1">
      <alignment horizontal="center" vertical="center"/>
    </xf>
    <xf numFmtId="4" fontId="230" fillId="0" borderId="1" xfId="3302" applyNumberFormat="1" applyFont="1" applyBorder="1" applyAlignment="1">
      <alignment horizontal="center" vertical="center"/>
    </xf>
    <xf numFmtId="43" fontId="236" fillId="0" borderId="1" xfId="3040" applyFont="1" applyBorder="1" applyAlignment="1">
      <alignment horizontal="center" vertical="center"/>
    </xf>
    <xf numFmtId="0" fontId="267" fillId="2" borderId="0" xfId="0" applyFont="1" applyFill="1"/>
    <xf numFmtId="0" fontId="270" fillId="2" borderId="0" xfId="0" applyFont="1" applyFill="1"/>
    <xf numFmtId="10" fontId="269" fillId="2" borderId="4" xfId="3304" applyNumberFormat="1" applyFont="1" applyFill="1" applyBorder="1" applyAlignment="1">
      <alignment horizontal="center"/>
    </xf>
    <xf numFmtId="43" fontId="226" fillId="0" borderId="4" xfId="3040" applyFont="1" applyBorder="1" applyAlignment="1">
      <alignment horizontal="center"/>
    </xf>
    <xf numFmtId="0" fontId="226" fillId="0" borderId="4" xfId="0" applyFont="1" applyBorder="1" applyAlignment="1">
      <alignment horizontal="center"/>
    </xf>
    <xf numFmtId="43" fontId="226" fillId="0" borderId="4" xfId="0" applyNumberFormat="1" applyFont="1" applyBorder="1" applyAlignment="1">
      <alignment horizontal="center"/>
    </xf>
    <xf numFmtId="164" fontId="241" fillId="2" borderId="1" xfId="0" applyNumberFormat="1" applyFont="1" applyFill="1" applyBorder="1" applyAlignment="1">
      <alignment horizontal="left" vertical="center"/>
    </xf>
    <xf numFmtId="0" fontId="271" fillId="2" borderId="0" xfId="0" applyFont="1" applyFill="1"/>
    <xf numFmtId="0" fontId="271" fillId="2" borderId="4" xfId="0" applyFont="1" applyFill="1" applyBorder="1" applyAlignment="1">
      <alignment horizontal="center"/>
    </xf>
    <xf numFmtId="0" fontId="272" fillId="2" borderId="4" xfId="0" applyFont="1" applyFill="1" applyBorder="1" applyAlignment="1">
      <alignment horizontal="center"/>
    </xf>
    <xf numFmtId="43" fontId="230" fillId="2" borderId="22" xfId="3040" applyFont="1" applyFill="1" applyBorder="1" applyAlignment="1">
      <alignment horizontal="left" vertical="center"/>
    </xf>
    <xf numFmtId="0" fontId="273" fillId="0" borderId="4" xfId="0" applyFont="1" applyBorder="1" applyAlignment="1">
      <alignment horizontal="center"/>
    </xf>
    <xf numFmtId="0" fontId="273" fillId="0" borderId="0" xfId="0" applyFont="1"/>
    <xf numFmtId="0" fontId="271" fillId="2" borderId="27" xfId="0" applyFont="1" applyFill="1" applyBorder="1" applyAlignment="1">
      <alignment horizontal="center"/>
    </xf>
    <xf numFmtId="10" fontId="269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66" fillId="2" borderId="33" xfId="0" applyNumberFormat="1" applyFont="1" applyFill="1" applyBorder="1" applyAlignment="1">
      <alignment horizontal="left" vertical="center"/>
    </xf>
    <xf numFmtId="10" fontId="268" fillId="2" borderId="34" xfId="3304" applyNumberFormat="1" applyFont="1" applyFill="1" applyBorder="1" applyAlignment="1">
      <alignment horizontal="right" vertical="center"/>
    </xf>
    <xf numFmtId="10" fontId="269" fillId="2" borderId="35" xfId="3304" applyNumberFormat="1" applyFont="1" applyFill="1" applyBorder="1" applyAlignment="1">
      <alignment horizontal="right" vertical="center"/>
    </xf>
    <xf numFmtId="43" fontId="226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6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0" fillId="0" borderId="20" xfId="0" applyNumberFormat="1" applyFont="1" applyFill="1" applyBorder="1" applyAlignment="1">
      <alignment horizontal="left" vertical="center"/>
    </xf>
    <xf numFmtId="43" fontId="230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7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39" fillId="0" borderId="33" xfId="0" applyNumberFormat="1" applyFont="1" applyFill="1" applyBorder="1" applyAlignment="1">
      <alignment horizontal="left" vertical="center"/>
    </xf>
    <xf numFmtId="10" fontId="241" fillId="0" borderId="34" xfId="3304" applyNumberFormat="1" applyFont="1" applyBorder="1" applyAlignment="1">
      <alignment horizontal="center" vertical="center"/>
    </xf>
    <xf numFmtId="164" fontId="241" fillId="2" borderId="35" xfId="0" applyNumberFormat="1" applyFont="1" applyFill="1" applyBorder="1" applyAlignment="1">
      <alignment horizontal="left" vertical="center"/>
    </xf>
    <xf numFmtId="0" fontId="273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2" fillId="0" borderId="21" xfId="0" applyNumberFormat="1" applyFont="1" applyFill="1" applyBorder="1" applyAlignment="1">
      <alignment horizontal="left" vertical="center"/>
    </xf>
    <xf numFmtId="43" fontId="252" fillId="0" borderId="21" xfId="3304" applyNumberFormat="1" applyFont="1" applyBorder="1" applyAlignment="1">
      <alignment horizontal="center" vertical="center"/>
    </xf>
    <xf numFmtId="164" fontId="252" fillId="2" borderId="23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74" fillId="0" borderId="29" xfId="0" applyFont="1" applyBorder="1" applyAlignment="1">
      <alignment horizontal="left" vertical="center"/>
    </xf>
    <xf numFmtId="4" fontId="228" fillId="2" borderId="31" xfId="0" applyNumberFormat="1" applyFont="1" applyFill="1" applyBorder="1" applyAlignment="1">
      <alignment horizontal="left" vertical="center"/>
    </xf>
    <xf numFmtId="0" fontId="274" fillId="0" borderId="37" xfId="0" applyFont="1" applyBorder="1" applyAlignment="1">
      <alignment horizontal="left" vertical="center"/>
    </xf>
    <xf numFmtId="10" fontId="258" fillId="0" borderId="34" xfId="3304" applyNumberFormat="1" applyFont="1" applyBorder="1" applyAlignment="1">
      <alignment horizontal="center" vertical="center"/>
    </xf>
    <xf numFmtId="4" fontId="228" fillId="2" borderId="35" xfId="0" applyNumberFormat="1" applyFont="1" applyFill="1" applyBorder="1" applyAlignment="1">
      <alignment horizontal="left" vertical="center"/>
    </xf>
    <xf numFmtId="43" fontId="292" fillId="0" borderId="4" xfId="3040" applyFont="1" applyBorder="1"/>
    <xf numFmtId="43" fontId="289" fillId="0" borderId="4" xfId="3040" applyFont="1" applyBorder="1"/>
    <xf numFmtId="10" fontId="0" fillId="0" borderId="0" xfId="3304" applyNumberFormat="1" applyFont="1"/>
    <xf numFmtId="0" fontId="293" fillId="0" borderId="0" xfId="0" applyFont="1"/>
    <xf numFmtId="4" fontId="237" fillId="2" borderId="20" xfId="0" applyNumberFormat="1" applyFont="1" applyFill="1" applyBorder="1" applyAlignment="1">
      <alignment horizontal="left" vertical="center"/>
    </xf>
    <xf numFmtId="4" fontId="237" fillId="2" borderId="29" xfId="0" applyNumberFormat="1" applyFont="1" applyFill="1" applyBorder="1" applyAlignment="1">
      <alignment horizontal="left" vertical="center"/>
    </xf>
    <xf numFmtId="0" fontId="275" fillId="0" borderId="4" xfId="3048" applyBorder="1" applyAlignment="1">
      <alignment horizontal="center"/>
    </xf>
    <xf numFmtId="2" fontId="296" fillId="0" borderId="1" xfId="0" applyNumberFormat="1" applyFont="1" applyBorder="1" applyAlignment="1">
      <alignment vertical="center"/>
    </xf>
    <xf numFmtId="4" fontId="299" fillId="0" borderId="0" xfId="0" applyNumberFormat="1" applyFont="1" applyAlignment="1">
      <alignment horizontal="right" vertical="center" wrapText="1"/>
    </xf>
    <xf numFmtId="0" fontId="300" fillId="0" borderId="1" xfId="0" applyNumberFormat="1" applyFont="1" applyFill="1" applyBorder="1" applyAlignment="1">
      <alignment horizontal="left" vertical="center"/>
    </xf>
    <xf numFmtId="4" fontId="303" fillId="0" borderId="5" xfId="0" applyNumberFormat="1" applyFont="1" applyFill="1" applyBorder="1" applyAlignment="1">
      <alignment horizontal="left" vertical="center"/>
    </xf>
    <xf numFmtId="4" fontId="305" fillId="2" borderId="33" xfId="0" applyNumberFormat="1" applyFont="1" applyFill="1" applyBorder="1" applyAlignment="1">
      <alignment horizontal="left" vertical="center"/>
    </xf>
    <xf numFmtId="0" fontId="306" fillId="0" borderId="29" xfId="0" applyFont="1" applyBorder="1" applyAlignment="1">
      <alignment horizontal="left" vertical="center"/>
    </xf>
    <xf numFmtId="4" fontId="307" fillId="0" borderId="20" xfId="0" applyNumberFormat="1" applyFont="1" applyFill="1" applyBorder="1" applyAlignment="1">
      <alignment horizontal="left" vertical="center"/>
    </xf>
    <xf numFmtId="4" fontId="311" fillId="0" borderId="33" xfId="0" applyNumberFormat="1" applyFont="1" applyFill="1" applyBorder="1" applyAlignment="1">
      <alignment horizontal="left" vertical="center"/>
    </xf>
    <xf numFmtId="0" fontId="306" fillId="0" borderId="23" xfId="0" applyFont="1" applyBorder="1" applyAlignment="1">
      <alignment horizontal="left" vertical="center"/>
    </xf>
    <xf numFmtId="43" fontId="304" fillId="2" borderId="28" xfId="3040" applyFont="1" applyFill="1" applyBorder="1" applyAlignment="1">
      <alignment horizontal="left" vertical="center"/>
    </xf>
    <xf numFmtId="4" fontId="307" fillId="0" borderId="1" xfId="0" applyNumberFormat="1" applyFont="1" applyFill="1" applyBorder="1" applyAlignment="1">
      <alignment horizontal="left" vertical="center"/>
    </xf>
    <xf numFmtId="43" fontId="309" fillId="2" borderId="1" xfId="3040" applyFont="1" applyFill="1" applyBorder="1" applyAlignment="1">
      <alignment horizontal="left" vertical="center"/>
    </xf>
    <xf numFmtId="4" fontId="311" fillId="0" borderId="1" xfId="0" applyNumberFormat="1" applyFont="1" applyFill="1" applyBorder="1" applyAlignment="1">
      <alignment horizontal="left" vertical="center"/>
    </xf>
    <xf numFmtId="4" fontId="307" fillId="0" borderId="5" xfId="0" applyNumberFormat="1" applyFont="1" applyFill="1" applyBorder="1" applyAlignment="1">
      <alignment horizontal="left" vertical="center"/>
    </xf>
    <xf numFmtId="0" fontId="315" fillId="0" borderId="4" xfId="0" applyFont="1" applyBorder="1" applyAlignment="1">
      <alignment horizontal="center"/>
    </xf>
    <xf numFmtId="43" fontId="315" fillId="0" borderId="4" xfId="0" applyNumberFormat="1" applyFont="1" applyBorder="1" applyAlignment="1">
      <alignment horizontal="center"/>
    </xf>
    <xf numFmtId="0" fontId="315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235" fillId="0" borderId="22" xfId="0" applyFont="1" applyBorder="1" applyAlignment="1">
      <alignment horizontal="center" vertical="center"/>
    </xf>
    <xf numFmtId="0" fontId="235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37" fillId="0" borderId="4" xfId="7176" applyNumberFormat="1" applyFont="1" applyBorder="1"/>
    <xf numFmtId="43" fontId="337" fillId="0" borderId="4" xfId="7176" applyNumberFormat="1" applyFont="1" applyBorder="1"/>
    <xf numFmtId="0" fontId="337" fillId="0" borderId="4" xfId="3834" applyFont="1" applyBorder="1"/>
    <xf numFmtId="0" fontId="337" fillId="0" borderId="4" xfId="3834" applyFont="1" applyBorder="1" applyAlignment="1">
      <alignment horizontal="center"/>
    </xf>
    <xf numFmtId="0" fontId="337" fillId="0" borderId="4" xfId="3048" applyFont="1" applyBorder="1"/>
    <xf numFmtId="43" fontId="337" fillId="0" borderId="4" xfId="3040" applyNumberFormat="1" applyFont="1" applyBorder="1"/>
    <xf numFmtId="43" fontId="337" fillId="0" borderId="4" xfId="0" applyNumberFormat="1" applyFont="1" applyBorder="1"/>
    <xf numFmtId="2" fontId="0" fillId="0" borderId="0" xfId="0" applyNumberFormat="1" applyFont="1"/>
    <xf numFmtId="43" fontId="337" fillId="0" borderId="4" xfId="3040" applyFont="1" applyBorder="1"/>
    <xf numFmtId="43" fontId="308" fillId="0" borderId="1" xfId="3040" applyFont="1" applyBorder="1" applyAlignment="1">
      <alignment horizontal="center" vertical="center"/>
    </xf>
    <xf numFmtId="0" fontId="337" fillId="0" borderId="4" xfId="3048" applyFont="1" applyBorder="1" applyAlignment="1">
      <alignment horizontal="center"/>
    </xf>
    <xf numFmtId="0" fontId="224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4" fillId="60" borderId="7" xfId="0" applyFont="1" applyFill="1" applyBorder="1" applyAlignment="1">
      <alignment horizontal="center"/>
    </xf>
    <xf numFmtId="0" fontId="224" fillId="60" borderId="26" xfId="0" applyFont="1" applyFill="1" applyBorder="1" applyAlignment="1">
      <alignment horizontal="center"/>
    </xf>
    <xf numFmtId="0" fontId="224" fillId="60" borderId="14" xfId="0" applyFont="1" applyFill="1" applyBorder="1" applyAlignment="1">
      <alignment horizontal="center"/>
    </xf>
    <xf numFmtId="43" fontId="206" fillId="0" borderId="0" xfId="3040" applyFont="1"/>
    <xf numFmtId="0" fontId="340" fillId="0" borderId="0" xfId="0" applyFont="1"/>
    <xf numFmtId="0" fontId="341" fillId="0" borderId="0" xfId="0" applyFont="1"/>
    <xf numFmtId="0" fontId="209" fillId="0" borderId="19" xfId="0" applyFont="1" applyFill="1" applyBorder="1" applyAlignment="1">
      <alignment horizontal="center"/>
    </xf>
    <xf numFmtId="4" fontId="343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2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46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0" fontId="224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4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49" fillId="0" borderId="0" xfId="0" applyFont="1"/>
    <xf numFmtId="9" fontId="0" fillId="0" borderId="0" xfId="3304" applyFont="1"/>
    <xf numFmtId="0" fontId="350" fillId="0" borderId="0" xfId="0" applyFont="1"/>
    <xf numFmtId="0" fontId="351" fillId="0" borderId="0" xfId="0" applyFont="1"/>
    <xf numFmtId="0" fontId="351" fillId="0" borderId="4" xfId="0" applyFont="1" applyBorder="1"/>
    <xf numFmtId="0" fontId="352" fillId="0" borderId="4" xfId="0" applyFont="1" applyBorder="1" applyAlignment="1">
      <alignment vertical="center"/>
    </xf>
    <xf numFmtId="2" fontId="293" fillId="0" borderId="0" xfId="0" applyNumberFormat="1" applyFont="1"/>
    <xf numFmtId="10" fontId="241" fillId="0" borderId="1" xfId="3304" applyNumberFormat="1" applyFont="1" applyBorder="1" applyAlignment="1">
      <alignment horizontal="center" vertical="center"/>
    </xf>
    <xf numFmtId="0" fontId="347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4" fillId="63" borderId="14" xfId="0" applyFont="1" applyFill="1" applyBorder="1" applyAlignment="1">
      <alignment horizontal="right"/>
    </xf>
    <xf numFmtId="0" fontId="224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53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4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6" fillId="0" borderId="0" xfId="0" applyNumberFormat="1" applyFont="1"/>
    <xf numFmtId="43" fontId="241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4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4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43" fontId="343" fillId="2" borderId="22" xfId="3040" applyFont="1" applyFill="1" applyBorder="1" applyAlignment="1">
      <alignment horizontal="left" vertical="center"/>
    </xf>
    <xf numFmtId="0" fontId="348" fillId="0" borderId="0" xfId="0" applyFont="1" applyAlignment="1">
      <alignment horizontal="right" vertical="center"/>
    </xf>
    <xf numFmtId="0" fontId="347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5" fontId="260" fillId="0" borderId="18" xfId="0" applyNumberFormat="1" applyFont="1" applyBorder="1" applyAlignment="1">
      <alignment horizontal="center" vertical="center"/>
    </xf>
    <xf numFmtId="43" fontId="358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3" borderId="10" xfId="26960" applyFont="1" applyFill="1" applyBorder="1" applyAlignment="1">
      <alignment horizontal="center"/>
    </xf>
    <xf numFmtId="0" fontId="209" fillId="0" borderId="0" xfId="26960" applyFont="1"/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357" fillId="59" borderId="0" xfId="0" applyFont="1" applyFill="1"/>
    <xf numFmtId="4" fontId="361" fillId="0" borderId="20" xfId="0" applyNumberFormat="1" applyFont="1" applyFill="1" applyBorder="1" applyAlignment="1">
      <alignment horizontal="left" vertical="center"/>
    </xf>
    <xf numFmtId="4" fontId="361" fillId="0" borderId="1" xfId="0" applyNumberFormat="1" applyFont="1" applyFill="1" applyBorder="1" applyAlignment="1">
      <alignment horizontal="left" vertical="center"/>
    </xf>
    <xf numFmtId="43" fontId="271" fillId="2" borderId="0" xfId="0" applyNumberFormat="1" applyFont="1" applyFill="1"/>
    <xf numFmtId="4" fontId="343" fillId="2" borderId="32" xfId="0" applyNumberFormat="1" applyFont="1" applyFill="1" applyBorder="1" applyAlignment="1">
      <alignment horizontal="left" vertical="center"/>
    </xf>
    <xf numFmtId="4" fontId="312" fillId="59" borderId="30" xfId="3302" applyNumberFormat="1" applyFont="1" applyFill="1" applyBorder="1" applyAlignment="1">
      <alignment horizontal="center" vertical="center"/>
    </xf>
    <xf numFmtId="4" fontId="314" fillId="0" borderId="30" xfId="3302" applyNumberFormat="1" applyFont="1" applyBorder="1" applyAlignment="1">
      <alignment horizontal="center" vertical="center"/>
    </xf>
    <xf numFmtId="4" fontId="314" fillId="59" borderId="30" xfId="3302" applyNumberFormat="1" applyFont="1" applyFill="1" applyBorder="1" applyAlignment="1">
      <alignment horizontal="center" vertical="center"/>
    </xf>
    <xf numFmtId="4" fontId="362" fillId="59" borderId="30" xfId="3302" applyNumberFormat="1" applyFont="1" applyFill="1" applyBorder="1" applyAlignment="1">
      <alignment horizontal="center" vertical="center"/>
    </xf>
    <xf numFmtId="4" fontId="363" fillId="0" borderId="1" xfId="0" applyNumberFormat="1" applyFont="1" applyBorder="1" applyAlignment="1">
      <alignment horizontal="center" vertical="center"/>
    </xf>
    <xf numFmtId="43" fontId="313" fillId="59" borderId="36" xfId="3040" applyFont="1" applyFill="1" applyBorder="1" applyAlignment="1">
      <alignment horizontal="center" vertical="center"/>
    </xf>
    <xf numFmtId="43" fontId="313" fillId="0" borderId="36" xfId="3040" applyFont="1" applyBorder="1" applyAlignment="1">
      <alignment horizontal="center" vertical="center"/>
    </xf>
    <xf numFmtId="43" fontId="360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235" fillId="0" borderId="22" xfId="0" applyFont="1" applyBorder="1" applyAlignment="1">
      <alignment horizontal="center" vertical="center"/>
    </xf>
    <xf numFmtId="0" fontId="235" fillId="0" borderId="18" xfId="0" applyFont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10" fontId="246" fillId="2" borderId="1" xfId="3304" applyNumberFormat="1" applyFont="1" applyFill="1" applyBorder="1" applyAlignment="1">
      <alignment horizontal="center" vertical="center"/>
    </xf>
    <xf numFmtId="43" fontId="236" fillId="2" borderId="1" xfId="3040" applyFont="1" applyFill="1" applyBorder="1" applyAlignment="1">
      <alignment horizontal="center" vertical="center"/>
    </xf>
    <xf numFmtId="43" fontId="246" fillId="2" borderId="1" xfId="3040" applyFont="1" applyFill="1" applyBorder="1" applyAlignment="1">
      <alignment horizontal="center" vertical="center"/>
    </xf>
    <xf numFmtId="4" fontId="246" fillId="2" borderId="1" xfId="0" applyNumberFormat="1" applyFont="1" applyFill="1" applyBorder="1" applyAlignment="1">
      <alignment horizontal="center" vertical="center"/>
    </xf>
    <xf numFmtId="2" fontId="246" fillId="2" borderId="1" xfId="0" applyNumberFormat="1" applyFont="1" applyFill="1" applyBorder="1" applyAlignment="1">
      <alignment horizontal="center" vertical="center"/>
    </xf>
    <xf numFmtId="164" fontId="248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298" fillId="0" borderId="0" xfId="0" applyFont="1" applyAlignment="1">
      <alignment horizontal="center" vertical="center" wrapText="1"/>
    </xf>
    <xf numFmtId="4" fontId="299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0" fontId="0" fillId="64" borderId="0" xfId="0" applyFill="1"/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293" fillId="64" borderId="0" xfId="0" applyNumberFormat="1" applyFont="1" applyFill="1" applyAlignment="1">
      <alignment horizontal="center"/>
    </xf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3" fontId="224" fillId="4" borderId="1" xfId="3040" applyFont="1" applyFill="1" applyBorder="1" applyAlignment="1">
      <alignment horizontal="center" vertical="center"/>
    </xf>
    <xf numFmtId="43" fontId="224" fillId="4" borderId="1" xfId="3304" applyNumberFormat="1" applyFont="1" applyFill="1" applyBorder="1" applyAlignment="1">
      <alignment horizontal="center" vertical="center"/>
    </xf>
    <xf numFmtId="43" fontId="334" fillId="2" borderId="1" xfId="3040" applyFont="1" applyFill="1" applyBorder="1" applyAlignment="1">
      <alignment horizontal="left" vertical="center"/>
    </xf>
    <xf numFmtId="43" fontId="224" fillId="4" borderId="1" xfId="3040" applyFont="1" applyFill="1" applyBorder="1" applyAlignment="1">
      <alignment horizontal="left" vertical="center"/>
    </xf>
    <xf numFmtId="0" fontId="365" fillId="0" borderId="0" xfId="0" applyFont="1" applyAlignment="1">
      <alignment horizontal="left" vertical="center"/>
    </xf>
    <xf numFmtId="0" fontId="365" fillId="0" borderId="0" xfId="0" applyFont="1" applyAlignment="1">
      <alignment horizontal="left"/>
    </xf>
    <xf numFmtId="4" fontId="343" fillId="0" borderId="1" xfId="3302" applyNumberFormat="1" applyFont="1" applyBorder="1" applyAlignment="1">
      <alignment horizontal="center" vertical="center"/>
    </xf>
    <xf numFmtId="43" fontId="356" fillId="0" borderId="1" xfId="3040" applyFont="1" applyBorder="1" applyAlignment="1">
      <alignment horizontal="center" vertical="center"/>
    </xf>
    <xf numFmtId="4" fontId="344" fillId="0" borderId="1" xfId="0" applyNumberFormat="1" applyFont="1" applyBorder="1" applyAlignment="1">
      <alignment horizontal="center" vertical="center"/>
    </xf>
    <xf numFmtId="10" fontId="344" fillId="2" borderId="34" xfId="3304" applyNumberFormat="1" applyFont="1" applyFill="1" applyBorder="1" applyAlignment="1">
      <alignment horizontal="center" vertical="center"/>
    </xf>
    <xf numFmtId="10" fontId="268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1" fillId="0" borderId="1" xfId="3040" applyFont="1" applyBorder="1" applyAlignment="1">
      <alignment horizontal="center" vertical="center"/>
    </xf>
    <xf numFmtId="43" fontId="268" fillId="2" borderId="34" xfId="3304" applyNumberFormat="1" applyFont="1" applyFill="1" applyBorder="1" applyAlignment="1">
      <alignment horizontal="center" vertical="center"/>
    </xf>
    <xf numFmtId="43" fontId="228" fillId="0" borderId="1" xfId="3304" applyNumberFormat="1" applyFont="1" applyBorder="1" applyAlignment="1">
      <alignment horizontal="center" vertical="center"/>
    </xf>
    <xf numFmtId="4" fontId="258" fillId="0" borderId="34" xfId="3302" applyNumberFormat="1" applyFont="1" applyBorder="1" applyAlignment="1">
      <alignment horizontal="center" vertical="center"/>
    </xf>
    <xf numFmtId="4" fontId="228" fillId="0" borderId="34" xfId="3302" applyNumberFormat="1" applyFont="1" applyBorder="1" applyAlignment="1">
      <alignment horizontal="center" vertical="center"/>
    </xf>
    <xf numFmtId="43" fontId="245" fillId="0" borderId="36" xfId="3040" applyFont="1" applyBorder="1" applyAlignment="1">
      <alignment horizontal="center" vertical="center"/>
    </xf>
    <xf numFmtId="43" fontId="313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" fontId="368" fillId="0" borderId="4" xfId="304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2" fontId="369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58" fillId="0" borderId="0" xfId="0" applyNumberFormat="1" applyFont="1" applyAlignment="1">
      <alignment horizontal="center"/>
    </xf>
    <xf numFmtId="4" fontId="0" fillId="0" borderId="0" xfId="0" applyNumberFormat="1"/>
    <xf numFmtId="0" fontId="275" fillId="0" borderId="4" xfId="3048" applyBorder="1" applyAlignment="1">
      <alignment horizontal="center"/>
    </xf>
    <xf numFmtId="0" fontId="263" fillId="0" borderId="4" xfId="0" applyFont="1" applyBorder="1" applyAlignment="1">
      <alignment vertical="center"/>
    </xf>
    <xf numFmtId="166" fontId="358" fillId="0" borderId="4" xfId="3040" applyNumberFormat="1" applyFont="1" applyBorder="1" applyAlignment="1">
      <alignment vertical="center"/>
    </xf>
    <xf numFmtId="4" fontId="293" fillId="0" borderId="0" xfId="0" applyNumberFormat="1" applyFont="1" applyAlignment="1">
      <alignment horizontal="center"/>
    </xf>
    <xf numFmtId="4" fontId="256" fillId="65" borderId="1" xfId="0" applyNumberFormat="1" applyFont="1" applyFill="1" applyBorder="1" applyAlignment="1">
      <alignment horizontal="center" vertical="center"/>
    </xf>
    <xf numFmtId="43" fontId="242" fillId="65" borderId="1" xfId="3040" applyFont="1" applyFill="1" applyBorder="1" applyAlignment="1">
      <alignment horizontal="center" vertical="center"/>
    </xf>
    <xf numFmtId="43" fontId="246" fillId="65" borderId="1" xfId="3040" applyFont="1" applyFill="1" applyBorder="1" applyAlignment="1">
      <alignment horizontal="center" vertical="center"/>
    </xf>
    <xf numFmtId="10" fontId="247" fillId="65" borderId="1" xfId="3304" applyNumberFormat="1" applyFont="1" applyFill="1" applyBorder="1" applyAlignment="1">
      <alignment horizontal="center" vertical="center"/>
    </xf>
    <xf numFmtId="10" fontId="248" fillId="65" borderId="1" xfId="3304" applyNumberFormat="1" applyFont="1" applyFill="1" applyBorder="1" applyAlignment="1">
      <alignment horizontal="center" vertical="center"/>
    </xf>
    <xf numFmtId="4" fontId="245" fillId="65" borderId="1" xfId="0" applyNumberFormat="1" applyFont="1" applyFill="1" applyBorder="1" applyAlignment="1">
      <alignment horizontal="center" vertical="center"/>
    </xf>
    <xf numFmtId="43" fontId="334" fillId="65" borderId="1" xfId="3040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0" fontId="371" fillId="0" borderId="0" xfId="0" applyFont="1"/>
    <xf numFmtId="0" fontId="372" fillId="0" borderId="1" xfId="0" applyFont="1" applyBorder="1" applyAlignment="1">
      <alignment horizontal="center" vertical="center"/>
    </xf>
    <xf numFmtId="0" fontId="338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15" fillId="0" borderId="18" xfId="0" applyFont="1" applyBorder="1" applyAlignment="1">
      <alignment horizontal="center" vertical="center"/>
    </xf>
    <xf numFmtId="4" fontId="232" fillId="0" borderId="1" xfId="0" applyNumberFormat="1" applyFont="1" applyFill="1" applyBorder="1" applyAlignment="1">
      <alignment horizontal="left" vertical="center"/>
    </xf>
    <xf numFmtId="4" fontId="374" fillId="2" borderId="29" xfId="0" applyNumberFormat="1" applyFont="1" applyFill="1" applyBorder="1" applyAlignment="1">
      <alignment horizontal="left" vertical="center"/>
    </xf>
    <xf numFmtId="4" fontId="374" fillId="2" borderId="20" xfId="0" applyNumberFormat="1" applyFont="1" applyFill="1" applyBorder="1" applyAlignment="1">
      <alignment horizontal="left" vertical="center"/>
    </xf>
    <xf numFmtId="0" fontId="310" fillId="0" borderId="0" xfId="0" applyFont="1"/>
    <xf numFmtId="4" fontId="375" fillId="59" borderId="30" xfId="0" applyNumberFormat="1" applyFont="1" applyFill="1" applyBorder="1" applyAlignment="1">
      <alignment horizontal="center" vertical="center"/>
    </xf>
    <xf numFmtId="4" fontId="375" fillId="2" borderId="30" xfId="0" applyNumberFormat="1" applyFont="1" applyFill="1" applyBorder="1" applyAlignment="1">
      <alignment horizontal="center" vertical="center"/>
    </xf>
    <xf numFmtId="43" fontId="376" fillId="0" borderId="0" xfId="0" applyNumberFormat="1" applyFont="1"/>
    <xf numFmtId="43" fontId="375" fillId="59" borderId="1" xfId="3040" applyFont="1" applyFill="1" applyBorder="1" applyAlignment="1">
      <alignment horizontal="center" vertical="center"/>
    </xf>
    <xf numFmtId="43" fontId="375" fillId="2" borderId="1" xfId="3040" applyFont="1" applyFill="1" applyBorder="1" applyAlignment="1">
      <alignment horizontal="center" vertical="center"/>
    </xf>
    <xf numFmtId="43" fontId="375" fillId="2" borderId="32" xfId="3040" applyFont="1" applyFill="1" applyBorder="1" applyAlignment="1">
      <alignment horizontal="center" vertical="center"/>
    </xf>
    <xf numFmtId="10" fontId="377" fillId="59" borderId="34" xfId="3304" applyNumberFormat="1" applyFont="1" applyFill="1" applyBorder="1" applyAlignment="1">
      <alignment horizontal="center" vertical="center"/>
    </xf>
    <xf numFmtId="10" fontId="377" fillId="2" borderId="34" xfId="3304" applyNumberFormat="1" applyFont="1" applyFill="1" applyBorder="1" applyAlignment="1">
      <alignment horizontal="center" vertical="center"/>
    </xf>
    <xf numFmtId="10" fontId="377" fillId="2" borderId="35" xfId="3304" applyNumberFormat="1" applyFont="1" applyFill="1" applyBorder="1" applyAlignment="1">
      <alignment horizontal="center" vertical="center"/>
    </xf>
    <xf numFmtId="43" fontId="378" fillId="59" borderId="30" xfId="3040" applyFont="1" applyFill="1" applyBorder="1" applyAlignment="1">
      <alignment horizontal="center" vertical="center"/>
    </xf>
    <xf numFmtId="43" fontId="378" fillId="0" borderId="30" xfId="3040" applyFont="1" applyBorder="1" applyAlignment="1">
      <alignment horizontal="center" vertical="center"/>
    </xf>
    <xf numFmtId="43" fontId="360" fillId="59" borderId="30" xfId="3040" applyFont="1" applyFill="1" applyBorder="1" applyAlignment="1">
      <alignment horizontal="center" vertical="center"/>
    </xf>
    <xf numFmtId="43" fontId="313" fillId="2" borderId="31" xfId="3040" applyFont="1" applyFill="1" applyBorder="1" applyAlignment="1">
      <alignment horizontal="center" vertical="center"/>
    </xf>
    <xf numFmtId="43" fontId="314" fillId="59" borderId="1" xfId="3040" applyFont="1" applyFill="1" applyBorder="1" applyAlignment="1">
      <alignment horizontal="center" vertical="center"/>
    </xf>
    <xf numFmtId="43" fontId="314" fillId="0" borderId="1" xfId="3040" applyFont="1" applyBorder="1" applyAlignment="1">
      <alignment horizontal="center" vertical="center"/>
    </xf>
    <xf numFmtId="43" fontId="380" fillId="59" borderId="1" xfId="3040" applyFont="1" applyFill="1" applyBorder="1" applyAlignment="1">
      <alignment horizontal="center" vertical="center"/>
    </xf>
    <xf numFmtId="4" fontId="381" fillId="59" borderId="1" xfId="3302" applyNumberFormat="1" applyFont="1" applyFill="1" applyBorder="1" applyAlignment="1">
      <alignment horizontal="center" vertical="center"/>
    </xf>
    <xf numFmtId="4" fontId="381" fillId="0" borderId="1" xfId="3302" applyNumberFormat="1" applyFont="1" applyBorder="1" applyAlignment="1">
      <alignment horizontal="center" vertical="center"/>
    </xf>
    <xf numFmtId="43" fontId="381" fillId="2" borderId="32" xfId="3040" applyFont="1" applyFill="1" applyBorder="1" applyAlignment="1">
      <alignment horizontal="center" vertical="center"/>
    </xf>
    <xf numFmtId="10" fontId="310" fillId="0" borderId="0" xfId="3304" applyNumberFormat="1" applyFont="1"/>
    <xf numFmtId="4" fontId="314" fillId="59" borderId="1" xfId="0" applyNumberFormat="1" applyFont="1" applyFill="1" applyBorder="1" applyAlignment="1">
      <alignment horizontal="center" vertical="center"/>
    </xf>
    <xf numFmtId="4" fontId="314" fillId="0" borderId="1" xfId="0" applyNumberFormat="1" applyFont="1" applyBorder="1" applyAlignment="1">
      <alignment horizontal="center" vertical="center"/>
    </xf>
    <xf numFmtId="4" fontId="382" fillId="59" borderId="1" xfId="0" applyNumberFormat="1" applyFont="1" applyFill="1" applyBorder="1" applyAlignment="1">
      <alignment horizontal="center" vertical="center"/>
    </xf>
    <xf numFmtId="4" fontId="314" fillId="2" borderId="32" xfId="0" applyNumberFormat="1" applyFont="1" applyFill="1" applyBorder="1" applyAlignment="1">
      <alignment horizontal="center" vertical="center"/>
    </xf>
    <xf numFmtId="10" fontId="314" fillId="59" borderId="1" xfId="3304" applyNumberFormat="1" applyFont="1" applyFill="1" applyBorder="1" applyAlignment="1">
      <alignment horizontal="center" vertical="center"/>
    </xf>
    <xf numFmtId="10" fontId="314" fillId="0" borderId="1" xfId="3304" applyNumberFormat="1" applyFont="1" applyBorder="1" applyAlignment="1">
      <alignment horizontal="center" vertical="center"/>
    </xf>
    <xf numFmtId="10" fontId="382" fillId="59" borderId="1" xfId="3304" applyNumberFormat="1" applyFont="1" applyFill="1" applyBorder="1" applyAlignment="1">
      <alignment horizontal="center" vertical="center"/>
    </xf>
    <xf numFmtId="4" fontId="314" fillId="59" borderId="1" xfId="3304" applyNumberFormat="1" applyFont="1" applyFill="1" applyBorder="1" applyAlignment="1">
      <alignment horizontal="center" vertical="center"/>
    </xf>
    <xf numFmtId="4" fontId="314" fillId="0" borderId="1" xfId="3304" applyNumberFormat="1" applyFont="1" applyBorder="1" applyAlignment="1">
      <alignment horizontal="center" vertical="center"/>
    </xf>
    <xf numFmtId="4" fontId="382" fillId="59" borderId="1" xfId="3304" applyNumberFormat="1" applyFont="1" applyFill="1" applyBorder="1" applyAlignment="1">
      <alignment horizontal="center" vertical="center"/>
    </xf>
    <xf numFmtId="2" fontId="314" fillId="2" borderId="32" xfId="0" applyNumberFormat="1" applyFont="1" applyFill="1" applyBorder="1" applyAlignment="1">
      <alignment horizontal="center" vertical="center"/>
    </xf>
    <xf numFmtId="10" fontId="300" fillId="59" borderId="34" xfId="3304" applyNumberFormat="1" applyFont="1" applyFill="1" applyBorder="1" applyAlignment="1">
      <alignment horizontal="center" vertical="center"/>
    </xf>
    <xf numFmtId="10" fontId="300" fillId="0" borderId="34" xfId="3304" applyNumberFormat="1" applyFont="1" applyBorder="1" applyAlignment="1">
      <alignment horizontal="center" vertical="center"/>
    </xf>
    <xf numFmtId="10" fontId="383" fillId="59" borderId="34" xfId="3304" applyNumberFormat="1" applyFont="1" applyFill="1" applyBorder="1" applyAlignment="1">
      <alignment horizontal="center" vertical="center"/>
    </xf>
    <xf numFmtId="164" fontId="300" fillId="2" borderId="35" xfId="0" applyNumberFormat="1" applyFont="1" applyFill="1" applyBorder="1" applyAlignment="1">
      <alignment horizontal="center" vertical="center"/>
    </xf>
    <xf numFmtId="4" fontId="314" fillId="2" borderId="31" xfId="0" applyNumberFormat="1" applyFont="1" applyFill="1" applyBorder="1" applyAlignment="1">
      <alignment horizontal="center" vertical="center"/>
    </xf>
    <xf numFmtId="4" fontId="314" fillId="2" borderId="35" xfId="0" applyNumberFormat="1" applyFont="1" applyFill="1" applyBorder="1" applyAlignment="1">
      <alignment horizontal="center" vertical="center"/>
    </xf>
    <xf numFmtId="10" fontId="300" fillId="59" borderId="1" xfId="3304" applyNumberFormat="1" applyFont="1" applyFill="1" applyBorder="1" applyAlignment="1">
      <alignment horizontal="center" vertical="center"/>
    </xf>
    <xf numFmtId="10" fontId="300" fillId="0" borderId="1" xfId="3304" applyNumberFormat="1" applyFont="1" applyBorder="1" applyAlignment="1">
      <alignment horizontal="center" vertical="center"/>
    </xf>
    <xf numFmtId="10" fontId="383" fillId="59" borderId="1" xfId="3304" applyNumberFormat="1" applyFont="1" applyFill="1" applyBorder="1" applyAlignment="1">
      <alignment horizontal="center" vertical="center"/>
    </xf>
    <xf numFmtId="43" fontId="313" fillId="2" borderId="28" xfId="3040" applyFont="1" applyFill="1" applyBorder="1" applyAlignment="1">
      <alignment horizontal="center" vertical="center"/>
    </xf>
    <xf numFmtId="43" fontId="384" fillId="59" borderId="1" xfId="3040" applyFont="1" applyFill="1" applyBorder="1" applyAlignment="1">
      <alignment horizontal="center" vertical="center"/>
    </xf>
    <xf numFmtId="43" fontId="381" fillId="2" borderId="22" xfId="3040" applyFont="1" applyFill="1" applyBorder="1" applyAlignment="1">
      <alignment horizontal="center" vertical="center"/>
    </xf>
    <xf numFmtId="4" fontId="314" fillId="2" borderId="1" xfId="0" applyNumberFormat="1" applyFont="1" applyFill="1" applyBorder="1" applyAlignment="1">
      <alignment horizontal="center" vertical="center"/>
    </xf>
    <xf numFmtId="164" fontId="300" fillId="2" borderId="1" xfId="0" applyNumberFormat="1" applyFont="1" applyFill="1" applyBorder="1" applyAlignment="1">
      <alignment horizontal="center" vertical="center"/>
    </xf>
    <xf numFmtId="4" fontId="314" fillId="59" borderId="5" xfId="3304" applyNumberFormat="1" applyFont="1" applyFill="1" applyBorder="1" applyAlignment="1">
      <alignment horizontal="center" vertical="center"/>
    </xf>
    <xf numFmtId="4" fontId="314" fillId="0" borderId="5" xfId="3304" applyNumberFormat="1" applyFont="1" applyBorder="1" applyAlignment="1">
      <alignment horizontal="center" vertical="center"/>
    </xf>
    <xf numFmtId="4" fontId="382" fillId="59" borderId="5" xfId="3304" applyNumberFormat="1" applyFont="1" applyFill="1" applyBorder="1" applyAlignment="1">
      <alignment horizontal="center" vertical="center"/>
    </xf>
    <xf numFmtId="2" fontId="314" fillId="2" borderId="5" xfId="0" applyNumberFormat="1" applyFont="1" applyFill="1" applyBorder="1" applyAlignment="1">
      <alignment horizontal="center" vertical="center"/>
    </xf>
    <xf numFmtId="0" fontId="302" fillId="0" borderId="0" xfId="0" applyFont="1"/>
    <xf numFmtId="10" fontId="385" fillId="59" borderId="34" xfId="3304" applyNumberFormat="1" applyFont="1" applyFill="1" applyBorder="1" applyAlignment="1">
      <alignment horizontal="center" vertical="center"/>
    </xf>
    <xf numFmtId="10" fontId="385" fillId="0" borderId="34" xfId="3304" applyNumberFormat="1" applyFont="1" applyBorder="1" applyAlignment="1">
      <alignment horizontal="center" vertical="center"/>
    </xf>
    <xf numFmtId="10" fontId="387" fillId="59" borderId="34" xfId="3304" applyNumberFormat="1" applyFont="1" applyFill="1" applyBorder="1" applyAlignment="1">
      <alignment horizontal="center" vertical="center"/>
    </xf>
    <xf numFmtId="10" fontId="385" fillId="2" borderId="35" xfId="3304" applyNumberFormat="1" applyFont="1" applyFill="1" applyBorder="1" applyAlignment="1">
      <alignment horizontal="center" vertical="center"/>
    </xf>
    <xf numFmtId="4" fontId="375" fillId="60" borderId="30" xfId="0" applyNumberFormat="1" applyFont="1" applyFill="1" applyBorder="1" applyAlignment="1">
      <alignment horizontal="center" vertical="center"/>
    </xf>
    <xf numFmtId="43" fontId="375" fillId="60" borderId="1" xfId="3040" applyFont="1" applyFill="1" applyBorder="1" applyAlignment="1">
      <alignment horizontal="center" vertical="center"/>
    </xf>
    <xf numFmtId="10" fontId="377" fillId="60" borderId="34" xfId="3304" applyNumberFormat="1" applyFont="1" applyFill="1" applyBorder="1" applyAlignment="1">
      <alignment horizontal="center" vertical="center"/>
    </xf>
    <xf numFmtId="43" fontId="378" fillId="60" borderId="30" xfId="3040" applyFont="1" applyFill="1" applyBorder="1" applyAlignment="1">
      <alignment horizontal="center" vertical="center"/>
    </xf>
    <xf numFmtId="10" fontId="379" fillId="60" borderId="1" xfId="3304" applyNumberFormat="1" applyFont="1" applyFill="1" applyBorder="1" applyAlignment="1">
      <alignment horizontal="center" vertical="center"/>
    </xf>
    <xf numFmtId="4" fontId="381" fillId="60" borderId="1" xfId="3302" applyNumberFormat="1" applyFont="1" applyFill="1" applyBorder="1" applyAlignment="1">
      <alignment horizontal="center" vertical="center"/>
    </xf>
    <xf numFmtId="10" fontId="314" fillId="60" borderId="1" xfId="3304" applyNumberFormat="1" applyFont="1" applyFill="1" applyBorder="1" applyAlignment="1">
      <alignment horizontal="center" vertical="center"/>
    </xf>
    <xf numFmtId="10" fontId="300" fillId="60" borderId="34" xfId="3304" applyNumberFormat="1" applyFont="1" applyFill="1" applyBorder="1" applyAlignment="1">
      <alignment horizontal="center" vertical="center"/>
    </xf>
    <xf numFmtId="10" fontId="300" fillId="60" borderId="1" xfId="3304" applyNumberFormat="1" applyFont="1" applyFill="1" applyBorder="1" applyAlignment="1">
      <alignment horizontal="center" vertical="center"/>
    </xf>
    <xf numFmtId="4" fontId="375" fillId="60" borderId="1" xfId="0" applyNumberFormat="1" applyFont="1" applyFill="1" applyBorder="1" applyAlignment="1">
      <alignment horizontal="center" vertical="center"/>
    </xf>
    <xf numFmtId="4" fontId="314" fillId="60" borderId="1" xfId="0" applyNumberFormat="1" applyFont="1" applyFill="1" applyBorder="1" applyAlignment="1">
      <alignment horizontal="center" vertical="center"/>
    </xf>
    <xf numFmtId="4" fontId="314" fillId="60" borderId="5" xfId="3304" applyNumberFormat="1" applyFont="1" applyFill="1" applyBorder="1" applyAlignment="1">
      <alignment horizontal="center" vertical="center"/>
    </xf>
    <xf numFmtId="10" fontId="385" fillId="60" borderId="34" xfId="3304" applyNumberFormat="1" applyFont="1" applyFill="1" applyBorder="1" applyAlignment="1">
      <alignment horizontal="center" vertical="center"/>
    </xf>
    <xf numFmtId="4" fontId="375" fillId="60" borderId="1" xfId="3040" applyNumberFormat="1" applyFont="1" applyFill="1" applyBorder="1" applyAlignment="1">
      <alignment horizontal="center" vertical="center"/>
    </xf>
    <xf numFmtId="4" fontId="314" fillId="60" borderId="1" xfId="3304" applyNumberFormat="1" applyFont="1" applyFill="1" applyBorder="1" applyAlignment="1">
      <alignment horizontal="center" vertical="center"/>
    </xf>
    <xf numFmtId="4" fontId="313" fillId="60" borderId="5" xfId="0" applyNumberFormat="1" applyFont="1" applyFill="1" applyBorder="1" applyAlignment="1">
      <alignment horizontal="center" vertical="center"/>
    </xf>
    <xf numFmtId="164" fontId="388" fillId="2" borderId="1" xfId="0" applyNumberFormat="1" applyFont="1" applyFill="1" applyBorder="1" applyAlignment="1">
      <alignment horizontal="left" vertical="center"/>
    </xf>
    <xf numFmtId="10" fontId="334" fillId="0" borderId="1" xfId="3304" applyNumberFormat="1" applyFont="1" applyBorder="1" applyAlignment="1">
      <alignment horizontal="center" vertical="center"/>
    </xf>
    <xf numFmtId="10" fontId="334" fillId="4" borderId="1" xfId="3304" applyNumberFormat="1" applyFont="1" applyFill="1" applyBorder="1" applyAlignment="1">
      <alignment horizontal="center" vertical="center"/>
    </xf>
    <xf numFmtId="164" fontId="334" fillId="2" borderId="1" xfId="0" applyNumberFormat="1" applyFont="1" applyFill="1" applyBorder="1" applyAlignment="1">
      <alignment horizontal="left" vertical="center"/>
    </xf>
    <xf numFmtId="10" fontId="334" fillId="65" borderId="1" xfId="3304" applyNumberFormat="1" applyFont="1" applyFill="1" applyBorder="1" applyAlignment="1">
      <alignment horizontal="center" vertical="center"/>
    </xf>
    <xf numFmtId="164" fontId="334" fillId="2" borderId="1" xfId="0" applyNumberFormat="1" applyFont="1" applyFill="1" applyBorder="1" applyAlignment="1">
      <alignment horizontal="center" vertical="center"/>
    </xf>
    <xf numFmtId="10" fontId="364" fillId="0" borderId="1" xfId="3304" applyNumberFormat="1" applyFont="1" applyBorder="1" applyAlignment="1">
      <alignment horizontal="center" vertical="center"/>
    </xf>
    <xf numFmtId="10" fontId="364" fillId="4" borderId="1" xfId="3304" applyNumberFormat="1" applyFont="1" applyFill="1" applyBorder="1" applyAlignment="1">
      <alignment horizontal="center" vertical="center"/>
    </xf>
    <xf numFmtId="164" fontId="364" fillId="2" borderId="1" xfId="0" applyNumberFormat="1" applyFont="1" applyFill="1" applyBorder="1" applyAlignment="1">
      <alignment horizontal="left" vertical="center"/>
    </xf>
    <xf numFmtId="4" fontId="389" fillId="60" borderId="30" xfId="0" applyNumberFormat="1" applyFont="1" applyFill="1" applyBorder="1" applyAlignment="1">
      <alignment horizontal="center" vertical="center"/>
    </xf>
    <xf numFmtId="4" fontId="389" fillId="2" borderId="31" xfId="0" applyNumberFormat="1" applyFont="1" applyFill="1" applyBorder="1" applyAlignment="1">
      <alignment horizontal="center" vertical="center"/>
    </xf>
    <xf numFmtId="10" fontId="390" fillId="60" borderId="1" xfId="3304" applyNumberFormat="1" applyFont="1" applyFill="1" applyBorder="1" applyAlignment="1">
      <alignment horizontal="center" vertical="center"/>
    </xf>
    <xf numFmtId="4" fontId="390" fillId="2" borderId="32" xfId="0" applyNumberFormat="1" applyFont="1" applyFill="1" applyBorder="1" applyAlignment="1">
      <alignment horizontal="center" vertical="center"/>
    </xf>
    <xf numFmtId="10" fontId="389" fillId="60" borderId="34" xfId="3304" applyNumberFormat="1" applyFont="1" applyFill="1" applyBorder="1" applyAlignment="1">
      <alignment horizontal="center" vertical="center"/>
    </xf>
    <xf numFmtId="4" fontId="389" fillId="2" borderId="35" xfId="0" applyNumberFormat="1" applyFont="1" applyFill="1" applyBorder="1" applyAlignment="1">
      <alignment horizontal="center" vertical="center"/>
    </xf>
    <xf numFmtId="4" fontId="389" fillId="60" borderId="1" xfId="0" applyNumberFormat="1" applyFont="1" applyFill="1" applyBorder="1" applyAlignment="1">
      <alignment horizontal="center" vertical="center"/>
    </xf>
    <xf numFmtId="4" fontId="389" fillId="2" borderId="32" xfId="0" applyNumberFormat="1" applyFont="1" applyFill="1" applyBorder="1" applyAlignment="1">
      <alignment horizontal="center" vertical="center"/>
    </xf>
    <xf numFmtId="0" fontId="224" fillId="66" borderId="14" xfId="0" applyFont="1" applyFill="1" applyBorder="1" applyAlignment="1">
      <alignment horizontal="center"/>
    </xf>
    <xf numFmtId="4" fontId="314" fillId="60" borderId="1" xfId="3040" applyNumberFormat="1" applyFont="1" applyFill="1" applyBorder="1" applyAlignment="1">
      <alignment horizontal="center" vertical="center"/>
    </xf>
    <xf numFmtId="4" fontId="380" fillId="60" borderId="1" xfId="3040" applyNumberFormat="1" applyFont="1" applyFill="1" applyBorder="1" applyAlignment="1">
      <alignment horizontal="center" vertical="center"/>
    </xf>
    <xf numFmtId="43" fontId="391" fillId="65" borderId="1" xfId="3040" applyFont="1" applyFill="1" applyBorder="1" applyAlignment="1">
      <alignment horizontal="center" vertical="center"/>
    </xf>
    <xf numFmtId="4" fontId="392" fillId="65" borderId="1" xfId="3302" applyNumberFormat="1" applyFont="1" applyFill="1" applyBorder="1" applyAlignment="1">
      <alignment horizontal="center" vertical="center"/>
    </xf>
    <xf numFmtId="4" fontId="391" fillId="65" borderId="1" xfId="3302" applyNumberFormat="1" applyFont="1" applyFill="1" applyBorder="1" applyAlignment="1">
      <alignment horizontal="center" vertical="center"/>
    </xf>
    <xf numFmtId="43" fontId="334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43" fontId="393" fillId="2" borderId="1" xfId="3040" applyFont="1" applyFill="1" applyBorder="1" applyAlignment="1">
      <alignment horizontal="left" vertical="center"/>
    </xf>
    <xf numFmtId="4" fontId="393" fillId="0" borderId="1" xfId="0" applyNumberFormat="1" applyFont="1" applyFill="1" applyBorder="1" applyAlignment="1">
      <alignment horizontal="center" vertical="center"/>
    </xf>
    <xf numFmtId="4" fontId="394" fillId="0" borderId="1" xfId="0" applyNumberFormat="1" applyFont="1" applyFill="1" applyBorder="1" applyAlignment="1">
      <alignment horizontal="center" vertical="center"/>
    </xf>
    <xf numFmtId="4" fontId="394" fillId="0" borderId="6" xfId="0" applyNumberFormat="1" applyFont="1" applyFill="1" applyBorder="1" applyAlignment="1">
      <alignment horizontal="center" vertical="center"/>
    </xf>
    <xf numFmtId="9" fontId="334" fillId="2" borderId="1" xfId="3304" applyFont="1" applyFill="1" applyBorder="1" applyAlignment="1">
      <alignment horizontal="left" vertical="center"/>
    </xf>
    <xf numFmtId="4" fontId="393" fillId="2" borderId="1" xfId="0" applyNumberFormat="1" applyFont="1" applyFill="1" applyBorder="1" applyAlignment="1">
      <alignment horizontal="center" vertical="center"/>
    </xf>
    <xf numFmtId="10" fontId="395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4" fontId="396" fillId="0" borderId="29" xfId="0" applyNumberFormat="1" applyFont="1" applyFill="1" applyBorder="1" applyAlignment="1">
      <alignment horizontal="left" vertical="center"/>
    </xf>
    <xf numFmtId="10" fontId="396" fillId="59" borderId="30" xfId="3304" applyNumberFormat="1" applyFont="1" applyFill="1" applyBorder="1" applyAlignment="1">
      <alignment horizontal="center" vertical="center"/>
    </xf>
    <xf numFmtId="10" fontId="396" fillId="0" borderId="30" xfId="3304" applyNumberFormat="1" applyFont="1" applyBorder="1" applyAlignment="1">
      <alignment horizontal="center" vertical="center"/>
    </xf>
    <xf numFmtId="10" fontId="396" fillId="60" borderId="30" xfId="3304" applyNumberFormat="1" applyFont="1" applyFill="1" applyBorder="1" applyAlignment="1">
      <alignment horizontal="center" vertical="center"/>
    </xf>
    <xf numFmtId="4" fontId="396" fillId="0" borderId="20" xfId="0" applyNumberFormat="1" applyFont="1" applyFill="1" applyBorder="1" applyAlignment="1">
      <alignment horizontal="left" vertical="center"/>
    </xf>
    <xf numFmtId="10" fontId="397" fillId="59" borderId="1" xfId="3304" applyNumberFormat="1" applyFont="1" applyFill="1" applyBorder="1" applyAlignment="1">
      <alignment horizontal="center" vertical="center"/>
    </xf>
    <xf numFmtId="10" fontId="397" fillId="60" borderId="1" xfId="3304" applyNumberFormat="1" applyFont="1" applyFill="1" applyBorder="1" applyAlignment="1">
      <alignment horizontal="center" vertical="center"/>
    </xf>
    <xf numFmtId="43" fontId="397" fillId="60" borderId="1" xfId="3040" applyFont="1" applyFill="1" applyBorder="1" applyAlignment="1">
      <alignment horizontal="center" vertical="center"/>
    </xf>
    <xf numFmtId="4" fontId="396" fillId="0" borderId="33" xfId="0" applyNumberFormat="1" applyFont="1" applyFill="1" applyBorder="1" applyAlignment="1">
      <alignment horizontal="left" vertical="center"/>
    </xf>
    <xf numFmtId="10" fontId="396" fillId="59" borderId="34" xfId="3304" applyNumberFormat="1" applyFont="1" applyFill="1" applyBorder="1" applyAlignment="1">
      <alignment horizontal="center" vertical="center"/>
    </xf>
    <xf numFmtId="10" fontId="396" fillId="0" borderId="34" xfId="3304" applyNumberFormat="1" applyFont="1" applyBorder="1" applyAlignment="1">
      <alignment horizontal="center" vertical="center"/>
    </xf>
    <xf numFmtId="10" fontId="396" fillId="60" borderId="34" xfId="3304" applyNumberFormat="1" applyFont="1" applyFill="1" applyBorder="1" applyAlignment="1">
      <alignment horizontal="center" vertical="center"/>
    </xf>
    <xf numFmtId="4" fontId="398" fillId="0" borderId="20" xfId="0" applyNumberFormat="1" applyFont="1" applyFill="1" applyBorder="1" applyAlignment="1">
      <alignment horizontal="left" vertical="center"/>
    </xf>
    <xf numFmtId="10" fontId="397" fillId="0" borderId="1" xfId="3304" applyNumberFormat="1" applyFont="1" applyBorder="1" applyAlignment="1">
      <alignment horizontal="center" vertical="center"/>
    </xf>
    <xf numFmtId="4" fontId="0" fillId="0" borderId="0" xfId="0" applyNumberFormat="1" applyFont="1"/>
    <xf numFmtId="4" fontId="217" fillId="0" borderId="0" xfId="0" applyNumberFormat="1" applyFont="1"/>
    <xf numFmtId="43" fontId="217" fillId="0" borderId="0" xfId="3040" applyFont="1"/>
    <xf numFmtId="0" fontId="399" fillId="0" borderId="29" xfId="0" applyFont="1" applyBorder="1" applyAlignment="1">
      <alignment horizontal="left" vertical="center"/>
    </xf>
    <xf numFmtId="4" fontId="396" fillId="59" borderId="30" xfId="3302" applyNumberFormat="1" applyFont="1" applyFill="1" applyBorder="1" applyAlignment="1">
      <alignment horizontal="center" vertical="center"/>
    </xf>
    <xf numFmtId="4" fontId="397" fillId="0" borderId="30" xfId="3302" applyNumberFormat="1" applyFont="1" applyBorder="1" applyAlignment="1">
      <alignment horizontal="center" vertical="center"/>
    </xf>
    <xf numFmtId="4" fontId="397" fillId="59" borderId="30" xfId="3302" applyNumberFormat="1" applyFont="1" applyFill="1" applyBorder="1" applyAlignment="1">
      <alignment horizontal="center" vertical="center"/>
    </xf>
    <xf numFmtId="43" fontId="396" fillId="60" borderId="30" xfId="3040" applyFont="1" applyFill="1" applyBorder="1" applyAlignment="1">
      <alignment horizontal="center" vertical="center"/>
    </xf>
    <xf numFmtId="0" fontId="399" fillId="0" borderId="37" xfId="0" applyFont="1" applyBorder="1" applyAlignment="1">
      <alignment horizontal="left" vertical="center"/>
    </xf>
    <xf numFmtId="4" fontId="397" fillId="60" borderId="34" xfId="3304" applyNumberFormat="1" applyFont="1" applyFill="1" applyBorder="1" applyAlignment="1">
      <alignment horizontal="center" vertical="center"/>
    </xf>
    <xf numFmtId="4" fontId="396" fillId="60" borderId="34" xfId="3304" applyNumberFormat="1" applyFont="1" applyFill="1" applyBorder="1" applyAlignment="1">
      <alignment horizontal="center" vertical="center"/>
    </xf>
    <xf numFmtId="4" fontId="396" fillId="60" borderId="34" xfId="3302" applyNumberFormat="1" applyFont="1" applyFill="1" applyBorder="1" applyAlignment="1">
      <alignment horizontal="center" vertical="center"/>
    </xf>
    <xf numFmtId="4" fontId="396" fillId="0" borderId="62" xfId="0" applyNumberFormat="1" applyFont="1" applyFill="1" applyBorder="1" applyAlignment="1">
      <alignment horizontal="left" vertical="center"/>
    </xf>
    <xf numFmtId="10" fontId="396" fillId="59" borderId="5" xfId="3304" applyNumberFormat="1" applyFont="1" applyFill="1" applyBorder="1" applyAlignment="1">
      <alignment horizontal="center" vertical="center"/>
    </xf>
    <xf numFmtId="10" fontId="396" fillId="0" borderId="5" xfId="3304" applyNumberFormat="1" applyFont="1" applyBorder="1" applyAlignment="1">
      <alignment horizontal="center" vertical="center"/>
    </xf>
    <xf numFmtId="10" fontId="396" fillId="60" borderId="5" xfId="3304" applyNumberFormat="1" applyFont="1" applyFill="1" applyBorder="1" applyAlignment="1">
      <alignment horizontal="center" vertical="center"/>
    </xf>
    <xf numFmtId="10" fontId="389" fillId="60" borderId="5" xfId="3304" applyNumberFormat="1" applyFont="1" applyFill="1" applyBorder="1" applyAlignment="1">
      <alignment horizontal="center" vertical="center"/>
    </xf>
    <xf numFmtId="4" fontId="389" fillId="2" borderId="63" xfId="0" applyNumberFormat="1" applyFont="1" applyFill="1" applyBorder="1" applyAlignment="1">
      <alignment horizontal="center" vertical="center"/>
    </xf>
    <xf numFmtId="4" fontId="222" fillId="0" borderId="64" xfId="0" applyNumberFormat="1" applyFont="1" applyFill="1" applyBorder="1" applyAlignment="1">
      <alignment horizontal="left" vertical="center"/>
    </xf>
    <xf numFmtId="10" fontId="385" fillId="59" borderId="23" xfId="3304" applyNumberFormat="1" applyFont="1" applyFill="1" applyBorder="1" applyAlignment="1">
      <alignment horizontal="center" vertical="center"/>
    </xf>
    <xf numFmtId="10" fontId="385" fillId="0" borderId="23" xfId="3304" applyNumberFormat="1" applyFont="1" applyBorder="1" applyAlignment="1">
      <alignment horizontal="center" vertical="center"/>
    </xf>
    <xf numFmtId="10" fontId="386" fillId="60" borderId="23" xfId="3304" applyNumberFormat="1" applyFont="1" applyFill="1" applyBorder="1" applyAlignment="1">
      <alignment horizontal="center" vertical="center"/>
    </xf>
    <xf numFmtId="10" fontId="387" fillId="59" borderId="23" xfId="3304" applyNumberFormat="1" applyFont="1" applyFill="1" applyBorder="1" applyAlignment="1">
      <alignment horizontal="center" vertical="center"/>
    </xf>
    <xf numFmtId="164" fontId="385" fillId="2" borderId="65" xfId="0" applyNumberFormat="1" applyFont="1" applyFill="1" applyBorder="1" applyAlignment="1">
      <alignment horizontal="center" vertical="center"/>
    </xf>
    <xf numFmtId="4" fontId="375" fillId="0" borderId="23" xfId="3302" applyNumberFormat="1" applyFont="1" applyBorder="1" applyAlignment="1">
      <alignment horizontal="center" vertical="center"/>
    </xf>
    <xf numFmtId="4" fontId="375" fillId="60" borderId="23" xfId="3302" applyNumberFormat="1" applyFont="1" applyFill="1" applyBorder="1" applyAlignment="1">
      <alignment horizontal="center" vertical="center"/>
    </xf>
    <xf numFmtId="4" fontId="375" fillId="2" borderId="28" xfId="3040" applyNumberFormat="1" applyFont="1" applyFill="1" applyBorder="1" applyAlignment="1">
      <alignment horizontal="center" vertical="center"/>
    </xf>
    <xf numFmtId="4" fontId="216" fillId="0" borderId="66" xfId="0" applyNumberFormat="1" applyFont="1" applyFill="1" applyBorder="1" applyAlignment="1">
      <alignment horizontal="left" vertical="center"/>
    </xf>
    <xf numFmtId="4" fontId="397" fillId="59" borderId="67" xfId="3304" applyNumberFormat="1" applyFont="1" applyFill="1" applyBorder="1" applyAlignment="1">
      <alignment horizontal="center" vertical="center"/>
    </xf>
    <xf numFmtId="4" fontId="397" fillId="0" borderId="67" xfId="3304" applyNumberFormat="1" applyFont="1" applyBorder="1" applyAlignment="1">
      <alignment horizontal="center" vertical="center"/>
    </xf>
    <xf numFmtId="4" fontId="397" fillId="60" borderId="67" xfId="3304" applyNumberFormat="1" applyFont="1" applyFill="1" applyBorder="1" applyAlignment="1">
      <alignment horizontal="center" vertical="center"/>
    </xf>
    <xf numFmtId="4" fontId="314" fillId="60" borderId="67" xfId="3304" applyNumberFormat="1" applyFont="1" applyFill="1" applyBorder="1" applyAlignment="1">
      <alignment horizontal="center" vertical="center"/>
    </xf>
    <xf numFmtId="2" fontId="314" fillId="2" borderId="68" xfId="0" applyNumberFormat="1" applyFont="1" applyFill="1" applyBorder="1" applyAlignment="1">
      <alignment horizontal="center" vertical="center"/>
    </xf>
    <xf numFmtId="4" fontId="314" fillId="59" borderId="67" xfId="3304" applyNumberFormat="1" applyFont="1" applyFill="1" applyBorder="1" applyAlignment="1">
      <alignment horizontal="center" vertical="center"/>
    </xf>
    <xf numFmtId="4" fontId="314" fillId="0" borderId="67" xfId="3304" applyNumberFormat="1" applyFont="1" applyBorder="1" applyAlignment="1">
      <alignment horizontal="center" vertical="center"/>
    </xf>
    <xf numFmtId="4" fontId="360" fillId="59" borderId="67" xfId="3304" applyNumberFormat="1" applyFont="1" applyFill="1" applyBorder="1" applyAlignment="1">
      <alignment horizontal="center" vertical="center"/>
    </xf>
    <xf numFmtId="2" fontId="347" fillId="0" borderId="0" xfId="0" applyNumberFormat="1" applyFont="1"/>
    <xf numFmtId="4" fontId="0" fillId="0" borderId="0" xfId="0" applyNumberFormat="1" applyAlignment="1">
      <alignment horizontal="center"/>
    </xf>
    <xf numFmtId="4" fontId="217" fillId="0" borderId="0" xfId="0" applyNumberFormat="1" applyFont="1" applyAlignment="1">
      <alignment horizontal="center"/>
    </xf>
    <xf numFmtId="0" fontId="400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4" fontId="0" fillId="0" borderId="0" xfId="3040" applyNumberFormat="1" applyFont="1"/>
    <xf numFmtId="4" fontId="217" fillId="0" borderId="0" xfId="3040" applyNumberFormat="1" applyFont="1"/>
    <xf numFmtId="10" fontId="314" fillId="2" borderId="32" xfId="3304" applyNumberFormat="1" applyFont="1" applyFill="1" applyBorder="1" applyAlignment="1">
      <alignment horizontal="center" vertical="center"/>
    </xf>
    <xf numFmtId="2" fontId="212" fillId="0" borderId="1" xfId="0" applyNumberFormat="1" applyFont="1" applyBorder="1" applyAlignment="1">
      <alignment horizontal="right" vertical="center"/>
    </xf>
    <xf numFmtId="2" fontId="212" fillId="59" borderId="1" xfId="0" applyNumberFormat="1" applyFont="1" applyFill="1" applyBorder="1" applyAlignment="1">
      <alignment horizontal="right" vertical="center"/>
    </xf>
    <xf numFmtId="4" fontId="245" fillId="0" borderId="1" xfId="0" applyNumberFormat="1" applyFont="1" applyFill="1" applyBorder="1" applyAlignment="1">
      <alignment horizontal="left" vertical="center"/>
    </xf>
    <xf numFmtId="43" fontId="245" fillId="4" borderId="1" xfId="3040" applyFont="1" applyFill="1" applyBorder="1" applyAlignment="1">
      <alignment horizontal="center" vertical="center"/>
    </xf>
    <xf numFmtId="10" fontId="0" fillId="64" borderId="0" xfId="3304" applyNumberFormat="1" applyFont="1" applyFill="1"/>
    <xf numFmtId="10" fontId="0" fillId="64" borderId="0" xfId="0" applyNumberFormat="1" applyFill="1"/>
    <xf numFmtId="10" fontId="0" fillId="64" borderId="0" xfId="3304" applyNumberFormat="1" applyFont="1" applyFill="1" applyAlignment="1">
      <alignment horizontal="center"/>
    </xf>
    <xf numFmtId="10" fontId="0" fillId="64" borderId="0" xfId="0" applyNumberFormat="1" applyFill="1" applyAlignment="1">
      <alignment horizontal="center"/>
    </xf>
    <xf numFmtId="0" fontId="0" fillId="59" borderId="57" xfId="0" applyFill="1" applyBorder="1" applyAlignment="1">
      <alignment horizontal="center"/>
    </xf>
    <xf numFmtId="4" fontId="0" fillId="59" borderId="0" xfId="0" applyNumberFormat="1" applyFill="1"/>
    <xf numFmtId="4" fontId="370" fillId="59" borderId="0" xfId="0" applyNumberFormat="1" applyFont="1" applyFill="1"/>
    <xf numFmtId="4" fontId="293" fillId="59" borderId="0" xfId="0" applyNumberFormat="1" applyFont="1" applyFill="1"/>
    <xf numFmtId="4" fontId="393" fillId="0" borderId="1" xfId="0" applyNumberFormat="1" applyFont="1" applyFill="1" applyBorder="1" applyAlignment="1">
      <alignment horizontal="left" vertical="center"/>
    </xf>
    <xf numFmtId="43" fontId="393" fillId="0" borderId="1" xfId="3040" applyFont="1" applyBorder="1" applyAlignment="1">
      <alignment horizontal="center" vertical="center"/>
    </xf>
    <xf numFmtId="43" fontId="393" fillId="4" borderId="1" xfId="3040" applyFont="1" applyFill="1" applyBorder="1" applyAlignment="1">
      <alignment horizontal="center" vertical="center"/>
    </xf>
    <xf numFmtId="4" fontId="224" fillId="2" borderId="1" xfId="0" applyNumberFormat="1" applyFont="1" applyFill="1" applyBorder="1" applyAlignment="1">
      <alignment horizontal="left" vertical="center"/>
    </xf>
    <xf numFmtId="4" fontId="224" fillId="0" borderId="1" xfId="0" applyNumberFormat="1" applyFont="1" applyFill="1" applyBorder="1" applyAlignment="1">
      <alignment horizontal="left" vertical="center"/>
    </xf>
    <xf numFmtId="10" fontId="209" fillId="0" borderId="1" xfId="3304" applyNumberFormat="1" applyFont="1" applyBorder="1" applyAlignment="1">
      <alignment horizontal="center" vertical="center"/>
    </xf>
    <xf numFmtId="10" fontId="209" fillId="4" borderId="1" xfId="3304" applyNumberFormat="1" applyFont="1" applyFill="1" applyBorder="1" applyAlignment="1">
      <alignment horizontal="center" vertical="center"/>
    </xf>
    <xf numFmtId="4" fontId="388" fillId="0" borderId="1" xfId="0" applyNumberFormat="1" applyFont="1" applyFill="1" applyBorder="1" applyAlignment="1">
      <alignment horizontal="left" vertical="center"/>
    </xf>
    <xf numFmtId="43" fontId="224" fillId="0" borderId="1" xfId="3040" applyFont="1" applyBorder="1" applyAlignment="1">
      <alignment horizontal="center" vertical="center"/>
    </xf>
    <xf numFmtId="4" fontId="401" fillId="0" borderId="1" xfId="0" applyNumberFormat="1" applyFont="1" applyFill="1" applyBorder="1" applyAlignment="1">
      <alignment horizontal="left" vertical="center"/>
    </xf>
    <xf numFmtId="0" fontId="402" fillId="0" borderId="0" xfId="0" applyFont="1" applyAlignment="1">
      <alignment horizontal="left" vertical="center"/>
    </xf>
    <xf numFmtId="0" fontId="402" fillId="0" borderId="0" xfId="0" applyFont="1" applyAlignment="1">
      <alignment horizontal="left"/>
    </xf>
    <xf numFmtId="43" fontId="401" fillId="0" borderId="1" xfId="3040" applyFont="1" applyBorder="1" applyAlignment="1">
      <alignment horizontal="center" vertical="center"/>
    </xf>
    <xf numFmtId="43" fontId="401" fillId="4" borderId="1" xfId="3040" applyFont="1" applyFill="1" applyBorder="1" applyAlignment="1">
      <alignment horizontal="center" vertical="center"/>
    </xf>
    <xf numFmtId="4" fontId="401" fillId="2" borderId="1" xfId="0" applyNumberFormat="1" applyFont="1" applyFill="1" applyBorder="1" applyAlignment="1">
      <alignment horizontal="left" vertical="center"/>
    </xf>
    <xf numFmtId="0" fontId="235" fillId="0" borderId="22" xfId="0" applyFont="1" applyBorder="1" applyAlignment="1">
      <alignment horizontal="center" vertical="center"/>
    </xf>
    <xf numFmtId="0" fontId="235" fillId="0" borderId="18" xfId="0" applyFont="1" applyBorder="1" applyAlignment="1">
      <alignment horizontal="center" vertical="center"/>
    </xf>
    <xf numFmtId="10" fontId="245" fillId="0" borderId="1" xfId="3040" applyNumberFormat="1" applyFont="1" applyBorder="1" applyAlignment="1">
      <alignment horizontal="center" vertical="center"/>
    </xf>
    <xf numFmtId="10" fontId="212" fillId="0" borderId="0" xfId="3304" applyNumberFormat="1" applyFont="1"/>
    <xf numFmtId="4" fontId="220" fillId="0" borderId="0" xfId="0" applyNumberFormat="1" applyFont="1"/>
    <xf numFmtId="2" fontId="212" fillId="0" borderId="0" xfId="0" applyNumberFormat="1" applyFont="1"/>
    <xf numFmtId="4" fontId="403" fillId="0" borderId="0" xfId="0" applyNumberFormat="1" applyFont="1"/>
    <xf numFmtId="0" fontId="404" fillId="0" borderId="0" xfId="0" applyFont="1"/>
    <xf numFmtId="0" fontId="0" fillId="59" borderId="0" xfId="0" applyFill="1" applyAlignment="1">
      <alignment horizontal="right"/>
    </xf>
    <xf numFmtId="0" fontId="0" fillId="0" borderId="4" xfId="0" applyBorder="1" applyAlignment="1">
      <alignment horizontal="center"/>
    </xf>
    <xf numFmtId="43" fontId="263" fillId="0" borderId="4" xfId="3040" applyFont="1" applyBorder="1" applyAlignment="1">
      <alignment vertical="center"/>
    </xf>
    <xf numFmtId="10" fontId="263" fillId="0" borderId="4" xfId="3304" applyNumberFormat="1" applyFont="1" applyBorder="1" applyAlignment="1">
      <alignment vertical="center"/>
    </xf>
    <xf numFmtId="4" fontId="367" fillId="4" borderId="1" xfId="0" applyNumberFormat="1" applyFont="1" applyFill="1" applyBorder="1" applyAlignment="1">
      <alignment horizontal="center" vertical="center"/>
    </xf>
    <xf numFmtId="4" fontId="208" fillId="65" borderId="1" xfId="0" applyNumberFormat="1" applyFont="1" applyFill="1" applyBorder="1" applyAlignment="1">
      <alignment horizontal="center" vertical="center"/>
    </xf>
    <xf numFmtId="43" fontId="367" fillId="4" borderId="1" xfId="3304" applyNumberFormat="1" applyFont="1" applyFill="1" applyBorder="1" applyAlignment="1">
      <alignment horizontal="center" vertical="center"/>
    </xf>
    <xf numFmtId="4" fontId="405" fillId="60" borderId="1" xfId="3304" applyNumberFormat="1" applyFont="1" applyFill="1" applyBorder="1" applyAlignment="1">
      <alignment horizontal="center" vertical="center"/>
    </xf>
    <xf numFmtId="10" fontId="406" fillId="64" borderId="0" xfId="3304" applyNumberFormat="1" applyFont="1" applyFill="1"/>
    <xf numFmtId="10" fontId="406" fillId="64" borderId="0" xfId="0" applyNumberFormat="1" applyFont="1" applyFill="1"/>
    <xf numFmtId="10" fontId="407" fillId="64" borderId="0" xfId="3304" applyNumberFormat="1" applyFont="1" applyFill="1"/>
    <xf numFmtId="0" fontId="407" fillId="64" borderId="0" xfId="0" applyFont="1" applyFill="1"/>
    <xf numFmtId="10" fontId="375" fillId="2" borderId="1" xfId="3304" applyNumberFormat="1" applyFont="1" applyFill="1" applyBorder="1" applyAlignment="1">
      <alignment horizontal="center" vertical="center"/>
    </xf>
    <xf numFmtId="4" fontId="408" fillId="65" borderId="1" xfId="0" applyNumberFormat="1" applyFont="1" applyFill="1" applyBorder="1" applyAlignment="1">
      <alignment horizontal="center" vertical="center"/>
    </xf>
    <xf numFmtId="43" fontId="393" fillId="65" borderId="1" xfId="3040" applyFont="1" applyFill="1" applyBorder="1" applyAlignment="1">
      <alignment horizontal="center" vertical="center"/>
    </xf>
    <xf numFmtId="43" fontId="393" fillId="4" borderId="1" xfId="3040" applyFont="1" applyFill="1" applyBorder="1" applyAlignment="1">
      <alignment horizontal="left" vertical="center"/>
    </xf>
    <xf numFmtId="43" fontId="393" fillId="4" borderId="1" xfId="3040" applyNumberFormat="1" applyFont="1" applyFill="1" applyBorder="1" applyAlignment="1">
      <alignment horizontal="left" vertical="center"/>
    </xf>
    <xf numFmtId="4" fontId="410" fillId="65" borderId="1" xfId="0" applyNumberFormat="1" applyFont="1" applyFill="1" applyBorder="1" applyAlignment="1">
      <alignment horizontal="center" vertical="center"/>
    </xf>
    <xf numFmtId="10" fontId="217" fillId="0" borderId="0" xfId="3304" applyNumberFormat="1" applyFont="1" applyAlignment="1">
      <alignment horizontal="center" vertical="center"/>
    </xf>
    <xf numFmtId="43" fontId="410" fillId="4" borderId="1" xfId="3304" applyNumberFormat="1" applyFont="1" applyFill="1" applyBorder="1" applyAlignment="1">
      <alignment horizontal="center" vertical="center"/>
    </xf>
    <xf numFmtId="10" fontId="409" fillId="4" borderId="1" xfId="3304" applyNumberFormat="1" applyFont="1" applyFill="1" applyBorder="1" applyAlignment="1">
      <alignment horizontal="center" vertical="center"/>
    </xf>
    <xf numFmtId="4" fontId="411" fillId="0" borderId="0" xfId="0" applyNumberFormat="1" applyFont="1" applyAlignment="1">
      <alignment horizontal="center"/>
    </xf>
    <xf numFmtId="165" fontId="0" fillId="0" borderId="0" xfId="0" applyNumberFormat="1" applyAlignment="1">
      <alignment horizontal="right"/>
    </xf>
    <xf numFmtId="4" fontId="412" fillId="0" borderId="1" xfId="0" applyNumberFormat="1" applyFont="1" applyFill="1" applyBorder="1" applyAlignment="1">
      <alignment horizontal="left" vertical="center"/>
    </xf>
    <xf numFmtId="2" fontId="220" fillId="0" borderId="1" xfId="0" applyNumberFormat="1" applyFon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297" fillId="0" borderId="18" xfId="0" applyNumberFormat="1" applyFont="1" applyBorder="1" applyAlignment="1">
      <alignment horizontal="right" vertical="center"/>
    </xf>
    <xf numFmtId="2" fontId="220" fillId="0" borderId="1" xfId="0" applyNumberFormat="1" applyFont="1" applyBorder="1" applyAlignment="1">
      <alignment vertical="center"/>
    </xf>
    <xf numFmtId="2" fontId="212" fillId="59" borderId="1" xfId="0" applyNumberFormat="1" applyFont="1" applyFill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4" fontId="374" fillId="2" borderId="64" xfId="0" applyNumberFormat="1" applyFont="1" applyFill="1" applyBorder="1" applyAlignment="1">
      <alignment horizontal="left" vertical="center"/>
    </xf>
    <xf numFmtId="4" fontId="413" fillId="0" borderId="0" xfId="0" applyNumberFormat="1" applyFont="1" applyAlignment="1">
      <alignment horizontal="center"/>
    </xf>
    <xf numFmtId="167" fontId="0" fillId="64" borderId="0" xfId="0" applyNumberFormat="1" applyFill="1"/>
    <xf numFmtId="0" fontId="0" fillId="60" borderId="0" xfId="0" applyFill="1" applyAlignment="1">
      <alignment horizontal="center"/>
    </xf>
    <xf numFmtId="10" fontId="298" fillId="60" borderId="0" xfId="3304" applyNumberFormat="1" applyFont="1" applyFill="1" applyAlignment="1">
      <alignment horizontal="center" vertical="center" wrapText="1"/>
    </xf>
    <xf numFmtId="4" fontId="313" fillId="59" borderId="5" xfId="0" applyNumberFormat="1" applyFont="1" applyFill="1" applyBorder="1" applyAlignment="1">
      <alignment horizontal="center" vertical="center"/>
    </xf>
    <xf numFmtId="4" fontId="313" fillId="0" borderId="5" xfId="0" applyNumberFormat="1" applyFont="1" applyFill="1" applyBorder="1" applyAlignment="1">
      <alignment horizontal="center" vertical="center"/>
    </xf>
    <xf numFmtId="4" fontId="360" fillId="59" borderId="5" xfId="0" applyNumberFormat="1" applyFont="1" applyFill="1" applyBorder="1" applyAlignment="1">
      <alignment horizontal="center" vertical="center"/>
    </xf>
    <xf numFmtId="43" fontId="412" fillId="0" borderId="1" xfId="3040" applyFont="1" applyBorder="1" applyAlignment="1">
      <alignment horizontal="center" vertical="center"/>
    </xf>
    <xf numFmtId="43" fontId="412" fillId="4" borderId="1" xfId="3040" applyFont="1" applyFill="1" applyBorder="1" applyAlignment="1">
      <alignment horizontal="center" vertical="center"/>
    </xf>
    <xf numFmtId="4" fontId="414" fillId="0" borderId="1" xfId="0" applyNumberFormat="1" applyFont="1" applyFill="1" applyBorder="1" applyAlignment="1">
      <alignment horizontal="left" vertical="center"/>
    </xf>
    <xf numFmtId="43" fontId="414" fillId="0" borderId="1" xfId="3040" applyFont="1" applyBorder="1" applyAlignment="1">
      <alignment horizontal="center" vertical="center"/>
    </xf>
    <xf numFmtId="43" fontId="414" fillId="4" borderId="1" xfId="3040" applyFont="1" applyFill="1" applyBorder="1" applyAlignment="1">
      <alignment horizontal="center" vertical="center"/>
    </xf>
    <xf numFmtId="4" fontId="412" fillId="0" borderId="1" xfId="0" applyNumberFormat="1" applyFont="1" applyFill="1" applyBorder="1" applyAlignment="1">
      <alignment horizontal="center" vertical="center"/>
    </xf>
    <xf numFmtId="43" fontId="412" fillId="0" borderId="1" xfId="3040" applyFont="1" applyFill="1" applyBorder="1" applyAlignment="1">
      <alignment horizontal="center" vertical="center"/>
    </xf>
    <xf numFmtId="0" fontId="0" fillId="60" borderId="0" xfId="0" applyFill="1"/>
    <xf numFmtId="0" fontId="418" fillId="0" borderId="0" xfId="0" applyFont="1" applyAlignment="1">
      <alignment horizontal="left" vertical="center"/>
    </xf>
    <xf numFmtId="0" fontId="419" fillId="0" borderId="0" xfId="0" applyFont="1" applyAlignment="1">
      <alignment horizontal="left" vertical="center"/>
    </xf>
    <xf numFmtId="1" fontId="417" fillId="2" borderId="6" xfId="0" applyNumberFormat="1" applyFont="1" applyFill="1" applyBorder="1" applyAlignment="1">
      <alignment horizontal="left" vertical="center"/>
    </xf>
    <xf numFmtId="4" fontId="412" fillId="0" borderId="5" xfId="0" applyNumberFormat="1" applyFont="1" applyFill="1" applyBorder="1" applyAlignment="1">
      <alignment horizontal="left" vertical="center"/>
    </xf>
    <xf numFmtId="43" fontId="243" fillId="0" borderId="5" xfId="3040" applyFont="1" applyBorder="1" applyAlignment="1">
      <alignment horizontal="center" vertical="center"/>
    </xf>
    <xf numFmtId="43" fontId="243" fillId="4" borderId="5" xfId="3040" applyFont="1" applyFill="1" applyBorder="1" applyAlignment="1">
      <alignment horizontal="center" vertical="center"/>
    </xf>
    <xf numFmtId="4" fontId="209" fillId="0" borderId="23" xfId="0" applyNumberFormat="1" applyFont="1" applyFill="1" applyBorder="1" applyAlignment="1">
      <alignment horizontal="left" vertical="center"/>
    </xf>
    <xf numFmtId="4" fontId="417" fillId="0" borderId="66" xfId="0" applyNumberFormat="1" applyFont="1" applyFill="1" applyBorder="1" applyAlignment="1">
      <alignment horizontal="left" vertical="center"/>
    </xf>
    <xf numFmtId="43" fontId="417" fillId="0" borderId="67" xfId="3040" applyFont="1" applyBorder="1" applyAlignment="1">
      <alignment horizontal="center" vertical="center"/>
    </xf>
    <xf numFmtId="43" fontId="417" fillId="4" borderId="67" xfId="3040" applyFont="1" applyFill="1" applyBorder="1" applyAlignment="1">
      <alignment horizontal="center" vertical="center"/>
    </xf>
    <xf numFmtId="43" fontId="417" fillId="4" borderId="71" xfId="3040" applyFont="1" applyFill="1" applyBorder="1" applyAlignment="1">
      <alignment horizontal="center" vertical="center"/>
    </xf>
    <xf numFmtId="4" fontId="420" fillId="0" borderId="1" xfId="0" applyNumberFormat="1" applyFont="1" applyFill="1" applyBorder="1" applyAlignment="1">
      <alignment horizontal="left" vertical="center"/>
    </xf>
    <xf numFmtId="4" fontId="420" fillId="0" borderId="1" xfId="0" applyNumberFormat="1" applyFont="1" applyFill="1" applyBorder="1" applyAlignment="1">
      <alignment horizontal="center" vertical="center"/>
    </xf>
    <xf numFmtId="10" fontId="420" fillId="0" borderId="1" xfId="3304" applyNumberFormat="1" applyFont="1" applyFill="1" applyBorder="1" applyAlignment="1">
      <alignment horizontal="center" vertical="center"/>
    </xf>
    <xf numFmtId="4" fontId="420" fillId="4" borderId="1" xfId="0" applyNumberFormat="1" applyFont="1" applyFill="1" applyBorder="1" applyAlignment="1">
      <alignment horizontal="center" vertical="center"/>
    </xf>
    <xf numFmtId="43" fontId="224" fillId="4" borderId="22" xfId="3040" applyFont="1" applyFill="1" applyBorder="1" applyAlignment="1">
      <alignment horizontal="center" vertical="center"/>
    </xf>
    <xf numFmtId="43" fontId="224" fillId="4" borderId="18" xfId="304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32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24" fillId="4" borderId="28" xfId="3040" applyFont="1" applyFill="1" applyBorder="1" applyAlignment="1">
      <alignment horizontal="center" vertical="center"/>
    </xf>
    <xf numFmtId="43" fontId="224" fillId="4" borderId="69" xfId="304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10" fontId="224" fillId="4" borderId="22" xfId="3304" applyNumberFormat="1" applyFont="1" applyFill="1" applyBorder="1" applyAlignment="1">
      <alignment horizontal="center" vertical="center"/>
    </xf>
    <xf numFmtId="10" fontId="224" fillId="4" borderId="18" xfId="3304" applyNumberFormat="1" applyFont="1" applyFill="1" applyBorder="1" applyAlignment="1">
      <alignment horizontal="center" vertical="center"/>
    </xf>
    <xf numFmtId="10" fontId="249" fillId="4" borderId="22" xfId="3304" applyNumberFormat="1" applyFont="1" applyFill="1" applyBorder="1" applyAlignment="1">
      <alignment horizontal="center" vertical="center"/>
    </xf>
    <xf numFmtId="10" fontId="249" fillId="4" borderId="18" xfId="3304" applyNumberFormat="1" applyFont="1" applyFill="1" applyBorder="1" applyAlignment="1">
      <alignment horizontal="center" vertical="center"/>
    </xf>
    <xf numFmtId="43" fontId="242" fillId="4" borderId="22" xfId="3040" applyFont="1" applyFill="1" applyBorder="1" applyAlignment="1">
      <alignment horizontal="center" vertical="center"/>
    </xf>
    <xf numFmtId="43" fontId="242" fillId="4" borderId="18" xfId="3040" applyFont="1" applyFill="1" applyBorder="1" applyAlignment="1">
      <alignment horizontal="center" vertical="center"/>
    </xf>
    <xf numFmtId="43" fontId="249" fillId="4" borderId="22" xfId="3040" applyFont="1" applyFill="1" applyBorder="1" applyAlignment="1">
      <alignment horizontal="center" vertical="center"/>
    </xf>
    <xf numFmtId="43" fontId="249" fillId="4" borderId="18" xfId="3040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5" fillId="0" borderId="22" xfId="0" applyFont="1" applyBorder="1" applyAlignment="1">
      <alignment horizontal="center" vertical="center"/>
    </xf>
    <xf numFmtId="0" fontId="235" fillId="0" borderId="18" xfId="0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0" fontId="301" fillId="0" borderId="22" xfId="0" applyFont="1" applyFill="1" applyBorder="1" applyAlignment="1">
      <alignment horizontal="center" vertical="center"/>
    </xf>
    <xf numFmtId="0" fontId="302" fillId="0" borderId="18" xfId="0" applyFont="1" applyBorder="1" applyAlignment="1">
      <alignment horizontal="center" vertical="center"/>
    </xf>
    <xf numFmtId="0" fontId="302" fillId="0" borderId="6" xfId="0" applyFont="1" applyBorder="1" applyAlignment="1">
      <alignment horizontal="center" vertical="center"/>
    </xf>
    <xf numFmtId="4" fontId="212" fillId="0" borderId="22" xfId="0" applyNumberFormat="1" applyFont="1" applyBorder="1" applyAlignment="1">
      <alignment horizontal="right" vertical="center"/>
    </xf>
    <xf numFmtId="4" fontId="0" fillId="0" borderId="1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0" fontId="233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0" fontId="372" fillId="0" borderId="22" xfId="0" applyFont="1" applyBorder="1" applyAlignment="1">
      <alignment horizontal="center" vertical="center"/>
    </xf>
    <xf numFmtId="0" fontId="373" fillId="0" borderId="18" xfId="0" applyFont="1" applyBorder="1" applyAlignment="1">
      <alignment horizontal="center" vertical="center"/>
    </xf>
    <xf numFmtId="0" fontId="373" fillId="0" borderId="6" xfId="0" applyFont="1" applyBorder="1" applyAlignment="1">
      <alignment horizontal="center" vertical="center"/>
    </xf>
    <xf numFmtId="4" fontId="353" fillId="0" borderId="22" xfId="0" applyNumberFormat="1" applyFont="1" applyBorder="1" applyAlignment="1">
      <alignment horizontal="right" vertical="center"/>
    </xf>
    <xf numFmtId="4" fontId="357" fillId="0" borderId="18" xfId="0" applyNumberFormat="1" applyFont="1" applyBorder="1" applyAlignment="1">
      <alignment horizontal="right" vertical="center"/>
    </xf>
    <xf numFmtId="4" fontId="357" fillId="0" borderId="6" xfId="0" applyNumberFormat="1" applyFont="1" applyBorder="1" applyAlignment="1">
      <alignment horizontal="right" vertical="center"/>
    </xf>
    <xf numFmtId="3" fontId="212" fillId="0" borderId="2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3" fontId="212" fillId="59" borderId="22" xfId="0" applyNumberFormat="1" applyFont="1" applyFill="1" applyBorder="1" applyAlignment="1">
      <alignment horizontal="center" vertical="center"/>
    </xf>
    <xf numFmtId="0" fontId="0" fillId="59" borderId="18" xfId="0" applyFont="1" applyFill="1" applyBorder="1" applyAlignment="1">
      <alignment horizontal="center" vertical="center"/>
    </xf>
    <xf numFmtId="0" fontId="0" fillId="59" borderId="6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37" fillId="0" borderId="61" xfId="3834" applyFont="1" applyBorder="1" applyAlignment="1">
      <alignment horizontal="center"/>
    </xf>
    <xf numFmtId="0" fontId="275" fillId="0" borderId="4" xfId="3048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43" fontId="249" fillId="4" borderId="22" xfId="3040" applyFont="1" applyFill="1" applyBorder="1" applyAlignment="1">
      <alignment vertical="center"/>
    </xf>
    <xf numFmtId="43" fontId="249" fillId="4" borderId="18" xfId="3040" applyFont="1" applyFill="1" applyBorder="1" applyAlignment="1">
      <alignment vertical="center"/>
    </xf>
    <xf numFmtId="43" fontId="224" fillId="4" borderId="22" xfId="3040" applyFont="1" applyFill="1" applyBorder="1" applyAlignment="1">
      <alignment vertical="center"/>
    </xf>
    <xf numFmtId="43" fontId="224" fillId="4" borderId="18" xfId="3040" applyFont="1" applyFill="1" applyBorder="1" applyAlignment="1">
      <alignment vertical="center"/>
    </xf>
    <xf numFmtId="10" fontId="249" fillId="4" borderId="22" xfId="3304" applyNumberFormat="1" applyFont="1" applyFill="1" applyBorder="1" applyAlignment="1">
      <alignment vertical="center"/>
    </xf>
    <xf numFmtId="10" fontId="249" fillId="4" borderId="18" xfId="3304" applyNumberFormat="1" applyFont="1" applyFill="1" applyBorder="1" applyAlignment="1">
      <alignment vertic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tabSelected="1" zoomScale="80" zoomScaleNormal="80" workbookViewId="0">
      <selection activeCell="F19" sqref="F19"/>
    </sheetView>
  </sheetViews>
  <sheetFormatPr defaultColWidth="9.109375" defaultRowHeight="13.2"/>
  <cols>
    <col min="1" max="1" width="41.44140625" style="115" customWidth="1"/>
    <col min="2" max="2" width="13.6640625" style="116" customWidth="1"/>
    <col min="3" max="3" width="13" style="116" customWidth="1"/>
    <col min="4" max="4" width="13.44140625" style="116" customWidth="1"/>
    <col min="5" max="5" width="13.109375" style="116" customWidth="1"/>
    <col min="6" max="6" width="13" style="116" customWidth="1"/>
    <col min="7" max="7" width="12.44140625" style="116" customWidth="1"/>
    <col min="8" max="8" width="12.88671875" style="116" customWidth="1"/>
    <col min="9" max="9" width="12.6640625" style="116" customWidth="1"/>
    <col min="10" max="10" width="12.109375" style="116" customWidth="1"/>
    <col min="11" max="11" width="13.21875" style="116" customWidth="1"/>
    <col min="12" max="12" width="13.6640625" style="116" customWidth="1"/>
    <col min="13" max="13" width="13.109375" style="116" customWidth="1"/>
    <col min="14" max="14" width="12.44140625" style="116" customWidth="1"/>
    <col min="15" max="15" width="12.88671875" style="116" customWidth="1"/>
    <col min="16" max="16" width="12" style="116" customWidth="1"/>
    <col min="17" max="17" width="12.109375" style="116" customWidth="1"/>
    <col min="18" max="18" width="13.6640625" style="116" customWidth="1"/>
    <col min="19" max="19" width="12.5546875" style="12" bestFit="1" customWidth="1"/>
    <col min="20" max="16384" width="9.109375" style="12"/>
  </cols>
  <sheetData>
    <row r="1" spans="1:19" ht="15" customHeight="1">
      <c r="A1" s="29" t="s">
        <v>76</v>
      </c>
      <c r="B1" s="777" t="s">
        <v>120</v>
      </c>
      <c r="C1" s="778"/>
      <c r="D1" s="779"/>
      <c r="E1" s="151"/>
      <c r="F1" s="777" t="s">
        <v>128</v>
      </c>
      <c r="G1" s="778"/>
      <c r="H1" s="779"/>
      <c r="I1" s="151"/>
      <c r="J1" s="777" t="s">
        <v>129</v>
      </c>
      <c r="K1" s="778"/>
      <c r="L1" s="779"/>
      <c r="M1" s="151"/>
      <c r="N1" s="777" t="s">
        <v>130</v>
      </c>
      <c r="O1" s="778"/>
      <c r="P1" s="779"/>
      <c r="Q1" s="151"/>
      <c r="R1" s="146"/>
      <c r="S1" s="18"/>
    </row>
    <row r="2" spans="1:19" ht="15" customHeight="1">
      <c r="A2" s="81" t="s">
        <v>0</v>
      </c>
      <c r="B2" s="149" t="s">
        <v>1</v>
      </c>
      <c r="C2" s="149" t="s">
        <v>2</v>
      </c>
      <c r="D2" s="149" t="s">
        <v>3</v>
      </c>
      <c r="E2" s="152" t="s">
        <v>110</v>
      </c>
      <c r="F2" s="149" t="s">
        <v>4</v>
      </c>
      <c r="G2" s="149" t="s">
        <v>5</v>
      </c>
      <c r="H2" s="149" t="s">
        <v>6</v>
      </c>
      <c r="I2" s="152" t="s">
        <v>116</v>
      </c>
      <c r="J2" s="149" t="s">
        <v>7</v>
      </c>
      <c r="K2" s="149" t="s">
        <v>8</v>
      </c>
      <c r="L2" s="149" t="s">
        <v>9</v>
      </c>
      <c r="M2" s="152" t="s">
        <v>117</v>
      </c>
      <c r="N2" s="149" t="s">
        <v>10</v>
      </c>
      <c r="O2" s="149" t="s">
        <v>11</v>
      </c>
      <c r="P2" s="149" t="s">
        <v>12</v>
      </c>
      <c r="Q2" s="152" t="s">
        <v>118</v>
      </c>
      <c r="R2" s="82" t="s">
        <v>119</v>
      </c>
      <c r="S2" s="18"/>
    </row>
    <row r="3" spans="1:19" ht="15" customHeight="1">
      <c r="A3" s="770" t="s">
        <v>245</v>
      </c>
      <c r="B3" s="771"/>
      <c r="C3" s="772">
        <v>-0.25340000000000001</v>
      </c>
      <c r="D3" s="772"/>
      <c r="E3" s="773"/>
      <c r="F3" s="771"/>
      <c r="G3" s="771"/>
      <c r="H3" s="771"/>
      <c r="I3" s="773"/>
      <c r="J3" s="771"/>
      <c r="K3" s="771"/>
      <c r="L3" s="771"/>
      <c r="M3" s="773"/>
      <c r="N3" s="771"/>
      <c r="O3" s="771"/>
      <c r="P3" s="771"/>
      <c r="Q3" s="773"/>
      <c r="R3" s="605">
        <f>Target!O3</f>
        <v>917450.53</v>
      </c>
      <c r="S3" s="18"/>
    </row>
    <row r="4" spans="1:19" ht="15" customHeight="1">
      <c r="A4" s="83" t="s">
        <v>197</v>
      </c>
      <c r="B4" s="425">
        <f>Target!C3</f>
        <v>63300</v>
      </c>
      <c r="C4" s="425">
        <f>Target!D3-19200</f>
        <v>51133.333333333328</v>
      </c>
      <c r="D4" s="425">
        <f>Target!E3+19200</f>
        <v>96566.666666666672</v>
      </c>
      <c r="E4" s="166">
        <f>SUM(B4:D4)</f>
        <v>211000</v>
      </c>
      <c r="F4" s="425">
        <f>Target!F3</f>
        <v>69630</v>
      </c>
      <c r="G4" s="425">
        <f>Target!G3</f>
        <v>77366.666666666672</v>
      </c>
      <c r="H4" s="425">
        <f>Target!H3</f>
        <v>85103.333333333343</v>
      </c>
      <c r="I4" s="166">
        <f>SUM(F4:H4)</f>
        <v>232100.00000000003</v>
      </c>
      <c r="J4" s="425">
        <f>Target!I3</f>
        <v>71465.7</v>
      </c>
      <c r="K4" s="425">
        <f>Target!J3</f>
        <v>79406.333333333328</v>
      </c>
      <c r="L4" s="425">
        <f>Target!K3</f>
        <v>87346.966666666674</v>
      </c>
      <c r="M4" s="166">
        <f>SUM(J4:L4)</f>
        <v>238219</v>
      </c>
      <c r="N4" s="425">
        <f>Target!L3</f>
        <v>70839.459000000003</v>
      </c>
      <c r="O4" s="425">
        <f>Target!M3</f>
        <v>78710.509999999995</v>
      </c>
      <c r="P4" s="425">
        <f>Target!N3</f>
        <v>86581.561000000002</v>
      </c>
      <c r="Q4" s="166">
        <f>SUM(N4:P4)</f>
        <v>236131.52999999997</v>
      </c>
      <c r="R4" s="460">
        <f>E4+I4+M4+Q4</f>
        <v>917450.53</v>
      </c>
      <c r="S4" s="731"/>
    </row>
    <row r="5" spans="1:19" ht="15" customHeight="1">
      <c r="A5" s="85" t="s">
        <v>198</v>
      </c>
      <c r="B5" s="426">
        <f>B4</f>
        <v>63300</v>
      </c>
      <c r="C5" s="426">
        <f>C4+B5</f>
        <v>114433.33333333333</v>
      </c>
      <c r="D5" s="426">
        <f>D4+C5</f>
        <v>211000</v>
      </c>
      <c r="E5" s="435"/>
      <c r="F5" s="426">
        <f>F4</f>
        <v>69630</v>
      </c>
      <c r="G5" s="426">
        <f>G4+F5</f>
        <v>146996.66666666669</v>
      </c>
      <c r="H5" s="426">
        <f>H4+G5</f>
        <v>232100.00000000003</v>
      </c>
      <c r="I5" s="435"/>
      <c r="J5" s="426">
        <f>J4</f>
        <v>71465.7</v>
      </c>
      <c r="K5" s="426">
        <f>K4+J5</f>
        <v>150872.03333333333</v>
      </c>
      <c r="L5" s="426">
        <f>L4+K5</f>
        <v>238219</v>
      </c>
      <c r="M5" s="692">
        <f>SUM(E6,I6,M6)/3</f>
        <v>47703.037766666668</v>
      </c>
      <c r="N5" s="426">
        <f>N4</f>
        <v>70839.459000000003</v>
      </c>
      <c r="O5" s="426">
        <f>O4+N5</f>
        <v>149549.96899999998</v>
      </c>
      <c r="P5" s="426">
        <f>P4+O5</f>
        <v>236131.52999999997</v>
      </c>
      <c r="Q5" s="435"/>
      <c r="R5" s="293">
        <f>R6/R4</f>
        <v>0.15598564567835607</v>
      </c>
      <c r="S5" s="18"/>
    </row>
    <row r="6" spans="1:19" ht="15" customHeight="1">
      <c r="A6" s="87" t="s">
        <v>37</v>
      </c>
      <c r="B6" s="176">
        <f>SUMIF(I!A:A,$A$1,I!I:I)</f>
        <v>62261.507799999999</v>
      </c>
      <c r="C6" s="175">
        <f>SUMIF(II!A:A,$A$1,II!I:I)</f>
        <v>46541.988299999997</v>
      </c>
      <c r="D6" s="175">
        <f>SUMIF(III!A:A,$A$1,III!I:I)</f>
        <v>34305.617200000001</v>
      </c>
      <c r="E6" s="458">
        <f>SUM(B6:D6)</f>
        <v>143109.1133</v>
      </c>
      <c r="F6" s="175">
        <f>SUMIF(IV!A:A,$A$1,IV!I:I)</f>
        <v>0</v>
      </c>
      <c r="G6" s="175">
        <f>SUMIF(V!A:A,$A$1,V!I:I)</f>
        <v>0</v>
      </c>
      <c r="H6" s="175">
        <f>SUMIF(VI!A:A,$A$1,VI!I:I)</f>
        <v>0</v>
      </c>
      <c r="I6" s="458">
        <f>SUM(F6:H6)</f>
        <v>0</v>
      </c>
      <c r="J6" s="175">
        <f>SUMIF(VII!A:A,$A$1,VII!I:I)</f>
        <v>0</v>
      </c>
      <c r="K6" s="175">
        <f>SUMIF(VIII!A:A,$A$1,VIII!I:I)</f>
        <v>0</v>
      </c>
      <c r="L6" s="175">
        <f>SUMIF(IX!A:A,$A$1,IX!I:I)</f>
        <v>0</v>
      </c>
      <c r="M6" s="458">
        <f>SUM(J6:L6)</f>
        <v>0</v>
      </c>
      <c r="N6" s="175">
        <f>SUMIF(X!A:A,$A$1,X!I:I)</f>
        <v>0</v>
      </c>
      <c r="O6" s="175">
        <f>SUMIF(XI!A:A,$A$1,XI!I:I)</f>
        <v>0</v>
      </c>
      <c r="P6" s="175">
        <f>SUMIF(XII!A:A,$A$1,XII!I:I)</f>
        <v>0</v>
      </c>
      <c r="Q6" s="458">
        <f>SUM(N6:P6)</f>
        <v>0</v>
      </c>
      <c r="R6" s="84">
        <f>E6+I6+M6+Q6</f>
        <v>143109.1133</v>
      </c>
      <c r="S6" s="312"/>
    </row>
    <row r="7" spans="1:19" s="14" customFormat="1" ht="15" customHeight="1">
      <c r="A7" s="85" t="s">
        <v>199</v>
      </c>
      <c r="B7" s="426">
        <f>B6</f>
        <v>62261.507799999999</v>
      </c>
      <c r="C7" s="426">
        <f>C6+B7</f>
        <v>108803.49609999999</v>
      </c>
      <c r="D7" s="426">
        <f>D6+C7</f>
        <v>143109.1133</v>
      </c>
      <c r="E7" s="435"/>
      <c r="F7" s="426">
        <f>F6</f>
        <v>0</v>
      </c>
      <c r="G7" s="426">
        <f>G6+F7</f>
        <v>0</v>
      </c>
      <c r="H7" s="426">
        <f>H6+G7</f>
        <v>0</v>
      </c>
      <c r="I7" s="435"/>
      <c r="J7" s="426">
        <f>J6</f>
        <v>0</v>
      </c>
      <c r="K7" s="426">
        <f>K6+J7</f>
        <v>0</v>
      </c>
      <c r="L7" s="426">
        <f>L6+K7</f>
        <v>0</v>
      </c>
      <c r="M7" s="435"/>
      <c r="N7" s="426">
        <f>N6</f>
        <v>0</v>
      </c>
      <c r="O7" s="426">
        <f>O6+N7</f>
        <v>0</v>
      </c>
      <c r="P7" s="426">
        <f>P6+O7</f>
        <v>0</v>
      </c>
      <c r="Q7" s="435"/>
      <c r="R7" s="604">
        <f>R3-R4</f>
        <v>0</v>
      </c>
      <c r="S7" s="18"/>
    </row>
    <row r="8" spans="1:19" s="14" customFormat="1" ht="15" customHeight="1">
      <c r="A8" s="85" t="s">
        <v>200</v>
      </c>
      <c r="B8" s="67">
        <f t="shared" ref="B8:D9" si="0">B6/B4</f>
        <v>0.98359412006319114</v>
      </c>
      <c r="C8" s="67">
        <f t="shared" si="0"/>
        <v>0.91020837614080841</v>
      </c>
      <c r="D8" s="67">
        <f t="shared" si="0"/>
        <v>0.35525319848118742</v>
      </c>
      <c r="E8" s="155"/>
      <c r="F8" s="67">
        <f t="shared" ref="F8:H9" si="1">F6/F4</f>
        <v>0</v>
      </c>
      <c r="G8" s="67">
        <f t="shared" si="1"/>
        <v>0</v>
      </c>
      <c r="H8" s="67">
        <f t="shared" si="1"/>
        <v>0</v>
      </c>
      <c r="I8" s="155"/>
      <c r="J8" s="67">
        <f t="shared" ref="J8:L9" si="2">J6/J4</f>
        <v>0</v>
      </c>
      <c r="K8" s="67">
        <f t="shared" si="2"/>
        <v>0</v>
      </c>
      <c r="L8" s="67">
        <f t="shared" si="2"/>
        <v>0</v>
      </c>
      <c r="M8" s="155"/>
      <c r="N8" s="67">
        <f t="shared" ref="N8:P9" si="3">N6/N4</f>
        <v>0</v>
      </c>
      <c r="O8" s="67">
        <f t="shared" si="3"/>
        <v>0</v>
      </c>
      <c r="P8" s="67">
        <f t="shared" si="3"/>
        <v>0</v>
      </c>
      <c r="Q8" s="733" t="e">
        <f>R6/Q3-1</f>
        <v>#DIV/0!</v>
      </c>
      <c r="R8" s="609">
        <f>R7*100/R3</f>
        <v>0</v>
      </c>
      <c r="S8" s="18"/>
    </row>
    <row r="9" spans="1:19" s="21" customFormat="1" ht="15" customHeight="1">
      <c r="A9" s="85" t="s">
        <v>201</v>
      </c>
      <c r="B9" s="580">
        <f t="shared" si="0"/>
        <v>0.98359412006319114</v>
      </c>
      <c r="C9" s="580">
        <f t="shared" si="0"/>
        <v>0.95080247101660353</v>
      </c>
      <c r="D9" s="580">
        <f t="shared" si="0"/>
        <v>0.67824224312796211</v>
      </c>
      <c r="E9" s="581"/>
      <c r="F9" s="580">
        <f t="shared" si="1"/>
        <v>0</v>
      </c>
      <c r="G9" s="580">
        <f t="shared" si="1"/>
        <v>0</v>
      </c>
      <c r="H9" s="580">
        <f t="shared" si="1"/>
        <v>0</v>
      </c>
      <c r="I9" s="719"/>
      <c r="J9" s="580">
        <f t="shared" si="2"/>
        <v>0</v>
      </c>
      <c r="K9" s="580">
        <f>K7/K5</f>
        <v>0</v>
      </c>
      <c r="L9" s="580">
        <f t="shared" si="2"/>
        <v>0</v>
      </c>
      <c r="M9" s="719"/>
      <c r="N9" s="580">
        <f t="shared" si="3"/>
        <v>0</v>
      </c>
      <c r="O9" s="580">
        <f t="shared" si="3"/>
        <v>0</v>
      </c>
      <c r="P9" s="580">
        <f t="shared" si="3"/>
        <v>0</v>
      </c>
      <c r="Q9" s="732">
        <f>R6-Q3</f>
        <v>143109.1133</v>
      </c>
      <c r="R9" s="608"/>
      <c r="S9" s="19"/>
    </row>
    <row r="10" spans="1:19" ht="15" customHeight="1">
      <c r="A10" s="85" t="s">
        <v>202</v>
      </c>
      <c r="B10" s="426">
        <f>B7-B5</f>
        <v>-1038.4922000000006</v>
      </c>
      <c r="C10" s="426">
        <f>C7-C5</f>
        <v>-5629.8372333333391</v>
      </c>
      <c r="D10" s="426">
        <f>D7-D5</f>
        <v>-67890.886700000003</v>
      </c>
      <c r="E10" s="435"/>
      <c r="F10" s="426">
        <f>F7-F5</f>
        <v>-69630</v>
      </c>
      <c r="G10" s="426">
        <f>G7-G5</f>
        <v>-146996.66666666669</v>
      </c>
      <c r="H10" s="426">
        <f>H7-H5</f>
        <v>-232100.00000000003</v>
      </c>
      <c r="I10" s="435"/>
      <c r="J10" s="426">
        <f>J7-J5</f>
        <v>-71465.7</v>
      </c>
      <c r="K10" s="426">
        <f>K7-K5</f>
        <v>-150872.03333333333</v>
      </c>
      <c r="L10" s="426">
        <f>L7-L5</f>
        <v>-238219</v>
      </c>
      <c r="M10" s="435"/>
      <c r="N10" s="426">
        <f>N7-N5</f>
        <v>-70839.459000000003</v>
      </c>
      <c r="O10" s="426">
        <f>O7-O5</f>
        <v>-149549.96899999998</v>
      </c>
      <c r="P10" s="426">
        <f>P7-P5</f>
        <v>-236131.52999999997</v>
      </c>
      <c r="Q10" s="435"/>
      <c r="R10" s="86"/>
      <c r="S10" s="36"/>
    </row>
    <row r="11" spans="1:19" ht="15" customHeight="1">
      <c r="A11" s="87" t="s">
        <v>177</v>
      </c>
      <c r="B11" s="176">
        <f>SUMIF(I!A:A,$A$1,I!G:G)</f>
        <v>142347.04689999999</v>
      </c>
      <c r="C11" s="175">
        <f>SUMIF(II!A:A,$A$1,II!G:G)</f>
        <v>115087.4063</v>
      </c>
      <c r="D11" s="175">
        <f>SUMIF(III!A:A,$A$1,III!G:G)</f>
        <v>88114.976599999995</v>
      </c>
      <c r="E11" s="458">
        <f>SUM(B11:D11)</f>
        <v>345549.42979999998</v>
      </c>
      <c r="F11" s="175">
        <f>SUMIF(IV!A:A,$A$1,IV!G:G)</f>
        <v>0</v>
      </c>
      <c r="G11" s="175">
        <f>SUMIF(V!A:A,$A$1,V!G:G)</f>
        <v>0</v>
      </c>
      <c r="H11" s="175">
        <f>SUMIF(VI!A:A,$A$1,VI!G:G)</f>
        <v>0</v>
      </c>
      <c r="I11" s="458">
        <f>SUM(F11:H11)</f>
        <v>0</v>
      </c>
      <c r="J11" s="175">
        <f>SUMIF(VII!A:A,$A$1,VII!G:G)</f>
        <v>0</v>
      </c>
      <c r="K11" s="175">
        <f>SUMIF(VIII!A:A,$A$1,VIII!G:G)</f>
        <v>0</v>
      </c>
      <c r="L11" s="175">
        <f>SUMIF(IX!A:A,$A$1,IX!G:G)</f>
        <v>0</v>
      </c>
      <c r="M11" s="458">
        <f>SUM(J11:L11)</f>
        <v>0</v>
      </c>
      <c r="N11" s="175">
        <f>SUMIF(X!A:A,$A$1,X!G:G)</f>
        <v>0</v>
      </c>
      <c r="O11" s="175">
        <f>SUMIF(XI!A:A,$A$1,XI!G:G)</f>
        <v>0</v>
      </c>
      <c r="P11" s="175">
        <f>SUMIF(XII!A:A,$A$1,XII!G:G)</f>
        <v>0</v>
      </c>
      <c r="Q11" s="458">
        <f>SUM(N11:P11)</f>
        <v>0</v>
      </c>
      <c r="R11" s="84">
        <f>E11+I11+M11+Q11</f>
        <v>345549.42979999998</v>
      </c>
      <c r="S11" s="18"/>
    </row>
    <row r="12" spans="1:19" customFormat="1">
      <c r="A12" s="85" t="s">
        <v>178</v>
      </c>
      <c r="B12" s="426">
        <f>B11</f>
        <v>142347.04689999999</v>
      </c>
      <c r="C12" s="426">
        <f>C11+B12</f>
        <v>257434.45319999999</v>
      </c>
      <c r="D12" s="426">
        <f>D11+C12</f>
        <v>345549.42979999998</v>
      </c>
      <c r="E12" s="435"/>
      <c r="F12" s="426">
        <f>F11</f>
        <v>0</v>
      </c>
      <c r="G12" s="426">
        <f>G11+F12</f>
        <v>0</v>
      </c>
      <c r="H12" s="426">
        <f>H11+G12</f>
        <v>0</v>
      </c>
      <c r="I12" s="435"/>
      <c r="J12" s="426">
        <f>J11</f>
        <v>0</v>
      </c>
      <c r="K12" s="426">
        <f>K11+J12</f>
        <v>0</v>
      </c>
      <c r="L12" s="426">
        <f>L11+K12</f>
        <v>0</v>
      </c>
      <c r="M12" s="435"/>
      <c r="N12" s="426">
        <f>N11</f>
        <v>0</v>
      </c>
      <c r="O12" s="426">
        <f>O11+N12</f>
        <v>0</v>
      </c>
      <c r="P12" s="426">
        <f>P11+O12</f>
        <v>0</v>
      </c>
      <c r="Q12" s="435"/>
      <c r="R12" s="86"/>
    </row>
    <row r="13" spans="1:19" ht="15" customHeight="1">
      <c r="A13" s="92" t="s">
        <v>188</v>
      </c>
      <c r="B13" s="69">
        <f t="shared" ref="B13:D14" si="4">B6/B11</f>
        <v>0.43739233904683134</v>
      </c>
      <c r="C13" s="69">
        <f t="shared" si="4"/>
        <v>0.40440557135051186</v>
      </c>
      <c r="D13" s="69">
        <f t="shared" si="4"/>
        <v>0.38932788186202621</v>
      </c>
      <c r="E13" s="156"/>
      <c r="F13" s="69" t="e">
        <f t="shared" ref="F13:H14" si="5">F6/F11</f>
        <v>#DIV/0!</v>
      </c>
      <c r="G13" s="69" t="e">
        <f t="shared" si="5"/>
        <v>#DIV/0!</v>
      </c>
      <c r="H13" s="69" t="e">
        <f t="shared" si="5"/>
        <v>#DIV/0!</v>
      </c>
      <c r="I13" s="156"/>
      <c r="J13" s="69" t="e">
        <f t="shared" ref="J13:L14" si="6">J6/J11</f>
        <v>#DIV/0!</v>
      </c>
      <c r="K13" s="69" t="e">
        <f t="shared" si="6"/>
        <v>#DIV/0!</v>
      </c>
      <c r="L13" s="69" t="e">
        <f t="shared" si="6"/>
        <v>#DIV/0!</v>
      </c>
      <c r="M13" s="156"/>
      <c r="N13" s="69" t="e">
        <f t="shared" ref="N13:P14" si="7">N6/N11</f>
        <v>#DIV/0!</v>
      </c>
      <c r="O13" s="69" t="e">
        <f t="shared" si="7"/>
        <v>#DIV/0!</v>
      </c>
      <c r="P13" s="69" t="e">
        <f t="shared" si="7"/>
        <v>#DIV/0!</v>
      </c>
      <c r="Q13" s="156"/>
      <c r="R13" s="93"/>
      <c r="S13" s="18"/>
    </row>
    <row r="14" spans="1:19" s="14" customFormat="1" ht="15" customHeight="1">
      <c r="A14" s="92" t="s">
        <v>189</v>
      </c>
      <c r="B14" s="69">
        <f t="shared" si="4"/>
        <v>0.43739233904683134</v>
      </c>
      <c r="C14" s="69">
        <f t="shared" si="4"/>
        <v>0.4226454336144001</v>
      </c>
      <c r="D14" s="69">
        <f t="shared" si="4"/>
        <v>0.41414947025908827</v>
      </c>
      <c r="E14" s="156"/>
      <c r="F14" s="69" t="e">
        <f t="shared" si="5"/>
        <v>#DIV/0!</v>
      </c>
      <c r="G14" s="69" t="e">
        <f t="shared" si="5"/>
        <v>#DIV/0!</v>
      </c>
      <c r="H14" s="69" t="e">
        <f t="shared" si="5"/>
        <v>#DIV/0!</v>
      </c>
      <c r="I14" s="156"/>
      <c r="J14" s="69" t="e">
        <f t="shared" si="6"/>
        <v>#DIV/0!</v>
      </c>
      <c r="K14" s="69" t="e">
        <f t="shared" si="6"/>
        <v>#DIV/0!</v>
      </c>
      <c r="L14" s="69" t="e">
        <f t="shared" si="6"/>
        <v>#DIV/0!</v>
      </c>
      <c r="M14" s="156"/>
      <c r="N14" s="69" t="e">
        <f t="shared" si="7"/>
        <v>#DIV/0!</v>
      </c>
      <c r="O14" s="69" t="e">
        <f t="shared" si="7"/>
        <v>#DIV/0!</v>
      </c>
      <c r="P14" s="69" t="e">
        <f t="shared" si="7"/>
        <v>#DIV/0!</v>
      </c>
      <c r="Q14" s="156"/>
      <c r="R14" s="93"/>
      <c r="S14" s="18"/>
    </row>
    <row r="15" spans="1:19" s="52" customFormat="1" ht="15" customHeight="1">
      <c r="A15" s="95"/>
      <c r="B15" s="96"/>
      <c r="C15" s="96"/>
      <c r="D15" s="96"/>
      <c r="E15" s="157"/>
      <c r="F15" s="96"/>
      <c r="G15" s="96"/>
      <c r="H15" s="96"/>
      <c r="I15" s="157"/>
      <c r="J15" s="96"/>
      <c r="K15" s="96"/>
      <c r="L15" s="96"/>
      <c r="M15" s="157"/>
      <c r="N15" s="96"/>
      <c r="O15" s="96"/>
      <c r="P15" s="96"/>
      <c r="Q15" s="157"/>
      <c r="R15" s="94"/>
      <c r="S15" s="51"/>
    </row>
    <row r="16" spans="1:19" s="14" customFormat="1" ht="15" customHeight="1">
      <c r="A16" s="142" t="s">
        <v>26</v>
      </c>
      <c r="B16" s="142" t="s">
        <v>26</v>
      </c>
      <c r="C16" s="143"/>
      <c r="D16" s="143"/>
      <c r="E16" s="158"/>
      <c r="F16" s="143"/>
      <c r="G16" s="365"/>
      <c r="H16" s="143"/>
      <c r="I16" s="158"/>
      <c r="J16" s="143"/>
      <c r="K16" s="143"/>
      <c r="L16" s="143"/>
      <c r="M16" s="158"/>
      <c r="N16" s="143"/>
      <c r="O16" s="143"/>
      <c r="P16" s="143"/>
      <c r="Q16" s="158"/>
      <c r="R16" s="98"/>
      <c r="S16" s="18"/>
    </row>
    <row r="17" spans="1:19" s="14" customFormat="1" ht="15" customHeight="1">
      <c r="A17" s="736" t="s">
        <v>74</v>
      </c>
      <c r="B17" s="751">
        <f>Target!P31</f>
        <v>6800</v>
      </c>
      <c r="C17" s="751">
        <f>Target!P31</f>
        <v>6800</v>
      </c>
      <c r="D17" s="751">
        <f>Target!P31</f>
        <v>6800</v>
      </c>
      <c r="E17" s="752"/>
      <c r="F17" s="751">
        <f>Target!P40</f>
        <v>6800</v>
      </c>
      <c r="G17" s="751">
        <f>Target!P40</f>
        <v>6800</v>
      </c>
      <c r="H17" s="751">
        <f>Target!P40</f>
        <v>6800</v>
      </c>
      <c r="I17" s="752"/>
      <c r="J17" s="751">
        <f>Target!P50</f>
        <v>6800</v>
      </c>
      <c r="K17" s="751">
        <f>Target!P50</f>
        <v>6800</v>
      </c>
      <c r="L17" s="751">
        <f>Target!P50</f>
        <v>6800</v>
      </c>
      <c r="M17" s="752"/>
      <c r="N17" s="751">
        <f>Target!P59</f>
        <v>6800</v>
      </c>
      <c r="O17" s="751">
        <f>Target!P59</f>
        <v>6800</v>
      </c>
      <c r="P17" s="751">
        <f>Target!P59</f>
        <v>6800</v>
      </c>
      <c r="Q17" s="159"/>
      <c r="R17" s="98"/>
      <c r="S17" s="18"/>
    </row>
    <row r="18" spans="1:19" s="14" customFormat="1" ht="15" customHeight="1">
      <c r="A18" s="736" t="s">
        <v>241</v>
      </c>
      <c r="B18" s="751">
        <f>B17*15%</f>
        <v>1020</v>
      </c>
      <c r="C18" s="751">
        <f t="shared" ref="C18:D18" si="8">C17*15%</f>
        <v>1020</v>
      </c>
      <c r="D18" s="751">
        <f t="shared" si="8"/>
        <v>1020</v>
      </c>
      <c r="E18" s="752"/>
      <c r="F18" s="751">
        <f>F17*15%</f>
        <v>1020</v>
      </c>
      <c r="G18" s="751">
        <f t="shared" ref="G18" si="9">G17*15%</f>
        <v>1020</v>
      </c>
      <c r="H18" s="751">
        <f t="shared" ref="H18" si="10">H17*15%</f>
        <v>1020</v>
      </c>
      <c r="I18" s="752"/>
      <c r="J18" s="751">
        <f>J17*15%</f>
        <v>1020</v>
      </c>
      <c r="K18" s="751">
        <f t="shared" ref="K18" si="11">K17*15%</f>
        <v>1020</v>
      </c>
      <c r="L18" s="751">
        <f t="shared" ref="L18" si="12">L17*15%</f>
        <v>1020</v>
      </c>
      <c r="M18" s="752"/>
      <c r="N18" s="751">
        <f>N17*15%</f>
        <v>1020</v>
      </c>
      <c r="O18" s="751">
        <f t="shared" ref="O18" si="13">O17*15%</f>
        <v>1020</v>
      </c>
      <c r="P18" s="751">
        <f t="shared" ref="P18" si="14">P17*15%</f>
        <v>1020</v>
      </c>
      <c r="Q18" s="752"/>
      <c r="R18" s="98"/>
      <c r="S18" s="18"/>
    </row>
    <row r="19" spans="1:19" s="14" customFormat="1" ht="15" customHeight="1">
      <c r="A19" s="54" t="s">
        <v>203</v>
      </c>
      <c r="B19" s="97">
        <f>Target!O31</f>
        <v>7000</v>
      </c>
      <c r="C19" s="97">
        <f>Target!O31</f>
        <v>7000</v>
      </c>
      <c r="D19" s="97">
        <f>Target!O31</f>
        <v>7000</v>
      </c>
      <c r="E19" s="159"/>
      <c r="F19" s="97">
        <f>Target!O40</f>
        <v>10266.666666666666</v>
      </c>
      <c r="G19" s="97">
        <f>Target!O40</f>
        <v>10266.666666666666</v>
      </c>
      <c r="H19" s="97">
        <f>Target!O40</f>
        <v>10266.666666666666</v>
      </c>
      <c r="I19" s="159"/>
      <c r="J19" s="97">
        <f>Target!O50</f>
        <v>7000</v>
      </c>
      <c r="K19" s="97">
        <f>Target!O50</f>
        <v>7000</v>
      </c>
      <c r="L19" s="97">
        <f>Target!O50</f>
        <v>7000</v>
      </c>
      <c r="M19" s="159"/>
      <c r="N19" s="97">
        <f>Target!O59</f>
        <v>7000</v>
      </c>
      <c r="O19" s="97">
        <f>Target!O59</f>
        <v>7000</v>
      </c>
      <c r="P19" s="97">
        <f>Target!O59</f>
        <v>7000</v>
      </c>
      <c r="Q19" s="681"/>
      <c r="R19" s="98"/>
      <c r="S19" s="18"/>
    </row>
    <row r="20" spans="1:19" s="14" customFormat="1" ht="15" customHeight="1">
      <c r="A20" s="680" t="s">
        <v>208</v>
      </c>
      <c r="B20" s="707">
        <f>Target!J31</f>
        <v>0.25119047619047619</v>
      </c>
      <c r="C20" s="707">
        <f>Target!J31</f>
        <v>0.25119047619047619</v>
      </c>
      <c r="D20" s="707">
        <f>Target!J31</f>
        <v>0.25119047619047619</v>
      </c>
      <c r="E20" s="681"/>
      <c r="F20" s="707">
        <f>Target!J40</f>
        <v>0.25089125307263416</v>
      </c>
      <c r="G20" s="707">
        <f>Target!J40</f>
        <v>0.25089125307263416</v>
      </c>
      <c r="H20" s="707">
        <f>Target!J40</f>
        <v>0.25089125307263416</v>
      </c>
      <c r="I20" s="681"/>
      <c r="J20" s="707">
        <f>Target!J50</f>
        <v>0.25697925667504856</v>
      </c>
      <c r="K20" s="707">
        <f>Target!J50</f>
        <v>0.25697925667504856</v>
      </c>
      <c r="L20" s="707">
        <f>Target!J50</f>
        <v>0.25697925667504856</v>
      </c>
      <c r="M20" s="681"/>
      <c r="N20" s="707">
        <f>Target!J59</f>
        <v>0.255</v>
      </c>
      <c r="O20" s="707">
        <f>Target!J59</f>
        <v>0.255</v>
      </c>
      <c r="P20" s="707">
        <f>Target!J59</f>
        <v>0.255</v>
      </c>
      <c r="Q20" s="681"/>
      <c r="R20" s="98"/>
      <c r="S20" s="18"/>
    </row>
    <row r="21" spans="1:19" s="14" customFormat="1" ht="15" customHeight="1">
      <c r="A21" s="694" t="s">
        <v>204</v>
      </c>
      <c r="B21" s="698">
        <f>Target!N31</f>
        <v>7033.5999999999995</v>
      </c>
      <c r="C21" s="698">
        <f>Target!N31</f>
        <v>7033.5999999999995</v>
      </c>
      <c r="D21" s="698">
        <f>Target!N31</f>
        <v>7033.5999999999995</v>
      </c>
      <c r="E21" s="458"/>
      <c r="F21" s="698">
        <f>Target!N40</f>
        <v>7727.72</v>
      </c>
      <c r="G21" s="698">
        <f>Target!N40</f>
        <v>7727.72</v>
      </c>
      <c r="H21" s="698">
        <f>Target!N40</f>
        <v>7727.72</v>
      </c>
      <c r="I21" s="458"/>
      <c r="J21" s="698">
        <f>Target!N50</f>
        <v>7196</v>
      </c>
      <c r="K21" s="698">
        <f>Target!N50</f>
        <v>7196</v>
      </c>
      <c r="L21" s="698">
        <f>Target!N50</f>
        <v>7196</v>
      </c>
      <c r="M21" s="458"/>
      <c r="N21" s="698">
        <f>Target!N59</f>
        <v>7140</v>
      </c>
      <c r="O21" s="698">
        <f>Target!N59</f>
        <v>7140</v>
      </c>
      <c r="P21" s="698">
        <f>Target!N59</f>
        <v>7140</v>
      </c>
      <c r="Q21" s="692"/>
      <c r="R21" s="98"/>
      <c r="S21" s="18"/>
    </row>
    <row r="22" spans="1:19" ht="15" customHeight="1">
      <c r="A22" s="17" t="s">
        <v>209</v>
      </c>
      <c r="B22" s="57">
        <f>B5</f>
        <v>63300</v>
      </c>
      <c r="C22" s="57">
        <f>C5</f>
        <v>114433.33333333333</v>
      </c>
      <c r="D22" s="57">
        <f>D5</f>
        <v>211000</v>
      </c>
      <c r="E22" s="160"/>
      <c r="F22" s="57">
        <f>F5</f>
        <v>69630</v>
      </c>
      <c r="G22" s="57">
        <f>G5</f>
        <v>146996.66666666669</v>
      </c>
      <c r="H22" s="57">
        <f>H5</f>
        <v>232100.00000000003</v>
      </c>
      <c r="I22" s="160"/>
      <c r="J22" s="57">
        <f>J5</f>
        <v>71465.7</v>
      </c>
      <c r="K22" s="57">
        <f>K5</f>
        <v>150872.03333333333</v>
      </c>
      <c r="L22" s="57">
        <f>L5</f>
        <v>238219</v>
      </c>
      <c r="M22" s="160"/>
      <c r="N22" s="57">
        <f>N5</f>
        <v>70839.459000000003</v>
      </c>
      <c r="O22" s="57">
        <f>O5</f>
        <v>149549.96899999998</v>
      </c>
      <c r="P22" s="57">
        <f>P5</f>
        <v>236131.52999999997</v>
      </c>
      <c r="Q22" s="160"/>
      <c r="R22" s="100"/>
      <c r="S22" s="18"/>
    </row>
    <row r="23" spans="1:19" s="701" customFormat="1" ht="15" customHeight="1">
      <c r="A23" s="699" t="s">
        <v>37</v>
      </c>
      <c r="B23" s="702">
        <f>B7</f>
        <v>62261.507799999999</v>
      </c>
      <c r="C23" s="702">
        <f>C7</f>
        <v>108803.49609999999</v>
      </c>
      <c r="D23" s="702">
        <f>D7</f>
        <v>143109.1133</v>
      </c>
      <c r="E23" s="703"/>
      <c r="F23" s="702">
        <f>F7</f>
        <v>0</v>
      </c>
      <c r="G23" s="702">
        <f>G7</f>
        <v>0</v>
      </c>
      <c r="H23" s="702">
        <f>H7</f>
        <v>0</v>
      </c>
      <c r="I23" s="703"/>
      <c r="J23" s="702">
        <f>J7</f>
        <v>0</v>
      </c>
      <c r="K23" s="702">
        <f>K7</f>
        <v>0</v>
      </c>
      <c r="L23" s="702">
        <f>L7</f>
        <v>0</v>
      </c>
      <c r="M23" s="703"/>
      <c r="N23" s="702">
        <f>N7</f>
        <v>0</v>
      </c>
      <c r="O23" s="702">
        <f>O7</f>
        <v>0</v>
      </c>
      <c r="P23" s="702">
        <f>P7</f>
        <v>0</v>
      </c>
      <c r="Q23" s="703"/>
      <c r="R23" s="704"/>
      <c r="S23" s="700"/>
    </row>
    <row r="24" spans="1:19" ht="15" customHeight="1">
      <c r="A24" s="17" t="s">
        <v>201</v>
      </c>
      <c r="B24" s="695">
        <f>B23/B22</f>
        <v>0.98359412006319114</v>
      </c>
      <c r="C24" s="695">
        <f>C23/C22</f>
        <v>0.95080247101660353</v>
      </c>
      <c r="D24" s="695">
        <f>D23/D22</f>
        <v>0.67824224312796211</v>
      </c>
      <c r="E24" s="696"/>
      <c r="F24" s="695">
        <f>F23/F22</f>
        <v>0</v>
      </c>
      <c r="G24" s="695">
        <f>G23/G22</f>
        <v>0</v>
      </c>
      <c r="H24" s="695">
        <f>H23/H22</f>
        <v>0</v>
      </c>
      <c r="I24" s="696"/>
      <c r="J24" s="695">
        <f>J23/J22</f>
        <v>0</v>
      </c>
      <c r="K24" s="695">
        <f>K23/K22</f>
        <v>0</v>
      </c>
      <c r="L24" s="695">
        <f>L23/L22</f>
        <v>0</v>
      </c>
      <c r="M24" s="696"/>
      <c r="N24" s="695">
        <f>N23/N22</f>
        <v>0</v>
      </c>
      <c r="O24" s="695">
        <f>O23/O22</f>
        <v>0</v>
      </c>
      <c r="P24" s="695">
        <f>P23/P22</f>
        <v>0</v>
      </c>
      <c r="Q24" s="696"/>
      <c r="R24" s="105"/>
      <c r="S24" s="18"/>
    </row>
    <row r="25" spans="1:19" ht="15" customHeight="1">
      <c r="A25" s="697" t="s">
        <v>60</v>
      </c>
      <c r="B25" s="698">
        <f>B21*0.35</f>
        <v>2461.7599999999998</v>
      </c>
      <c r="C25" s="698">
        <f>C21*0.35</f>
        <v>2461.7599999999998</v>
      </c>
      <c r="D25" s="698">
        <f>D21*0.35</f>
        <v>2461.7599999999998</v>
      </c>
      <c r="E25" s="458"/>
      <c r="F25" s="698">
        <f>F21*0.35</f>
        <v>2704.7019999999998</v>
      </c>
      <c r="G25" s="698">
        <f>G21*0.35</f>
        <v>2704.7019999999998</v>
      </c>
      <c r="H25" s="698">
        <f>H21*0.35</f>
        <v>2704.7019999999998</v>
      </c>
      <c r="I25" s="458"/>
      <c r="J25" s="698">
        <f>J21*0.35</f>
        <v>2518.6</v>
      </c>
      <c r="K25" s="698">
        <f>K21*0.35</f>
        <v>2518.6</v>
      </c>
      <c r="L25" s="698">
        <f>L21*0.35</f>
        <v>2518.6</v>
      </c>
      <c r="M25" s="458"/>
      <c r="N25" s="698">
        <f>N21*0.35</f>
        <v>2499</v>
      </c>
      <c r="O25" s="698">
        <f>O21*0.35</f>
        <v>2499</v>
      </c>
      <c r="P25" s="698">
        <f>P21*0.35</f>
        <v>2499</v>
      </c>
      <c r="Q25" s="458"/>
      <c r="R25" s="693"/>
      <c r="S25" s="18"/>
    </row>
    <row r="26" spans="1:19" ht="15" customHeight="1">
      <c r="A26" s="17" t="s">
        <v>53</v>
      </c>
      <c r="B26" s="57">
        <f>IF(B24&lt;80%,0,IF(B24&lt;90%,0.5,IF(B24&lt;95%,0.75,1)))</f>
        <v>1</v>
      </c>
      <c r="C26" s="57">
        <f>IF(C24&lt;80%,0,IF(C24&lt;90%,0.5,IF(C24&lt;95%,0.75,1)))</f>
        <v>1</v>
      </c>
      <c r="D26" s="57">
        <f>IF(D24&lt;80%,0,IF(D24&lt;90%,0.5,IF(D24&lt;95%,0.75,1)))</f>
        <v>0</v>
      </c>
      <c r="E26" s="160"/>
      <c r="F26" s="57">
        <f>IF(F24&lt;80%,0,IF(F24&lt;90%,0.5,IF(F24&lt;95%,0.75,1)))</f>
        <v>0</v>
      </c>
      <c r="G26" s="57">
        <f>IF(G24&lt;80%,0,IF(G24&lt;90%,0.5,IF(G24&lt;95%,0.75,1)))</f>
        <v>0</v>
      </c>
      <c r="H26" s="57">
        <f>IF(H24&lt;80%,0,IF(H24&lt;90%,0.5,IF(H24&lt;95%,0.75,1)))</f>
        <v>0</v>
      </c>
      <c r="I26" s="160"/>
      <c r="J26" s="57">
        <f>IF(J24&lt;80%,0,IF(J24&lt;90%,0.5,IF(J24&lt;95%,0.75,1)))</f>
        <v>0</v>
      </c>
      <c r="K26" s="57">
        <f>IF(K24&lt;80%,0,IF(K24&lt;90%,0.5,IF(K24&lt;95%,0.75,1)))</f>
        <v>0</v>
      </c>
      <c r="L26" s="57">
        <f>IF(L24&lt;80%,0,IF(L24&lt;90%,0.5,IF(L24&lt;95%,0.75,1)))</f>
        <v>0</v>
      </c>
      <c r="M26" s="160"/>
      <c r="N26" s="57">
        <f>IF(N24&lt;80%,0,IF(N24&lt;90%,0.5,IF(N24&lt;95%,0.75,1)))</f>
        <v>0</v>
      </c>
      <c r="O26" s="57">
        <f>IF(O24&lt;80%,0,IF(O24&lt;90%,0.5,IF(O24&lt;95%,0.75,1)))</f>
        <v>0</v>
      </c>
      <c r="P26" s="57">
        <f>IF(P24&lt;80%,0,IF(P24&lt;90%,0.5,IF(P24&lt;95%,0.75,1)))</f>
        <v>0</v>
      </c>
      <c r="Q26" s="160"/>
      <c r="R26" s="105"/>
      <c r="S26" s="18"/>
    </row>
    <row r="27" spans="1:19" s="49" customFormat="1" ht="15" customHeight="1">
      <c r="A27" s="43" t="s">
        <v>54</v>
      </c>
      <c r="B27" s="58">
        <f>B26*B25</f>
        <v>2461.7599999999998</v>
      </c>
      <c r="C27" s="58">
        <f>C26*C25</f>
        <v>2461.7599999999998</v>
      </c>
      <c r="D27" s="58">
        <f>D26*D25</f>
        <v>0</v>
      </c>
      <c r="E27" s="164"/>
      <c r="F27" s="58">
        <f>F26*F25</f>
        <v>0</v>
      </c>
      <c r="G27" s="58">
        <f>G26*G25</f>
        <v>0</v>
      </c>
      <c r="H27" s="58">
        <f>H26*H25</f>
        <v>0</v>
      </c>
      <c r="I27" s="164"/>
      <c r="J27" s="58">
        <f>J26*J25</f>
        <v>0</v>
      </c>
      <c r="K27" s="58">
        <f>K26*K25</f>
        <v>0</v>
      </c>
      <c r="L27" s="58">
        <f>L26*L25</f>
        <v>0</v>
      </c>
      <c r="M27" s="164"/>
      <c r="N27" s="58">
        <f>N26*N25</f>
        <v>0</v>
      </c>
      <c r="O27" s="58">
        <f>O26*O25</f>
        <v>0</v>
      </c>
      <c r="P27" s="58">
        <f>P26*P25</f>
        <v>0</v>
      </c>
      <c r="Q27" s="164"/>
      <c r="R27" s="104"/>
      <c r="S27" s="44"/>
    </row>
    <row r="28" spans="1:19" ht="15" customHeight="1">
      <c r="A28" s="697" t="s">
        <v>59</v>
      </c>
      <c r="B28" s="698">
        <f>B19*0.05</f>
        <v>350</v>
      </c>
      <c r="C28" s="698">
        <f>C19*0.05</f>
        <v>350</v>
      </c>
      <c r="D28" s="698">
        <f>D19*0.05</f>
        <v>350</v>
      </c>
      <c r="E28" s="458"/>
      <c r="F28" s="698">
        <f>F19*0.05</f>
        <v>513.33333333333337</v>
      </c>
      <c r="G28" s="698">
        <f>G19*0.05</f>
        <v>513.33333333333337</v>
      </c>
      <c r="H28" s="698">
        <f>H19*0.05</f>
        <v>513.33333333333337</v>
      </c>
      <c r="I28" s="458"/>
      <c r="J28" s="698">
        <f>J19*0.05</f>
        <v>350</v>
      </c>
      <c r="K28" s="698">
        <f>K19*0.05</f>
        <v>350</v>
      </c>
      <c r="L28" s="698">
        <f>L19*0.05</f>
        <v>350</v>
      </c>
      <c r="M28" s="458"/>
      <c r="N28" s="698">
        <f>N19*0.05</f>
        <v>350</v>
      </c>
      <c r="O28" s="698">
        <f>O19*0.05</f>
        <v>350</v>
      </c>
      <c r="P28" s="698">
        <f>P19*0.05</f>
        <v>350</v>
      </c>
      <c r="Q28" s="458"/>
      <c r="R28" s="693"/>
      <c r="S28" s="18"/>
    </row>
    <row r="29" spans="1:19" ht="15" customHeight="1">
      <c r="A29" s="17" t="s">
        <v>62</v>
      </c>
      <c r="B29" s="57">
        <v>1</v>
      </c>
      <c r="C29" s="57">
        <v>1</v>
      </c>
      <c r="D29" s="57">
        <v>1</v>
      </c>
      <c r="E29" s="160"/>
      <c r="F29" s="57"/>
      <c r="G29" s="57"/>
      <c r="H29" s="57"/>
      <c r="I29" s="160"/>
      <c r="J29" s="57"/>
      <c r="K29" s="57"/>
      <c r="L29" s="57"/>
      <c r="M29" s="160"/>
      <c r="N29" s="57"/>
      <c r="O29" s="57"/>
      <c r="P29" s="57"/>
      <c r="Q29" s="160"/>
      <c r="R29" s="105"/>
      <c r="S29" s="18"/>
    </row>
    <row r="30" spans="1:19" s="19" customFormat="1" ht="15" customHeight="1">
      <c r="A30" s="48" t="s">
        <v>63</v>
      </c>
      <c r="B30" s="58">
        <f>B29*B28</f>
        <v>350</v>
      </c>
      <c r="C30" s="58">
        <f>C29*C28</f>
        <v>350</v>
      </c>
      <c r="D30" s="58">
        <f>D29*D28</f>
        <v>350</v>
      </c>
      <c r="E30" s="164"/>
      <c r="F30" s="58">
        <f>F29*F28</f>
        <v>0</v>
      </c>
      <c r="G30" s="58">
        <f>G29*G28</f>
        <v>0</v>
      </c>
      <c r="H30" s="58">
        <f>H29*H28</f>
        <v>0</v>
      </c>
      <c r="I30" s="164"/>
      <c r="J30" s="58">
        <f>J29*J28</f>
        <v>0</v>
      </c>
      <c r="K30" s="58">
        <f>K29*K28</f>
        <v>0</v>
      </c>
      <c r="L30" s="58">
        <f>L29*L28</f>
        <v>0</v>
      </c>
      <c r="M30" s="164"/>
      <c r="N30" s="58">
        <f>N29*N28</f>
        <v>0</v>
      </c>
      <c r="O30" s="58">
        <f>O29*O28</f>
        <v>0</v>
      </c>
      <c r="P30" s="58">
        <f>P29*P28</f>
        <v>0</v>
      </c>
      <c r="Q30" s="164"/>
      <c r="R30" s="107"/>
      <c r="S30" s="13"/>
    </row>
    <row r="31" spans="1:19" s="19" customFormat="1" ht="15" customHeight="1">
      <c r="A31" s="753" t="s">
        <v>242</v>
      </c>
      <c r="B31" s="754">
        <f>B27+B30</f>
        <v>2811.7599999999998</v>
      </c>
      <c r="C31" s="754">
        <f t="shared" ref="C31:D31" si="15">C27+C30</f>
        <v>2811.7599999999998</v>
      </c>
      <c r="D31" s="754">
        <f t="shared" si="15"/>
        <v>350</v>
      </c>
      <c r="E31" s="755"/>
      <c r="F31" s="754">
        <f>F27+F30</f>
        <v>0</v>
      </c>
      <c r="G31" s="754">
        <f t="shared" ref="G31" si="16">G27+G30</f>
        <v>0</v>
      </c>
      <c r="H31" s="754">
        <f t="shared" ref="H31" si="17">H27+H30</f>
        <v>0</v>
      </c>
      <c r="I31" s="755"/>
      <c r="J31" s="754">
        <f>J27+J30</f>
        <v>0</v>
      </c>
      <c r="K31" s="754">
        <f t="shared" ref="K31" si="18">K27+K30</f>
        <v>0</v>
      </c>
      <c r="L31" s="754">
        <f t="shared" ref="L31" si="19">L27+L30</f>
        <v>0</v>
      </c>
      <c r="M31" s="755"/>
      <c r="N31" s="754">
        <f>N27+N30</f>
        <v>0</v>
      </c>
      <c r="O31" s="754">
        <f t="shared" ref="O31" si="20">O27+O30</f>
        <v>0</v>
      </c>
      <c r="P31" s="754">
        <f t="shared" ref="P31" si="21">P27+P30</f>
        <v>0</v>
      </c>
      <c r="Q31" s="166"/>
      <c r="R31" s="107"/>
      <c r="S31" s="13"/>
    </row>
    <row r="32" spans="1:19" s="19" customFormat="1" ht="15" customHeight="1">
      <c r="A32" s="694" t="s">
        <v>222</v>
      </c>
      <c r="B32" s="698">
        <v>2266</v>
      </c>
      <c r="C32" s="698">
        <v>2266</v>
      </c>
      <c r="D32" s="698">
        <v>2266</v>
      </c>
      <c r="E32" s="164"/>
      <c r="F32" s="698">
        <v>2266</v>
      </c>
      <c r="G32" s="698">
        <v>2266</v>
      </c>
      <c r="H32" s="698">
        <v>2266</v>
      </c>
      <c r="I32" s="164"/>
      <c r="J32" s="698">
        <v>2266</v>
      </c>
      <c r="K32" s="698">
        <v>2266</v>
      </c>
      <c r="L32" s="698">
        <v>2266</v>
      </c>
      <c r="M32" s="164"/>
      <c r="N32" s="698">
        <v>2266</v>
      </c>
      <c r="O32" s="698">
        <v>2266</v>
      </c>
      <c r="P32" s="698">
        <v>2266</v>
      </c>
      <c r="Q32" s="164"/>
      <c r="R32" s="107"/>
      <c r="S32" s="13"/>
    </row>
    <row r="33" spans="1:19" s="19" customFormat="1" ht="15" customHeight="1">
      <c r="A33" s="99" t="s">
        <v>223</v>
      </c>
      <c r="B33" s="57">
        <v>1</v>
      </c>
      <c r="C33" s="57">
        <v>1</v>
      </c>
      <c r="D33" s="57">
        <v>1</v>
      </c>
      <c r="E33" s="164"/>
      <c r="F33" s="57"/>
      <c r="G33" s="57"/>
      <c r="H33" s="57"/>
      <c r="I33" s="164"/>
      <c r="J33" s="57"/>
      <c r="K33" s="57"/>
      <c r="L33" s="57"/>
      <c r="M33" s="164"/>
      <c r="N33" s="57"/>
      <c r="O33" s="57"/>
      <c r="P33" s="57"/>
      <c r="Q33" s="164"/>
      <c r="R33" s="107"/>
      <c r="S33" s="13"/>
    </row>
    <row r="34" spans="1:19" s="19" customFormat="1" ht="15" customHeight="1" thickBot="1">
      <c r="A34" s="762" t="s">
        <v>214</v>
      </c>
      <c r="B34" s="763">
        <f>B33*B32</f>
        <v>2266</v>
      </c>
      <c r="C34" s="763">
        <f>C33*C32</f>
        <v>2266</v>
      </c>
      <c r="D34" s="763">
        <f>D33*D32</f>
        <v>2266</v>
      </c>
      <c r="E34" s="764"/>
      <c r="F34" s="763">
        <f>F33*F32</f>
        <v>0</v>
      </c>
      <c r="G34" s="763">
        <f>G33*G32</f>
        <v>0</v>
      </c>
      <c r="H34" s="763">
        <f>H33*H32</f>
        <v>0</v>
      </c>
      <c r="I34" s="764"/>
      <c r="J34" s="763">
        <f>J33*J32</f>
        <v>0</v>
      </c>
      <c r="K34" s="763">
        <f>K33*K32</f>
        <v>0</v>
      </c>
      <c r="L34" s="763">
        <f>L33*L32</f>
        <v>0</v>
      </c>
      <c r="M34" s="764"/>
      <c r="N34" s="763">
        <f>N33*N32</f>
        <v>0</v>
      </c>
      <c r="O34" s="763">
        <f>O33*O32</f>
        <v>0</v>
      </c>
      <c r="P34" s="763">
        <f>P33*P32</f>
        <v>0</v>
      </c>
      <c r="Q34" s="764"/>
      <c r="R34" s="107"/>
      <c r="S34" s="13"/>
    </row>
    <row r="35" spans="1:19" s="760" customFormat="1" ht="15" customHeight="1" thickBot="1">
      <c r="A35" s="766" t="s">
        <v>243</v>
      </c>
      <c r="B35" s="767">
        <f>B18+B27+B30+B34</f>
        <v>6097.76</v>
      </c>
      <c r="C35" s="767">
        <f t="shared" ref="C35:D35" si="22">C18+C27+C30+C34</f>
        <v>6097.76</v>
      </c>
      <c r="D35" s="767">
        <f t="shared" si="22"/>
        <v>3636</v>
      </c>
      <c r="E35" s="768"/>
      <c r="F35" s="767">
        <f t="shared" ref="F35:H35" si="23">F18+F27+F30+F34</f>
        <v>1020</v>
      </c>
      <c r="G35" s="767">
        <f t="shared" si="23"/>
        <v>1020</v>
      </c>
      <c r="H35" s="767">
        <f t="shared" si="23"/>
        <v>1020</v>
      </c>
      <c r="I35" s="768"/>
      <c r="J35" s="767">
        <f t="shared" ref="J35:L35" si="24">J18+J27+J30+J34</f>
        <v>1020</v>
      </c>
      <c r="K35" s="767">
        <f t="shared" si="24"/>
        <v>1020</v>
      </c>
      <c r="L35" s="767">
        <f t="shared" si="24"/>
        <v>1020</v>
      </c>
      <c r="M35" s="768"/>
      <c r="N35" s="767">
        <f t="shared" ref="N35:P35" si="25">N18+N27+N30+N34</f>
        <v>1020</v>
      </c>
      <c r="O35" s="767">
        <f t="shared" si="25"/>
        <v>1020</v>
      </c>
      <c r="P35" s="767">
        <f t="shared" si="25"/>
        <v>1020</v>
      </c>
      <c r="Q35" s="769"/>
      <c r="R35" s="761"/>
      <c r="S35" s="759"/>
    </row>
    <row r="36" spans="1:19" s="11" customFormat="1" ht="15" customHeight="1">
      <c r="A36" s="765" t="s">
        <v>115</v>
      </c>
      <c r="B36" s="780">
        <f>D5</f>
        <v>211000</v>
      </c>
      <c r="C36" s="781"/>
      <c r="D36" s="781"/>
      <c r="E36" s="782"/>
      <c r="F36" s="780">
        <f>H5</f>
        <v>232100.00000000003</v>
      </c>
      <c r="G36" s="781"/>
      <c r="H36" s="781"/>
      <c r="I36" s="782"/>
      <c r="J36" s="780">
        <f>L5</f>
        <v>238219</v>
      </c>
      <c r="K36" s="781"/>
      <c r="L36" s="781"/>
      <c r="M36" s="782"/>
      <c r="N36" s="780">
        <f>P5</f>
        <v>236131.52999999997</v>
      </c>
      <c r="O36" s="781"/>
      <c r="P36" s="781"/>
      <c r="Q36" s="782"/>
      <c r="R36" s="693"/>
      <c r="S36" s="15"/>
    </row>
    <row r="37" spans="1:19" s="11" customFormat="1" ht="15" customHeight="1">
      <c r="A37" s="99" t="s">
        <v>69</v>
      </c>
      <c r="B37" s="774">
        <f>D7</f>
        <v>143109.1133</v>
      </c>
      <c r="C37" s="775"/>
      <c r="D37" s="775"/>
      <c r="E37" s="776"/>
      <c r="F37" s="774">
        <f>H7</f>
        <v>0</v>
      </c>
      <c r="G37" s="775"/>
      <c r="H37" s="775"/>
      <c r="I37" s="776"/>
      <c r="J37" s="774">
        <f>L7</f>
        <v>0</v>
      </c>
      <c r="K37" s="775"/>
      <c r="L37" s="775"/>
      <c r="M37" s="776"/>
      <c r="N37" s="774">
        <f>P7</f>
        <v>0</v>
      </c>
      <c r="O37" s="775"/>
      <c r="P37" s="775"/>
      <c r="Q37" s="776"/>
      <c r="R37" s="693"/>
      <c r="S37" s="15"/>
    </row>
    <row r="38" spans="1:19" s="11" customFormat="1" ht="15" customHeight="1">
      <c r="A38" s="99" t="s">
        <v>68</v>
      </c>
      <c r="B38" s="783">
        <f>B37/B36</f>
        <v>0.67824224312796211</v>
      </c>
      <c r="C38" s="784"/>
      <c r="D38" s="784"/>
      <c r="E38" s="776"/>
      <c r="F38" s="783">
        <f>F37/F36</f>
        <v>0</v>
      </c>
      <c r="G38" s="784"/>
      <c r="H38" s="784"/>
      <c r="I38" s="776"/>
      <c r="J38" s="783">
        <f>J37/J36</f>
        <v>0</v>
      </c>
      <c r="K38" s="784"/>
      <c r="L38" s="784"/>
      <c r="M38" s="776"/>
      <c r="N38" s="783">
        <f>N37/N36</f>
        <v>0</v>
      </c>
      <c r="O38" s="784"/>
      <c r="P38" s="784"/>
      <c r="Q38" s="776"/>
      <c r="R38" s="693"/>
      <c r="S38" s="15"/>
    </row>
    <row r="39" spans="1:19" s="11" customFormat="1" ht="15" customHeight="1">
      <c r="A39" s="99" t="s">
        <v>65</v>
      </c>
      <c r="B39" s="774">
        <f>D19</f>
        <v>7000</v>
      </c>
      <c r="C39" s="775"/>
      <c r="D39" s="775"/>
      <c r="E39" s="776"/>
      <c r="F39" s="774">
        <f>H19</f>
        <v>10266.666666666666</v>
      </c>
      <c r="G39" s="775"/>
      <c r="H39" s="775"/>
      <c r="I39" s="776"/>
      <c r="J39" s="774">
        <f>L19</f>
        <v>7000</v>
      </c>
      <c r="K39" s="775"/>
      <c r="L39" s="775"/>
      <c r="M39" s="776"/>
      <c r="N39" s="774">
        <f>P19</f>
        <v>7000</v>
      </c>
      <c r="O39" s="775"/>
      <c r="P39" s="775"/>
      <c r="Q39" s="776"/>
      <c r="R39" s="693"/>
      <c r="S39" s="15"/>
    </row>
    <row r="40" spans="1:19" s="11" customFormat="1" ht="15" customHeight="1">
      <c r="A40" s="694" t="s">
        <v>66</v>
      </c>
      <c r="B40" s="774">
        <f>IF(B38&lt;100%,0,IF(B38&lt;105%,0.5,IF(B38&lt;110%,0.7,1)))</f>
        <v>0</v>
      </c>
      <c r="C40" s="775"/>
      <c r="D40" s="775"/>
      <c r="E40" s="776"/>
      <c r="F40" s="774">
        <f>IF(F38&lt;100%,0,IF(F38&lt;105%,0.5,IF(F38&lt;110%,0.7,1)))</f>
        <v>0</v>
      </c>
      <c r="G40" s="775"/>
      <c r="H40" s="775"/>
      <c r="I40" s="776"/>
      <c r="J40" s="774">
        <f>IF(J38&lt;100%,0,IF(J38&lt;105%,0.5,IF(J38&lt;110%,0.7,1)))</f>
        <v>0</v>
      </c>
      <c r="K40" s="775"/>
      <c r="L40" s="775"/>
      <c r="M40" s="776"/>
      <c r="N40" s="774">
        <f>IF(N38&lt;100%,0,IF(N38&lt;105%,0.5,IF(N38&lt;110%,0.7,1)))</f>
        <v>0</v>
      </c>
      <c r="O40" s="775"/>
      <c r="P40" s="775"/>
      <c r="Q40" s="776"/>
      <c r="R40" s="693"/>
      <c r="S40" s="15"/>
    </row>
    <row r="41" spans="1:19" s="11" customFormat="1" ht="15" customHeight="1">
      <c r="A41" s="694" t="s">
        <v>64</v>
      </c>
      <c r="B41" s="774">
        <f>B40*B39</f>
        <v>0</v>
      </c>
      <c r="C41" s="775"/>
      <c r="D41" s="775"/>
      <c r="E41" s="776"/>
      <c r="F41" s="774">
        <f>F40*F39</f>
        <v>0</v>
      </c>
      <c r="G41" s="775"/>
      <c r="H41" s="775"/>
      <c r="I41" s="776"/>
      <c r="J41" s="774">
        <f>J40*J39</f>
        <v>0</v>
      </c>
      <c r="K41" s="775"/>
      <c r="L41" s="775"/>
      <c r="M41" s="776"/>
      <c r="N41" s="774">
        <f>N40*N39</f>
        <v>0</v>
      </c>
      <c r="O41" s="775"/>
      <c r="P41" s="775"/>
      <c r="Q41" s="776"/>
      <c r="R41" s="693"/>
    </row>
    <row r="42" spans="1:19" s="45" customFormat="1" ht="15" customHeight="1" thickBot="1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4"/>
    </row>
    <row r="43" spans="1:19" ht="13.8" thickBot="1">
      <c r="A43" s="313" t="s">
        <v>91</v>
      </c>
      <c r="B43" s="314" t="s">
        <v>1</v>
      </c>
      <c r="C43" s="314" t="s">
        <v>2</v>
      </c>
      <c r="D43" s="314" t="s">
        <v>3</v>
      </c>
      <c r="E43" s="281" t="s">
        <v>93</v>
      </c>
      <c r="F43" s="314" t="s">
        <v>4</v>
      </c>
      <c r="G43" s="314" t="s">
        <v>5</v>
      </c>
      <c r="H43" s="596" t="s">
        <v>6</v>
      </c>
      <c r="I43" s="281" t="s">
        <v>93</v>
      </c>
      <c r="J43" s="314" t="s">
        <v>7</v>
      </c>
      <c r="K43" s="314" t="s">
        <v>8</v>
      </c>
      <c r="L43" s="314" t="s">
        <v>9</v>
      </c>
      <c r="M43" s="281" t="s">
        <v>93</v>
      </c>
      <c r="N43" s="314" t="s">
        <v>92</v>
      </c>
      <c r="O43" s="314" t="s">
        <v>11</v>
      </c>
      <c r="P43" s="314" t="s">
        <v>12</v>
      </c>
      <c r="Q43" s="281" t="s">
        <v>93</v>
      </c>
      <c r="R43" s="281" t="s">
        <v>93</v>
      </c>
    </row>
    <row r="44" spans="1:19" ht="13.8" thickTop="1">
      <c r="A44" s="315" t="s">
        <v>94</v>
      </c>
      <c r="B44" s="129"/>
      <c r="C44" s="129"/>
      <c r="D44" s="129"/>
      <c r="E44" s="282">
        <f>SUM(B44:D44)</f>
        <v>0</v>
      </c>
      <c r="F44" s="129"/>
      <c r="G44" s="129"/>
      <c r="H44" s="129"/>
      <c r="I44" s="282">
        <f>SUM(F44:H44)</f>
        <v>0</v>
      </c>
      <c r="J44" s="129"/>
      <c r="K44" s="129"/>
      <c r="L44" s="129"/>
      <c r="M44" s="282">
        <f>SUM(J44:L44)</f>
        <v>0</v>
      </c>
      <c r="N44" s="129"/>
      <c r="O44" s="129"/>
      <c r="P44" s="372"/>
      <c r="Q44" s="282">
        <f>SUM(N44:P44)</f>
        <v>0</v>
      </c>
      <c r="R44" s="282">
        <f>I44+M44+Q44+E44</f>
        <v>0</v>
      </c>
      <c r="S44" s="50"/>
    </row>
    <row r="45" spans="1:19">
      <c r="A45" s="316" t="s">
        <v>95</v>
      </c>
      <c r="B45" s="130"/>
      <c r="C45" s="130"/>
      <c r="D45" s="130"/>
      <c r="E45" s="170"/>
      <c r="F45" s="130"/>
      <c r="G45" s="130"/>
      <c r="H45" s="130"/>
      <c r="I45" s="170"/>
      <c r="J45" s="130"/>
      <c r="K45" s="130"/>
      <c r="L45" s="130"/>
      <c r="M45" s="170"/>
      <c r="N45" s="130"/>
      <c r="O45" s="130"/>
      <c r="P45" s="369"/>
      <c r="Q45" s="170"/>
      <c r="R45" s="170"/>
      <c r="S45" s="50"/>
    </row>
    <row r="46" spans="1:19">
      <c r="A46" s="316" t="s">
        <v>96</v>
      </c>
      <c r="B46" s="130"/>
      <c r="C46" s="130"/>
      <c r="D46" s="130"/>
      <c r="E46" s="170"/>
      <c r="F46" s="130"/>
      <c r="G46" s="130"/>
      <c r="H46" s="130"/>
      <c r="I46" s="170"/>
      <c r="J46" s="130"/>
      <c r="K46" s="130"/>
      <c r="L46" s="130"/>
      <c r="M46" s="170"/>
      <c r="N46" s="130"/>
      <c r="O46" s="130"/>
      <c r="P46" s="369"/>
      <c r="Q46" s="170"/>
      <c r="R46" s="170"/>
      <c r="S46" s="50"/>
    </row>
    <row r="47" spans="1:19">
      <c r="A47" s="316" t="s">
        <v>125</v>
      </c>
      <c r="B47" s="130"/>
      <c r="C47" s="130"/>
      <c r="D47" s="130"/>
      <c r="E47" s="170"/>
      <c r="F47" s="130"/>
      <c r="G47" s="130"/>
      <c r="H47" s="130"/>
      <c r="I47" s="170"/>
      <c r="J47" s="130"/>
      <c r="K47" s="130"/>
      <c r="L47" s="130"/>
      <c r="M47" s="170"/>
      <c r="N47" s="130"/>
      <c r="O47" s="130"/>
      <c r="P47" s="369"/>
      <c r="Q47" s="170"/>
      <c r="R47" s="170"/>
      <c r="S47" s="50"/>
    </row>
    <row r="48" spans="1:19">
      <c r="A48" s="316" t="s">
        <v>97</v>
      </c>
      <c r="B48" s="317"/>
      <c r="C48" s="317"/>
      <c r="D48" s="317"/>
      <c r="E48" s="171"/>
      <c r="F48" s="317"/>
      <c r="G48" s="317"/>
      <c r="H48" s="317"/>
      <c r="I48" s="171"/>
      <c r="J48" s="317"/>
      <c r="K48" s="317"/>
      <c r="L48" s="317"/>
      <c r="M48" s="171"/>
      <c r="N48" s="317"/>
      <c r="O48" s="317"/>
      <c r="P48" s="378"/>
      <c r="Q48" s="171"/>
      <c r="R48" s="171"/>
      <c r="S48" s="50"/>
    </row>
    <row r="49" spans="1:19" ht="13.8" thickBot="1">
      <c r="A49" s="318" t="s">
        <v>98</v>
      </c>
      <c r="B49" s="131"/>
      <c r="C49" s="131"/>
      <c r="D49" s="131"/>
      <c r="E49" s="282">
        <f t="shared" ref="E49:E50" si="26">SUM(B49:D49)</f>
        <v>0</v>
      </c>
      <c r="F49" s="131"/>
      <c r="G49" s="131"/>
      <c r="H49" s="131"/>
      <c r="I49" s="282">
        <f t="shared" ref="I49:I50" si="27">SUM(F49:H49)</f>
        <v>0</v>
      </c>
      <c r="J49" s="131"/>
      <c r="K49" s="131"/>
      <c r="L49" s="131"/>
      <c r="M49" s="282">
        <f t="shared" ref="M49:M50" si="28">SUM(J49:L49)</f>
        <v>0</v>
      </c>
      <c r="N49" s="131"/>
      <c r="O49" s="131"/>
      <c r="P49" s="373"/>
      <c r="Q49" s="282">
        <f t="shared" ref="Q49:Q50" si="29">SUM(N49:P49)</f>
        <v>0</v>
      </c>
      <c r="R49" s="282">
        <f>I49+M49+Q49+E49</f>
        <v>0</v>
      </c>
      <c r="S49" s="50"/>
    </row>
    <row r="50" spans="1:19" ht="13.8" thickTop="1">
      <c r="A50" s="319" t="s">
        <v>126</v>
      </c>
      <c r="B50" s="132"/>
      <c r="C50" s="132"/>
      <c r="D50" s="132"/>
      <c r="E50" s="282">
        <f t="shared" si="26"/>
        <v>0</v>
      </c>
      <c r="F50" s="132"/>
      <c r="G50" s="132"/>
      <c r="H50" s="132"/>
      <c r="I50" s="282">
        <f t="shared" si="27"/>
        <v>0</v>
      </c>
      <c r="J50" s="132"/>
      <c r="K50" s="132"/>
      <c r="L50" s="132"/>
      <c r="M50" s="282">
        <f t="shared" si="28"/>
        <v>0</v>
      </c>
      <c r="N50" s="132"/>
      <c r="O50" s="132"/>
      <c r="P50" s="374"/>
      <c r="Q50" s="282">
        <f t="shared" si="29"/>
        <v>0</v>
      </c>
      <c r="R50" s="282">
        <f>I50+M50+Q50+E50</f>
        <v>0</v>
      </c>
      <c r="S50" s="50"/>
    </row>
    <row r="51" spans="1:19">
      <c r="A51" s="316" t="s">
        <v>99</v>
      </c>
      <c r="B51" s="130"/>
      <c r="C51" s="130"/>
      <c r="D51" s="130"/>
      <c r="E51" s="172"/>
      <c r="F51" s="130"/>
      <c r="G51" s="130"/>
      <c r="H51" s="130"/>
      <c r="I51" s="172"/>
      <c r="J51" s="130"/>
      <c r="K51" s="130"/>
      <c r="L51" s="130"/>
      <c r="M51" s="172"/>
      <c r="N51" s="130"/>
      <c r="O51" s="130"/>
      <c r="P51" s="369"/>
      <c r="Q51" s="172"/>
      <c r="R51" s="172"/>
      <c r="S51" s="50"/>
    </row>
    <row r="52" spans="1:19">
      <c r="A52" s="316" t="s">
        <v>100</v>
      </c>
      <c r="B52" s="130"/>
      <c r="C52" s="130"/>
      <c r="D52" s="130"/>
      <c r="E52" s="282">
        <f t="shared" ref="E52:E56" si="30">SUM(B52:D52)</f>
        <v>0</v>
      </c>
      <c r="F52" s="130"/>
      <c r="G52" s="130"/>
      <c r="H52" s="130"/>
      <c r="I52" s="282">
        <f t="shared" ref="I52:I56" si="31">SUM(F52:H52)</f>
        <v>0</v>
      </c>
      <c r="J52" s="130"/>
      <c r="K52" s="130"/>
      <c r="L52" s="130"/>
      <c r="M52" s="282">
        <f t="shared" ref="M52:M56" si="32">SUM(J52:L52)</f>
        <v>0</v>
      </c>
      <c r="N52" s="130"/>
      <c r="O52" s="130"/>
      <c r="P52" s="369"/>
      <c r="Q52" s="282">
        <f t="shared" ref="Q52:Q56" si="33">SUM(N52:P52)</f>
        <v>0</v>
      </c>
      <c r="R52" s="282">
        <f>I52+M52+Q52+E52</f>
        <v>0</v>
      </c>
      <c r="S52" s="50"/>
    </row>
    <row r="53" spans="1:19" ht="13.8" thickBot="1">
      <c r="A53" s="320" t="s">
        <v>101</v>
      </c>
      <c r="B53" s="133"/>
      <c r="C53" s="133"/>
      <c r="D53" s="133"/>
      <c r="E53" s="282">
        <f t="shared" si="30"/>
        <v>0</v>
      </c>
      <c r="F53" s="133"/>
      <c r="G53" s="133"/>
      <c r="H53" s="133"/>
      <c r="I53" s="282">
        <f t="shared" si="31"/>
        <v>0</v>
      </c>
      <c r="J53" s="133"/>
      <c r="K53" s="133"/>
      <c r="L53" s="133"/>
      <c r="M53" s="282">
        <f t="shared" si="32"/>
        <v>0</v>
      </c>
      <c r="N53" s="133"/>
      <c r="O53" s="133"/>
      <c r="P53" s="375"/>
      <c r="Q53" s="282">
        <f t="shared" si="33"/>
        <v>0</v>
      </c>
      <c r="R53" s="282">
        <f>I53+M53+Q53+E53</f>
        <v>0</v>
      </c>
      <c r="S53" s="50"/>
    </row>
    <row r="54" spans="1:19" ht="13.8" thickTop="1">
      <c r="A54" s="315" t="s">
        <v>173</v>
      </c>
      <c r="B54" s="129"/>
      <c r="C54" s="129"/>
      <c r="D54" s="129"/>
      <c r="E54" s="282">
        <f t="shared" si="30"/>
        <v>0</v>
      </c>
      <c r="F54" s="129"/>
      <c r="G54" s="129"/>
      <c r="H54" s="129"/>
      <c r="I54" s="282">
        <f t="shared" si="31"/>
        <v>0</v>
      </c>
      <c r="J54" s="129"/>
      <c r="K54" s="129"/>
      <c r="L54" s="129"/>
      <c r="M54" s="282">
        <f t="shared" si="32"/>
        <v>0</v>
      </c>
      <c r="N54" s="129"/>
      <c r="O54" s="129"/>
      <c r="P54" s="372"/>
      <c r="Q54" s="282">
        <f t="shared" si="33"/>
        <v>0</v>
      </c>
      <c r="R54" s="282">
        <f>I54+M54+Q54+E54</f>
        <v>0</v>
      </c>
      <c r="S54" s="50"/>
    </row>
    <row r="55" spans="1:19" ht="13.8" thickBot="1">
      <c r="A55" s="318" t="s">
        <v>102</v>
      </c>
      <c r="B55" s="131"/>
      <c r="C55" s="131"/>
      <c r="D55" s="131"/>
      <c r="E55" s="282">
        <f t="shared" si="30"/>
        <v>0</v>
      </c>
      <c r="F55" s="131"/>
      <c r="G55" s="131"/>
      <c r="H55" s="131"/>
      <c r="I55" s="282">
        <f t="shared" si="31"/>
        <v>0</v>
      </c>
      <c r="J55" s="131"/>
      <c r="K55" s="131"/>
      <c r="L55" s="131"/>
      <c r="M55" s="282">
        <f t="shared" si="32"/>
        <v>0</v>
      </c>
      <c r="N55" s="131"/>
      <c r="O55" s="131"/>
      <c r="P55" s="373"/>
      <c r="Q55" s="282">
        <f t="shared" si="33"/>
        <v>0</v>
      </c>
      <c r="R55" s="282">
        <f>I55+M55+Q55+E55</f>
        <v>0</v>
      </c>
      <c r="S55" s="50"/>
    </row>
    <row r="56" spans="1:19" ht="14.4" thickTop="1" thickBot="1">
      <c r="A56" s="318" t="s">
        <v>103</v>
      </c>
      <c r="B56" s="131"/>
      <c r="C56" s="131"/>
      <c r="D56" s="131"/>
      <c r="E56" s="282">
        <f t="shared" si="30"/>
        <v>0</v>
      </c>
      <c r="F56" s="131"/>
      <c r="G56" s="131"/>
      <c r="H56" s="131"/>
      <c r="I56" s="282">
        <f t="shared" si="31"/>
        <v>0</v>
      </c>
      <c r="J56" s="131"/>
      <c r="K56" s="131"/>
      <c r="L56" s="131"/>
      <c r="M56" s="282">
        <f t="shared" si="32"/>
        <v>0</v>
      </c>
      <c r="N56" s="131"/>
      <c r="O56" s="131"/>
      <c r="P56" s="373"/>
      <c r="Q56" s="282">
        <f t="shared" si="33"/>
        <v>0</v>
      </c>
      <c r="R56" s="282">
        <f>I56+M56+Q56+E56</f>
        <v>0</v>
      </c>
      <c r="S56" s="50"/>
    </row>
    <row r="57" spans="1:19" ht="13.8" thickTop="1">
      <c r="A57" s="321" t="s">
        <v>104</v>
      </c>
      <c r="B57" s="135"/>
      <c r="C57" s="135"/>
      <c r="D57" s="135"/>
      <c r="E57" s="128"/>
      <c r="F57" s="135"/>
      <c r="G57" s="135"/>
      <c r="H57" s="135"/>
      <c r="I57" s="128"/>
      <c r="J57" s="135"/>
      <c r="K57" s="135"/>
      <c r="L57" s="168"/>
      <c r="M57" s="128"/>
      <c r="N57" s="135"/>
      <c r="O57" s="135"/>
      <c r="P57" s="376"/>
      <c r="Q57" s="128"/>
      <c r="R57" s="128"/>
      <c r="S57" s="50"/>
    </row>
    <row r="58" spans="1:19">
      <c r="A58" s="322" t="s">
        <v>105</v>
      </c>
      <c r="B58" s="136"/>
      <c r="C58" s="136"/>
      <c r="D58" s="136"/>
      <c r="E58" s="282">
        <f t="shared" ref="E58:E60" si="34">SUM(B58:D58)</f>
        <v>0</v>
      </c>
      <c r="F58" s="136"/>
      <c r="G58" s="136"/>
      <c r="H58" s="136"/>
      <c r="I58" s="282">
        <f t="shared" ref="I58:I60" si="35">SUM(F58:H58)</f>
        <v>0</v>
      </c>
      <c r="J58" s="136"/>
      <c r="K58" s="136"/>
      <c r="L58" s="169"/>
      <c r="M58" s="282">
        <f t="shared" ref="M58:M60" si="36">SUM(J58:L58)</f>
        <v>0</v>
      </c>
      <c r="N58" s="136"/>
      <c r="O58" s="136"/>
      <c r="P58" s="377"/>
      <c r="Q58" s="282">
        <f t="shared" ref="Q58:Q60" si="37">SUM(N58:P58)</f>
        <v>0</v>
      </c>
      <c r="R58" s="282">
        <f>I58+M58+Q58+E58</f>
        <v>0</v>
      </c>
      <c r="S58" s="50"/>
    </row>
    <row r="59" spans="1:19">
      <c r="A59" s="322" t="s">
        <v>106</v>
      </c>
      <c r="B59" s="136"/>
      <c r="C59" s="136"/>
      <c r="D59" s="136"/>
      <c r="E59" s="282">
        <f t="shared" si="34"/>
        <v>0</v>
      </c>
      <c r="F59" s="136"/>
      <c r="G59" s="136"/>
      <c r="H59" s="136"/>
      <c r="I59" s="282">
        <f t="shared" si="35"/>
        <v>0</v>
      </c>
      <c r="J59" s="136"/>
      <c r="K59" s="136"/>
      <c r="L59" s="169"/>
      <c r="M59" s="282">
        <f t="shared" si="36"/>
        <v>0</v>
      </c>
      <c r="N59" s="136"/>
      <c r="O59" s="308"/>
      <c r="P59" s="371"/>
      <c r="Q59" s="282">
        <f t="shared" si="37"/>
        <v>0</v>
      </c>
      <c r="R59" s="282">
        <f>I59+M59+Q59+E59</f>
        <v>0</v>
      </c>
      <c r="S59" s="50"/>
    </row>
    <row r="60" spans="1:19">
      <c r="A60" s="322" t="s">
        <v>107</v>
      </c>
      <c r="B60" s="136"/>
      <c r="C60" s="136"/>
      <c r="D60" s="136"/>
      <c r="E60" s="282">
        <f t="shared" si="34"/>
        <v>0</v>
      </c>
      <c r="F60" s="136"/>
      <c r="G60" s="136"/>
      <c r="H60" s="136"/>
      <c r="I60" s="282">
        <f t="shared" si="35"/>
        <v>0</v>
      </c>
      <c r="J60" s="136"/>
      <c r="K60" s="136"/>
      <c r="L60" s="169"/>
      <c r="M60" s="282">
        <f t="shared" si="36"/>
        <v>0</v>
      </c>
      <c r="N60" s="136"/>
      <c r="O60" s="308"/>
      <c r="P60" s="371"/>
      <c r="Q60" s="282">
        <f t="shared" si="37"/>
        <v>0</v>
      </c>
      <c r="R60" s="282">
        <f>I60+M60+Q60+E60</f>
        <v>0</v>
      </c>
      <c r="S60" s="50"/>
    </row>
    <row r="61" spans="1:19" ht="13.8" thickBot="1">
      <c r="A61" s="323" t="s">
        <v>108</v>
      </c>
      <c r="B61" s="287"/>
      <c r="C61" s="287"/>
      <c r="D61" s="287"/>
      <c r="E61" s="173"/>
      <c r="F61" s="287"/>
      <c r="G61" s="287"/>
      <c r="H61" s="287"/>
      <c r="I61" s="173"/>
      <c r="J61" s="287"/>
      <c r="K61" s="287"/>
      <c r="L61" s="289"/>
      <c r="M61" s="173"/>
      <c r="N61" s="287"/>
      <c r="O61" s="309"/>
      <c r="P61" s="370"/>
      <c r="Q61" s="173"/>
      <c r="R61" s="173"/>
      <c r="S61" s="50"/>
    </row>
    <row r="62" spans="1:19" ht="13.8" thickTop="1">
      <c r="A6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134"/>
      <c r="Q62" s="50"/>
      <c r="R62" s="50"/>
    </row>
  </sheetData>
  <mergeCells count="28">
    <mergeCell ref="B1:D1"/>
    <mergeCell ref="B36:E36"/>
    <mergeCell ref="F1:H1"/>
    <mergeCell ref="J37:M37"/>
    <mergeCell ref="J38:M38"/>
    <mergeCell ref="J1:L1"/>
    <mergeCell ref="B37:E37"/>
    <mergeCell ref="B38:E38"/>
    <mergeCell ref="F37:I37"/>
    <mergeCell ref="F38:I38"/>
    <mergeCell ref="N1:P1"/>
    <mergeCell ref="N36:Q36"/>
    <mergeCell ref="F36:I36"/>
    <mergeCell ref="J36:M36"/>
    <mergeCell ref="N38:Q38"/>
    <mergeCell ref="N37:Q37"/>
    <mergeCell ref="N39:Q39"/>
    <mergeCell ref="N40:Q40"/>
    <mergeCell ref="N41:Q41"/>
    <mergeCell ref="B40:E40"/>
    <mergeCell ref="B39:E39"/>
    <mergeCell ref="B41:E41"/>
    <mergeCell ref="J39:M39"/>
    <mergeCell ref="J40:M40"/>
    <mergeCell ref="J41:M41"/>
    <mergeCell ref="F41:I41"/>
    <mergeCell ref="F39:I39"/>
    <mergeCell ref="F40:I40"/>
  </mergeCells>
  <phoneticPr fontId="0" type="noConversion"/>
  <pageMargins left="0.25" right="0.25" top="0.75" bottom="0.75" header="0.3" footer="0.3"/>
  <pageSetup paperSize="9" scale="58" fitToWidth="0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selection activeCell="H18" sqref="H18"/>
    </sheetView>
  </sheetViews>
  <sheetFormatPr defaultColWidth="9.109375" defaultRowHeight="13.2"/>
  <cols>
    <col min="1" max="1" width="42.6640625" style="115" customWidth="1"/>
    <col min="2" max="5" width="12" style="116" customWidth="1"/>
    <col min="6" max="6" width="11.44140625" style="116" customWidth="1"/>
    <col min="7" max="7" width="13" style="116" customWidth="1"/>
    <col min="8" max="8" width="12.88671875" style="116" customWidth="1"/>
    <col min="9" max="9" width="11.6640625" style="116" customWidth="1"/>
    <col min="10" max="12" width="13.109375" style="116" customWidth="1"/>
    <col min="13" max="13" width="12.33203125" style="116" customWidth="1"/>
    <col min="14" max="14" width="12.109375" style="116" customWidth="1"/>
    <col min="15" max="15" width="13" style="116" customWidth="1"/>
    <col min="16" max="17" width="12.6640625" style="116" customWidth="1"/>
    <col min="18" max="18" width="13" style="116" customWidth="1"/>
    <col min="19" max="19" width="9.109375" style="116"/>
    <col min="20" max="25" width="7.44140625" style="125" customWidth="1"/>
    <col min="26" max="27" width="9.109375" style="118"/>
    <col min="28" max="16384" width="9.109375" style="12"/>
  </cols>
  <sheetData>
    <row r="1" spans="1:27" ht="15" customHeight="1">
      <c r="A1" s="29" t="s">
        <v>187</v>
      </c>
      <c r="B1" s="777"/>
      <c r="C1" s="778"/>
      <c r="D1" s="778"/>
      <c r="E1" s="778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5"/>
      <c r="T1" s="117"/>
      <c r="U1" s="117"/>
      <c r="V1" s="117"/>
      <c r="W1" s="117"/>
      <c r="X1" s="117"/>
      <c r="Y1" s="117"/>
    </row>
    <row r="2" spans="1:27" ht="15" customHeight="1">
      <c r="A2" s="81" t="s">
        <v>0</v>
      </c>
      <c r="B2" s="149" t="s">
        <v>1</v>
      </c>
      <c r="C2" s="149" t="s">
        <v>2</v>
      </c>
      <c r="D2" s="149" t="s">
        <v>3</v>
      </c>
      <c r="E2" s="491" t="s">
        <v>110</v>
      </c>
      <c r="F2" s="149" t="s">
        <v>4</v>
      </c>
      <c r="G2" s="149" t="s">
        <v>5</v>
      </c>
      <c r="H2" s="149" t="s">
        <v>6</v>
      </c>
      <c r="I2" s="496" t="s">
        <v>116</v>
      </c>
      <c r="J2" s="149" t="s">
        <v>7</v>
      </c>
      <c r="K2" s="149" t="s">
        <v>8</v>
      </c>
      <c r="L2" s="149" t="s">
        <v>9</v>
      </c>
      <c r="M2" s="496" t="s">
        <v>117</v>
      </c>
      <c r="N2" s="149" t="s">
        <v>10</v>
      </c>
      <c r="O2" s="149" t="s">
        <v>11</v>
      </c>
      <c r="P2" s="149" t="s">
        <v>12</v>
      </c>
      <c r="Q2" s="496" t="s">
        <v>118</v>
      </c>
      <c r="R2" s="149" t="s">
        <v>13</v>
      </c>
      <c r="S2" s="119"/>
      <c r="T2" s="118"/>
      <c r="U2" s="118"/>
      <c r="V2" s="118"/>
      <c r="W2" s="118"/>
      <c r="X2" s="118"/>
      <c r="Y2" s="118"/>
    </row>
    <row r="3" spans="1:27" ht="15" customHeight="1">
      <c r="A3" s="770" t="s">
        <v>245</v>
      </c>
      <c r="B3" s="771"/>
      <c r="C3" s="772">
        <v>-3.9899999999999998E-2</v>
      </c>
      <c r="D3" s="772"/>
      <c r="E3" s="773"/>
      <c r="F3" s="771"/>
      <c r="G3" s="771"/>
      <c r="H3" s="771"/>
      <c r="I3" s="773"/>
      <c r="J3" s="771"/>
      <c r="K3" s="771"/>
      <c r="L3" s="771"/>
      <c r="M3" s="773"/>
      <c r="N3" s="771"/>
      <c r="O3" s="771"/>
      <c r="P3" s="771"/>
      <c r="Q3" s="773"/>
      <c r="R3" s="149"/>
      <c r="S3" s="119"/>
      <c r="T3" s="118"/>
      <c r="U3" s="118"/>
      <c r="V3" s="118"/>
      <c r="W3" s="118"/>
      <c r="X3" s="118"/>
      <c r="Y3" s="118"/>
    </row>
    <row r="4" spans="1:27" ht="15" customHeight="1">
      <c r="A4" s="83" t="s">
        <v>197</v>
      </c>
      <c r="B4" s="436">
        <f>Target!C4</f>
        <v>8700</v>
      </c>
      <c r="C4" s="436">
        <f>Target!D4</f>
        <v>9666.6666666666661</v>
      </c>
      <c r="D4" s="436">
        <f>Target!E4</f>
        <v>10633.333333333334</v>
      </c>
      <c r="E4" s="492">
        <f>SUM(B4:D4)</f>
        <v>29000</v>
      </c>
      <c r="F4" s="436">
        <f>Target!F4</f>
        <v>9900.6</v>
      </c>
      <c r="G4" s="436">
        <f>Target!G4</f>
        <v>11000.666666666666</v>
      </c>
      <c r="H4" s="436">
        <f>Target!H4</f>
        <v>12100.733333333334</v>
      </c>
      <c r="I4" s="497">
        <f>SUM(F4:H4)</f>
        <v>33002</v>
      </c>
      <c r="J4" s="436">
        <f>Target!I4</f>
        <v>9900.6</v>
      </c>
      <c r="K4" s="436">
        <f>Target!J4</f>
        <v>11000.666666666666</v>
      </c>
      <c r="L4" s="436">
        <f>Target!K4</f>
        <v>12100.733333333334</v>
      </c>
      <c r="M4" s="497">
        <f>SUM(J4:L4)</f>
        <v>33002</v>
      </c>
      <c r="N4" s="436">
        <f>Target!L4</f>
        <v>9723.0630000000001</v>
      </c>
      <c r="O4" s="436">
        <f>Target!M4</f>
        <v>10803.403333333334</v>
      </c>
      <c r="P4" s="436">
        <f>Target!N4</f>
        <v>11883.743666666667</v>
      </c>
      <c r="Q4" s="497">
        <f>SUM(N4:P4)</f>
        <v>32410.21</v>
      </c>
      <c r="R4" s="602">
        <f>B4+C4+D4+F4+G4+H4+J4+K4+L4+N4+O4+P4</f>
        <v>127414.21</v>
      </c>
      <c r="S4" s="731" t="e">
        <f>R4/Q3-1</f>
        <v>#DIV/0!</v>
      </c>
      <c r="T4" s="118"/>
      <c r="U4" s="118"/>
      <c r="V4" s="118"/>
      <c r="W4" s="118"/>
      <c r="X4" s="118"/>
      <c r="Y4" s="118"/>
    </row>
    <row r="5" spans="1:27" ht="15" customHeight="1">
      <c r="A5" s="85" t="s">
        <v>35</v>
      </c>
      <c r="B5" s="426">
        <f>B4</f>
        <v>8700</v>
      </c>
      <c r="C5" s="426">
        <f>C4+B5</f>
        <v>18366.666666666664</v>
      </c>
      <c r="D5" s="426">
        <f>D4+C5</f>
        <v>29000</v>
      </c>
      <c r="E5" s="493"/>
      <c r="F5" s="426">
        <f>F4</f>
        <v>9900.6</v>
      </c>
      <c r="G5" s="426">
        <f>G4+F5</f>
        <v>20901.266666666666</v>
      </c>
      <c r="H5" s="426">
        <f>H4+G5</f>
        <v>33002</v>
      </c>
      <c r="I5" s="493"/>
      <c r="J5" s="426">
        <f>J4</f>
        <v>9900.6</v>
      </c>
      <c r="K5" s="426">
        <f>K4+J5</f>
        <v>20901.266666666666</v>
      </c>
      <c r="L5" s="426">
        <f>L4+K5</f>
        <v>33002</v>
      </c>
      <c r="M5" s="727">
        <f>SUM(E6,I6,M6)/3</f>
        <v>8136.5315666666675</v>
      </c>
      <c r="N5" s="426">
        <f>N4</f>
        <v>9723.0630000000001</v>
      </c>
      <c r="O5" s="426">
        <f>O4+N5</f>
        <v>20526.466333333334</v>
      </c>
      <c r="P5" s="426">
        <f>P4+O5</f>
        <v>32410.21</v>
      </c>
      <c r="Q5" s="493"/>
      <c r="R5" s="437">
        <f>R6/R4</f>
        <v>0.19157670639719071</v>
      </c>
      <c r="S5" s="119"/>
      <c r="T5" s="118"/>
      <c r="U5" s="118"/>
      <c r="V5" s="118"/>
      <c r="W5" s="118"/>
      <c r="X5" s="118"/>
      <c r="Y5" s="118"/>
    </row>
    <row r="6" spans="1:27" ht="15" customHeight="1">
      <c r="A6" s="87" t="s">
        <v>37</v>
      </c>
      <c r="B6" s="176">
        <f>SUMIF(I!A:A,$A$1,I!I:I)</f>
        <v>12638.877899999999</v>
      </c>
      <c r="C6" s="175">
        <f>SUMIF(II!A:A,$A$1,II!I:I)</f>
        <v>7270.9315999999999</v>
      </c>
      <c r="D6" s="175">
        <f>SUMIF(III!A:A,$A$1,III!I:I)</f>
        <v>4499.7852000000003</v>
      </c>
      <c r="E6" s="599">
        <f>SUM(B6:D6)</f>
        <v>24409.594700000001</v>
      </c>
      <c r="F6" s="175">
        <f>SUMIF(IV!A:A,$A$1,IV!I:I)</f>
        <v>0</v>
      </c>
      <c r="G6" s="175">
        <f>SUMIF(V!A:A,$A$1,V!I:I)</f>
        <v>0</v>
      </c>
      <c r="H6" s="175">
        <f>SUMIF(VI!A:A,$A$1,VI!I:I)</f>
        <v>0</v>
      </c>
      <c r="I6" s="600">
        <f>SUM(F6:H6)</f>
        <v>0</v>
      </c>
      <c r="J6" s="175">
        <f>SUMIF(VII!A:A,$A$1,VII!I:I)</f>
        <v>0</v>
      </c>
      <c r="K6" s="175">
        <f>SUMIF(VIII!A:A,$A$1,VIII!I:I)</f>
        <v>0</v>
      </c>
      <c r="L6" s="175">
        <f>SUMIF(IX!A:A,$A$1,IX!I:I)</f>
        <v>0</v>
      </c>
      <c r="M6" s="600">
        <f>SUM(J6:L6)</f>
        <v>0</v>
      </c>
      <c r="N6" s="175">
        <f>SUMIF(X!A:A,$A$1,X!I:I)</f>
        <v>0</v>
      </c>
      <c r="O6" s="175">
        <f>SUMIF(XI!A:A,$A$1,XI!I:I)</f>
        <v>0</v>
      </c>
      <c r="P6" s="175">
        <f>SUMIF(XII!A:A,$A$1,XII!I:I)</f>
        <v>0</v>
      </c>
      <c r="Q6" s="600">
        <f>SUM(N6:P6)</f>
        <v>0</v>
      </c>
      <c r="R6" s="438">
        <f>B6+C6+D6+F6+G6+H6+J6+K6+L6+N6+O6+P6</f>
        <v>24409.594700000001</v>
      </c>
      <c r="S6" s="119"/>
      <c r="T6" s="118"/>
      <c r="U6" s="118"/>
      <c r="V6" s="118"/>
      <c r="W6" s="118"/>
      <c r="X6" s="118"/>
      <c r="Y6" s="118"/>
    </row>
    <row r="7" spans="1:27" ht="15" customHeight="1">
      <c r="A7" s="85" t="s">
        <v>38</v>
      </c>
      <c r="B7" s="426">
        <f>B6</f>
        <v>12638.877899999999</v>
      </c>
      <c r="C7" s="426">
        <f>C6+B7</f>
        <v>19909.809499999999</v>
      </c>
      <c r="D7" s="426">
        <f>D6+C7</f>
        <v>24409.594700000001</v>
      </c>
      <c r="E7" s="493"/>
      <c r="F7" s="426">
        <f>F6</f>
        <v>0</v>
      </c>
      <c r="G7" s="426">
        <f>G6+F7</f>
        <v>0</v>
      </c>
      <c r="H7" s="426">
        <f>H6+G7</f>
        <v>0</v>
      </c>
      <c r="I7" s="493"/>
      <c r="J7" s="426">
        <f>J6</f>
        <v>0</v>
      </c>
      <c r="K7" s="426">
        <f>K6+J7</f>
        <v>0</v>
      </c>
      <c r="L7" s="426">
        <f>L6+K7</f>
        <v>0</v>
      </c>
      <c r="M7" s="435"/>
      <c r="N7" s="426">
        <f>N6</f>
        <v>0</v>
      </c>
      <c r="O7" s="426">
        <f>O6+N7</f>
        <v>0</v>
      </c>
      <c r="P7" s="426">
        <f>P6+O7</f>
        <v>0</v>
      </c>
      <c r="Q7" s="493"/>
      <c r="R7" s="439"/>
      <c r="S7" s="119"/>
      <c r="T7" s="118"/>
      <c r="U7" s="118"/>
      <c r="V7" s="118"/>
      <c r="W7" s="118"/>
      <c r="X7" s="118"/>
      <c r="Y7" s="118"/>
    </row>
    <row r="8" spans="1:27" ht="15" customHeight="1">
      <c r="A8" s="88" t="s">
        <v>39</v>
      </c>
      <c r="B8" s="67">
        <f t="shared" ref="B8:D9" si="0">B6/B4</f>
        <v>1.4527445862068964</v>
      </c>
      <c r="C8" s="67">
        <f t="shared" si="0"/>
        <v>0.75216533793103457</v>
      </c>
      <c r="D8" s="67">
        <f t="shared" si="0"/>
        <v>0.42317729153605016</v>
      </c>
      <c r="E8" s="494"/>
      <c r="F8" s="67">
        <f t="shared" ref="F8:H9" si="1">F6/F4</f>
        <v>0</v>
      </c>
      <c r="G8" s="67">
        <f t="shared" si="1"/>
        <v>0</v>
      </c>
      <c r="H8" s="67">
        <f t="shared" si="1"/>
        <v>0</v>
      </c>
      <c r="I8" s="155"/>
      <c r="J8" s="67">
        <f t="shared" ref="J8:L9" si="2">J6/J4</f>
        <v>0</v>
      </c>
      <c r="K8" s="67">
        <f t="shared" si="2"/>
        <v>0</v>
      </c>
      <c r="L8" s="67">
        <f t="shared" si="2"/>
        <v>0</v>
      </c>
      <c r="M8" s="155"/>
      <c r="N8" s="67">
        <f t="shared" ref="N8:P9" si="3">N6/N4</f>
        <v>0</v>
      </c>
      <c r="O8" s="67">
        <f t="shared" si="3"/>
        <v>0</v>
      </c>
      <c r="P8" s="67">
        <f t="shared" si="3"/>
        <v>0</v>
      </c>
      <c r="Q8" s="733" t="e">
        <f>R6/Q3-1</f>
        <v>#DIV/0!</v>
      </c>
      <c r="R8" s="440"/>
      <c r="S8" s="119"/>
      <c r="T8" s="118"/>
      <c r="U8" s="118"/>
      <c r="V8" s="118"/>
      <c r="W8" s="118"/>
      <c r="X8" s="118"/>
      <c r="Y8" s="118"/>
    </row>
    <row r="9" spans="1:27" s="14" customFormat="1" ht="15" customHeight="1">
      <c r="A9" s="88" t="s">
        <v>40</v>
      </c>
      <c r="B9" s="580">
        <f t="shared" si="0"/>
        <v>1.4527445862068964</v>
      </c>
      <c r="C9" s="580">
        <f t="shared" si="0"/>
        <v>1.0840186660617062</v>
      </c>
      <c r="D9" s="580">
        <f t="shared" si="0"/>
        <v>0.84171016206896554</v>
      </c>
      <c r="E9" s="583"/>
      <c r="F9" s="580">
        <f t="shared" si="1"/>
        <v>0</v>
      </c>
      <c r="G9" s="580">
        <f t="shared" si="1"/>
        <v>0</v>
      </c>
      <c r="H9" s="580">
        <f t="shared" si="1"/>
        <v>0</v>
      </c>
      <c r="I9" s="719"/>
      <c r="J9" s="580">
        <f t="shared" si="2"/>
        <v>0</v>
      </c>
      <c r="K9" s="580">
        <f t="shared" si="2"/>
        <v>0</v>
      </c>
      <c r="L9" s="580">
        <f t="shared" si="2"/>
        <v>0</v>
      </c>
      <c r="M9" s="719"/>
      <c r="N9" s="580">
        <f t="shared" si="3"/>
        <v>0</v>
      </c>
      <c r="O9" s="580">
        <f t="shared" si="3"/>
        <v>0</v>
      </c>
      <c r="P9" s="580">
        <f t="shared" si="3"/>
        <v>0</v>
      </c>
      <c r="Q9" s="732">
        <f>R6-Q3</f>
        <v>24409.594700000001</v>
      </c>
      <c r="R9" s="584"/>
      <c r="S9" s="120"/>
      <c r="T9" s="121"/>
      <c r="U9" s="121"/>
      <c r="V9" s="121"/>
      <c r="W9" s="121"/>
      <c r="X9" s="121"/>
      <c r="Y9" s="121"/>
      <c r="Z9" s="121"/>
      <c r="AA9" s="121"/>
    </row>
    <row r="10" spans="1:27" s="21" customFormat="1" ht="15" customHeight="1">
      <c r="A10" s="85" t="s">
        <v>48</v>
      </c>
      <c r="B10" s="426">
        <f>B7-B5</f>
        <v>3938.8778999999995</v>
      </c>
      <c r="C10" s="426">
        <f>C7-C5</f>
        <v>1543.1428333333351</v>
      </c>
      <c r="D10" s="426">
        <f>D7-D5</f>
        <v>-4590.4052999999985</v>
      </c>
      <c r="E10" s="493"/>
      <c r="F10" s="426">
        <f t="shared" ref="F10:H10" si="4">F7-F5</f>
        <v>-9900.6</v>
      </c>
      <c r="G10" s="426">
        <f t="shared" si="4"/>
        <v>-20901.266666666666</v>
      </c>
      <c r="H10" s="426">
        <f t="shared" si="4"/>
        <v>-33002</v>
      </c>
      <c r="I10" s="493"/>
      <c r="J10" s="426">
        <f t="shared" ref="J10:P10" si="5">J7-J5</f>
        <v>-9900.6</v>
      </c>
      <c r="K10" s="426">
        <f t="shared" si="5"/>
        <v>-20901.266666666666</v>
      </c>
      <c r="L10" s="426">
        <f t="shared" si="5"/>
        <v>-33002</v>
      </c>
      <c r="M10" s="493"/>
      <c r="N10" s="426">
        <f t="shared" si="5"/>
        <v>-9723.0630000000001</v>
      </c>
      <c r="O10" s="426">
        <f t="shared" si="5"/>
        <v>-20526.466333333334</v>
      </c>
      <c r="P10" s="426">
        <f t="shared" si="5"/>
        <v>-32410.21</v>
      </c>
      <c r="Q10" s="493"/>
      <c r="R10" s="441"/>
      <c r="S10" s="122"/>
      <c r="T10" s="123"/>
      <c r="U10" s="123"/>
      <c r="V10" s="123"/>
      <c r="W10" s="123"/>
      <c r="X10" s="123"/>
      <c r="Y10" s="123"/>
      <c r="Z10" s="123"/>
      <c r="AA10" s="123"/>
    </row>
    <row r="11" spans="1:27" ht="15" customHeight="1">
      <c r="A11" s="87" t="s">
        <v>177</v>
      </c>
      <c r="B11" s="176">
        <f>SUMIF(I!A:A,$A$1,I!G:G)</f>
        <v>49988.5</v>
      </c>
      <c r="C11" s="175">
        <f>SUMIF(II!A:A,$A$1,II!G:G)</f>
        <v>40731.378900000003</v>
      </c>
      <c r="D11" s="175">
        <f>SUMIF(III!A:A,$A$1,III!G:G)</f>
        <v>25602.419900000001</v>
      </c>
      <c r="E11" s="599">
        <f>SUM(B11:D11)</f>
        <v>116322.29880000002</v>
      </c>
      <c r="F11" s="175">
        <f>SUMIF(IV!A:A,$A$1,IV!G:G)</f>
        <v>0</v>
      </c>
      <c r="G11" s="175">
        <f>SUMIF(V!A:A,$A$1,V!G:G)</f>
        <v>0</v>
      </c>
      <c r="H11" s="175">
        <f>SUMIF(VI!A:A,$A$1,VI!G:G)</f>
        <v>0</v>
      </c>
      <c r="I11" s="600">
        <f>SUM(F11:H11)</f>
        <v>0</v>
      </c>
      <c r="J11" s="175">
        <f>SUMIF(VII!A:A,$A$1,VII!G:G)</f>
        <v>0</v>
      </c>
      <c r="K11" s="175">
        <f>SUMIF(VIII!A:A,$A$1,VIII!G:G)</f>
        <v>0</v>
      </c>
      <c r="L11" s="175">
        <f>SUMIF(IX!A:A,$A$1,IX!G:G)</f>
        <v>0</v>
      </c>
      <c r="M11" s="600">
        <f>SUM(J11:L11)</f>
        <v>0</v>
      </c>
      <c r="N11" s="175">
        <f>SUMIF(X!A:A,$A$1,X!G:G)</f>
        <v>0</v>
      </c>
      <c r="O11" s="175">
        <f>SUMIF(XI!A:A,$A$1,XI!G:G)</f>
        <v>0</v>
      </c>
      <c r="P11" s="175">
        <f>SUMIF(XII!A:A,$A$1,XII!G:G)</f>
        <v>0</v>
      </c>
      <c r="Q11" s="601">
        <f>SUM(N11:P11)</f>
        <v>0</v>
      </c>
      <c r="R11" s="438">
        <f>SUM(B11:E11)</f>
        <v>232644.59760000004</v>
      </c>
      <c r="S11" s="119"/>
      <c r="T11" s="118"/>
      <c r="U11" s="118"/>
      <c r="V11" s="118"/>
      <c r="W11" s="118"/>
      <c r="X11" s="118"/>
      <c r="Y11" s="118"/>
    </row>
    <row r="12" spans="1:27" customFormat="1">
      <c r="A12" s="85" t="s">
        <v>178</v>
      </c>
      <c r="B12" s="426">
        <f>B11</f>
        <v>49988.5</v>
      </c>
      <c r="C12" s="426">
        <f>C11+B12</f>
        <v>90719.878900000011</v>
      </c>
      <c r="D12" s="426">
        <f>D11+C12</f>
        <v>116322.29880000002</v>
      </c>
      <c r="E12" s="493"/>
      <c r="F12" s="426">
        <f>F11</f>
        <v>0</v>
      </c>
      <c r="G12" s="426">
        <f>G11+F12</f>
        <v>0</v>
      </c>
      <c r="H12" s="426">
        <f>H11+G12</f>
        <v>0</v>
      </c>
      <c r="I12" s="493"/>
      <c r="J12" s="426">
        <f>J11</f>
        <v>0</v>
      </c>
      <c r="K12" s="426">
        <f>K11+J12</f>
        <v>0</v>
      </c>
      <c r="L12" s="426">
        <f>L11+K12</f>
        <v>0</v>
      </c>
      <c r="M12" s="493"/>
      <c r="N12" s="426">
        <f>N11</f>
        <v>0</v>
      </c>
      <c r="O12" s="426">
        <f>O11+N12</f>
        <v>0</v>
      </c>
      <c r="P12" s="426">
        <f>P11+O12</f>
        <v>0</v>
      </c>
      <c r="Q12" s="493"/>
      <c r="R12" s="439"/>
      <c r="S12" s="124"/>
      <c r="T12" s="124"/>
      <c r="U12" s="124"/>
      <c r="V12" s="124"/>
      <c r="W12" s="124"/>
      <c r="X12" s="124"/>
      <c r="Y12" s="124"/>
      <c r="Z12" s="124"/>
      <c r="AA12" s="124"/>
    </row>
    <row r="13" spans="1:27" ht="15" customHeight="1">
      <c r="A13" s="92" t="s">
        <v>188</v>
      </c>
      <c r="B13" s="69">
        <f t="shared" ref="B13:D14" si="6">B6/B11</f>
        <v>0.25283571021334905</v>
      </c>
      <c r="C13" s="69">
        <f t="shared" si="6"/>
        <v>0.1785093408659435</v>
      </c>
      <c r="D13" s="69">
        <f t="shared" si="6"/>
        <v>0.17575624560395559</v>
      </c>
      <c r="E13" s="495"/>
      <c r="F13" s="69" t="e">
        <f t="shared" ref="F13:H14" si="7">F6/F11</f>
        <v>#DIV/0!</v>
      </c>
      <c r="G13" s="69" t="e">
        <f t="shared" si="7"/>
        <v>#DIV/0!</v>
      </c>
      <c r="H13" s="69" t="e">
        <f t="shared" si="7"/>
        <v>#DIV/0!</v>
      </c>
      <c r="I13" s="495"/>
      <c r="J13" s="69" t="e">
        <f t="shared" ref="J13:L14" si="8">J6/J11</f>
        <v>#DIV/0!</v>
      </c>
      <c r="K13" s="69" t="e">
        <f t="shared" si="8"/>
        <v>#DIV/0!</v>
      </c>
      <c r="L13" s="69" t="e">
        <f t="shared" si="8"/>
        <v>#DIV/0!</v>
      </c>
      <c r="M13" s="495"/>
      <c r="N13" s="69" t="e">
        <f t="shared" ref="N13:P14" si="9">N6/N11</f>
        <v>#DIV/0!</v>
      </c>
      <c r="O13" s="69" t="e">
        <f t="shared" si="9"/>
        <v>#DIV/0!</v>
      </c>
      <c r="P13" s="69" t="e">
        <f t="shared" si="9"/>
        <v>#DIV/0!</v>
      </c>
      <c r="Q13" s="495"/>
      <c r="R13" s="442"/>
      <c r="S13" s="119"/>
      <c r="T13" s="118"/>
      <c r="U13" s="118"/>
      <c r="V13" s="118"/>
      <c r="W13" s="118"/>
      <c r="X13" s="118"/>
      <c r="Y13" s="118"/>
    </row>
    <row r="14" spans="1:27" ht="15" customHeight="1">
      <c r="A14" s="92" t="s">
        <v>189</v>
      </c>
      <c r="B14" s="69">
        <f t="shared" si="6"/>
        <v>0.25283571021334905</v>
      </c>
      <c r="C14" s="69">
        <f t="shared" si="6"/>
        <v>0.21946468339035666</v>
      </c>
      <c r="D14" s="69">
        <f t="shared" si="6"/>
        <v>0.20984450059716322</v>
      </c>
      <c r="E14" s="495"/>
      <c r="F14" s="69" t="e">
        <f t="shared" si="7"/>
        <v>#DIV/0!</v>
      </c>
      <c r="G14" s="69" t="e">
        <f t="shared" si="7"/>
        <v>#DIV/0!</v>
      </c>
      <c r="H14" s="69" t="e">
        <f t="shared" si="7"/>
        <v>#DIV/0!</v>
      </c>
      <c r="I14" s="495"/>
      <c r="J14" s="69" t="e">
        <f t="shared" si="8"/>
        <v>#DIV/0!</v>
      </c>
      <c r="K14" s="69" t="e">
        <f t="shared" si="8"/>
        <v>#DIV/0!</v>
      </c>
      <c r="L14" s="69" t="e">
        <f t="shared" si="8"/>
        <v>#DIV/0!</v>
      </c>
      <c r="M14" s="495"/>
      <c r="N14" s="69" t="e">
        <f t="shared" si="9"/>
        <v>#DIV/0!</v>
      </c>
      <c r="O14" s="69" t="e">
        <f t="shared" si="9"/>
        <v>#DIV/0!</v>
      </c>
      <c r="P14" s="69" t="e">
        <f t="shared" si="9"/>
        <v>#DIV/0!</v>
      </c>
      <c r="Q14" s="495"/>
      <c r="R14" s="442"/>
      <c r="S14" s="119"/>
      <c r="T14" s="118"/>
      <c r="U14" s="118"/>
      <c r="V14" s="118"/>
      <c r="W14" s="118"/>
      <c r="X14" s="118"/>
      <c r="Y14" s="118"/>
    </row>
    <row r="16" spans="1:27" ht="15.6">
      <c r="A16" s="142" t="s">
        <v>26</v>
      </c>
      <c r="B16" s="142"/>
      <c r="C16" s="143"/>
      <c r="D16" s="143"/>
      <c r="E16" s="158"/>
      <c r="F16" s="143"/>
      <c r="G16" s="365"/>
      <c r="H16" s="143"/>
      <c r="I16" s="158"/>
      <c r="J16" s="143"/>
      <c r="K16" s="143"/>
      <c r="L16" s="143"/>
      <c r="M16" s="158"/>
      <c r="N16" s="143"/>
      <c r="O16" s="143"/>
      <c r="P16" s="143"/>
      <c r="Q16" s="158"/>
    </row>
    <row r="17" spans="1:17">
      <c r="A17" s="54" t="s">
        <v>224</v>
      </c>
      <c r="B17" s="97">
        <v>1000</v>
      </c>
      <c r="C17" s="97">
        <v>1000</v>
      </c>
      <c r="D17" s="97">
        <v>1000</v>
      </c>
      <c r="E17" s="159"/>
      <c r="F17" s="97">
        <v>1100</v>
      </c>
      <c r="G17" s="97">
        <v>1100</v>
      </c>
      <c r="H17" s="97">
        <v>1100</v>
      </c>
      <c r="I17" s="159"/>
      <c r="J17" s="97">
        <v>1000</v>
      </c>
      <c r="K17" s="97">
        <v>1000</v>
      </c>
      <c r="L17" s="97">
        <v>1000</v>
      </c>
      <c r="M17" s="159"/>
      <c r="N17" s="97">
        <v>1000</v>
      </c>
      <c r="O17" s="97">
        <v>1000</v>
      </c>
      <c r="P17" s="97">
        <v>1000</v>
      </c>
      <c r="Q17" s="159"/>
    </row>
    <row r="18" spans="1:17">
      <c r="A18" s="99" t="s">
        <v>223</v>
      </c>
      <c r="B18" s="57">
        <v>1</v>
      </c>
      <c r="C18" s="57">
        <v>1</v>
      </c>
      <c r="D18" s="57">
        <v>1</v>
      </c>
      <c r="E18" s="164"/>
      <c r="F18" s="57"/>
      <c r="G18" s="57"/>
      <c r="H18" s="57"/>
      <c r="I18" s="164"/>
      <c r="J18" s="57"/>
      <c r="K18" s="57"/>
      <c r="L18" s="57"/>
      <c r="M18" s="164"/>
      <c r="N18" s="57"/>
      <c r="O18" s="57"/>
      <c r="P18" s="57"/>
      <c r="Q18" s="164"/>
    </row>
    <row r="19" spans="1:17">
      <c r="A19" s="736" t="s">
        <v>214</v>
      </c>
      <c r="B19" s="58">
        <f>B18*B17</f>
        <v>1000</v>
      </c>
      <c r="C19" s="58">
        <f>C18*C17</f>
        <v>1000</v>
      </c>
      <c r="D19" s="58">
        <f>D18*D17</f>
        <v>1000</v>
      </c>
      <c r="E19" s="164"/>
      <c r="F19" s="58">
        <f>F18*F17</f>
        <v>0</v>
      </c>
      <c r="G19" s="58">
        <f>G18*G17</f>
        <v>0</v>
      </c>
      <c r="H19" s="58">
        <f>H18*H17</f>
        <v>0</v>
      </c>
      <c r="I19" s="164"/>
      <c r="J19" s="58">
        <f>J18*J17</f>
        <v>0</v>
      </c>
      <c r="K19" s="58">
        <f>K18*K17</f>
        <v>0</v>
      </c>
      <c r="L19" s="58">
        <f>L18*L17</f>
        <v>0</v>
      </c>
      <c r="M19" s="164"/>
      <c r="N19" s="58">
        <f>N18*N17</f>
        <v>0</v>
      </c>
      <c r="O19" s="58">
        <f>O18*O17</f>
        <v>0</v>
      </c>
      <c r="P19" s="58">
        <f>P18*P17</f>
        <v>0</v>
      </c>
      <c r="Q19" s="164"/>
    </row>
    <row r="20" spans="1:17">
      <c r="A20" s="32"/>
      <c r="B20" s="102"/>
      <c r="C20" s="102"/>
      <c r="D20" s="102"/>
      <c r="E20" s="162"/>
      <c r="F20" s="102"/>
      <c r="G20" s="102"/>
      <c r="H20" s="102"/>
      <c r="I20" s="162"/>
      <c r="J20" s="102"/>
      <c r="K20" s="102"/>
      <c r="L20" s="102"/>
      <c r="M20" s="162"/>
      <c r="N20" s="102"/>
      <c r="O20" s="102"/>
      <c r="P20" s="102"/>
      <c r="Q20" s="162"/>
    </row>
    <row r="21" spans="1:17">
      <c r="A21" s="31"/>
      <c r="B21" s="63"/>
      <c r="C21" s="63"/>
      <c r="D21" s="63"/>
      <c r="E21" s="163"/>
      <c r="F21" s="63"/>
      <c r="G21" s="63"/>
      <c r="H21" s="63"/>
      <c r="I21" s="163"/>
      <c r="J21" s="63"/>
      <c r="K21" s="63"/>
      <c r="L21" s="63"/>
      <c r="M21" s="163"/>
      <c r="N21" s="63"/>
      <c r="O21" s="63"/>
      <c r="P21" s="63"/>
      <c r="Q21" s="163"/>
    </row>
    <row r="22" spans="1:17">
      <c r="A22" s="680" t="s">
        <v>208</v>
      </c>
      <c r="B22" s="707">
        <f>Target!J32</f>
        <v>3.4523809523809526E-2</v>
      </c>
      <c r="C22" s="707">
        <f>Target!J32</f>
        <v>3.4523809523809526E-2</v>
      </c>
      <c r="D22" s="707">
        <f>Target!J32</f>
        <v>3.4523809523809526E-2</v>
      </c>
      <c r="E22" s="681"/>
      <c r="F22" s="707">
        <f>Target!J41</f>
        <v>3.5673904066794798E-2</v>
      </c>
      <c r="G22" s="707">
        <f>Target!J41</f>
        <v>3.5673904066794798E-2</v>
      </c>
      <c r="H22" s="707">
        <f>Target!J41</f>
        <v>3.5673904066794798E-2</v>
      </c>
      <c r="I22" s="681"/>
      <c r="J22" s="707">
        <f>Target!J51</f>
        <v>3.5600978212442971E-2</v>
      </c>
      <c r="K22" s="707">
        <f>Target!J51</f>
        <v>3.5600978212442971E-2</v>
      </c>
      <c r="L22" s="707">
        <f>Target!J51</f>
        <v>3.5600978212442971E-2</v>
      </c>
      <c r="M22" s="681"/>
      <c r="N22" s="707">
        <f>Target!J60</f>
        <v>3.5000000000000003E-2</v>
      </c>
      <c r="O22" s="707">
        <f>Target!J60</f>
        <v>3.5000000000000003E-2</v>
      </c>
      <c r="P22" s="707">
        <f>Target!J60</f>
        <v>3.5000000000000003E-2</v>
      </c>
      <c r="Q22" s="161"/>
    </row>
    <row r="23" spans="1:17">
      <c r="A23" s="43"/>
      <c r="B23" s="58"/>
      <c r="C23" s="58"/>
      <c r="D23" s="58"/>
      <c r="E23" s="164"/>
      <c r="F23" s="58"/>
      <c r="G23" s="58"/>
      <c r="H23" s="58"/>
      <c r="I23" s="164"/>
      <c r="J23" s="58"/>
      <c r="K23" s="58"/>
      <c r="L23" s="58"/>
      <c r="M23" s="164"/>
      <c r="N23" s="58"/>
      <c r="O23" s="58"/>
      <c r="P23" s="58"/>
      <c r="Q23" s="164"/>
    </row>
    <row r="24" spans="1:17">
      <c r="A24" s="17"/>
      <c r="B24" s="57"/>
      <c r="C24" s="57"/>
      <c r="D24" s="57"/>
      <c r="E24" s="160"/>
      <c r="F24" s="57"/>
      <c r="G24" s="57"/>
      <c r="H24" s="57"/>
      <c r="I24" s="160"/>
      <c r="J24" s="57"/>
      <c r="K24" s="57"/>
      <c r="L24" s="57"/>
      <c r="M24" s="160"/>
      <c r="N24" s="57"/>
      <c r="O24" s="57"/>
      <c r="P24" s="57"/>
      <c r="Q24" s="160"/>
    </row>
    <row r="25" spans="1:17">
      <c r="A25" s="38"/>
      <c r="B25" s="106"/>
      <c r="C25" s="106"/>
      <c r="D25" s="106"/>
      <c r="E25" s="165"/>
      <c r="F25" s="106"/>
      <c r="G25" s="106"/>
      <c r="H25" s="106"/>
      <c r="I25" s="165"/>
      <c r="J25" s="106"/>
      <c r="K25" s="106"/>
      <c r="L25" s="106"/>
      <c r="M25" s="165"/>
      <c r="N25" s="106"/>
      <c r="O25" s="106"/>
      <c r="P25" s="106"/>
      <c r="Q25" s="165"/>
    </row>
    <row r="26" spans="1:17">
      <c r="A26" s="32"/>
      <c r="B26" s="59"/>
      <c r="C26" s="59"/>
      <c r="D26" s="59"/>
      <c r="E26" s="161"/>
      <c r="F26" s="59"/>
      <c r="G26" s="59"/>
      <c r="H26" s="59"/>
      <c r="I26" s="161"/>
      <c r="J26" s="59"/>
      <c r="K26" s="59"/>
      <c r="L26" s="59"/>
      <c r="M26" s="161"/>
      <c r="N26" s="59"/>
      <c r="O26" s="59"/>
      <c r="P26" s="59"/>
      <c r="Q26" s="161"/>
    </row>
    <row r="27" spans="1:17">
      <c r="A27" s="48"/>
      <c r="B27" s="58"/>
      <c r="C27" s="58"/>
      <c r="D27" s="58"/>
      <c r="E27" s="164"/>
      <c r="F27" s="58"/>
      <c r="G27" s="58"/>
      <c r="H27" s="58"/>
      <c r="I27" s="164"/>
      <c r="J27" s="58"/>
      <c r="K27" s="58"/>
      <c r="L27" s="58"/>
      <c r="M27" s="164"/>
      <c r="N27" s="58"/>
      <c r="O27" s="58"/>
      <c r="P27" s="58"/>
      <c r="Q27" s="164"/>
    </row>
    <row r="28" spans="1:17">
      <c r="A28" s="41"/>
      <c r="B28" s="61"/>
      <c r="C28" s="61"/>
      <c r="D28" s="61"/>
      <c r="E28" s="166"/>
      <c r="F28" s="61"/>
      <c r="G28" s="61"/>
      <c r="H28" s="61"/>
      <c r="I28" s="166"/>
      <c r="J28" s="61"/>
      <c r="K28" s="61"/>
      <c r="L28" s="61"/>
      <c r="M28" s="166"/>
      <c r="N28" s="61"/>
      <c r="O28" s="61"/>
      <c r="P28" s="61"/>
      <c r="Q28" s="166"/>
    </row>
    <row r="29" spans="1:17">
      <c r="A29" s="99" t="s">
        <v>115</v>
      </c>
      <c r="B29" s="774">
        <f>D5</f>
        <v>29000</v>
      </c>
      <c r="C29" s="775"/>
      <c r="D29" s="775"/>
      <c r="E29" s="779"/>
      <c r="F29" s="774">
        <f>H5</f>
        <v>33002</v>
      </c>
      <c r="G29" s="775"/>
      <c r="H29" s="775"/>
      <c r="I29" s="779"/>
      <c r="J29" s="774">
        <f>L5</f>
        <v>33002</v>
      </c>
      <c r="K29" s="775"/>
      <c r="L29" s="775"/>
      <c r="M29" s="779"/>
      <c r="N29" s="774">
        <f>P5</f>
        <v>32410.21</v>
      </c>
      <c r="O29" s="775"/>
      <c r="P29" s="775"/>
      <c r="Q29" s="779"/>
    </row>
    <row r="30" spans="1:17">
      <c r="A30" s="101" t="s">
        <v>69</v>
      </c>
      <c r="B30" s="774">
        <f>D7</f>
        <v>24409.594700000001</v>
      </c>
      <c r="C30" s="775"/>
      <c r="D30" s="775"/>
      <c r="E30" s="779"/>
      <c r="F30" s="774">
        <f>H7</f>
        <v>0</v>
      </c>
      <c r="G30" s="775"/>
      <c r="H30" s="775"/>
      <c r="I30" s="779"/>
      <c r="J30" s="774">
        <f>L7</f>
        <v>0</v>
      </c>
      <c r="K30" s="775"/>
      <c r="L30" s="775"/>
      <c r="M30" s="779"/>
      <c r="N30" s="774">
        <f>P7</f>
        <v>0</v>
      </c>
      <c r="O30" s="775"/>
      <c r="P30" s="775"/>
      <c r="Q30" s="779"/>
    </row>
    <row r="31" spans="1:17">
      <c r="A31" s="101" t="s">
        <v>68</v>
      </c>
      <c r="B31" s="785">
        <f>B30/B29</f>
        <v>0.84171016206896554</v>
      </c>
      <c r="C31" s="786"/>
      <c r="D31" s="786"/>
      <c r="E31" s="779"/>
      <c r="F31" s="785">
        <f>F30/F29</f>
        <v>0</v>
      </c>
      <c r="G31" s="786"/>
      <c r="H31" s="786"/>
      <c r="I31" s="779"/>
      <c r="J31" s="785">
        <f>J30/J29</f>
        <v>0</v>
      </c>
      <c r="K31" s="786"/>
      <c r="L31" s="786"/>
      <c r="M31" s="779"/>
      <c r="N31" s="785">
        <f>N30/N29</f>
        <v>0</v>
      </c>
      <c r="O31" s="786"/>
      <c r="P31" s="786"/>
      <c r="Q31" s="779"/>
    </row>
    <row r="32" spans="1:17">
      <c r="A32" s="101" t="s">
        <v>65</v>
      </c>
      <c r="B32" s="789">
        <f>D17</f>
        <v>1000</v>
      </c>
      <c r="C32" s="790"/>
      <c r="D32" s="790"/>
      <c r="E32" s="779"/>
      <c r="F32" s="789">
        <f>H17</f>
        <v>1100</v>
      </c>
      <c r="G32" s="790"/>
      <c r="H32" s="790"/>
      <c r="I32" s="779"/>
      <c r="J32" s="789">
        <f>L17</f>
        <v>1000</v>
      </c>
      <c r="K32" s="790"/>
      <c r="L32" s="790"/>
      <c r="M32" s="779"/>
      <c r="N32" s="789">
        <f>P17</f>
        <v>1000</v>
      </c>
      <c r="O32" s="790"/>
      <c r="P32" s="790"/>
      <c r="Q32" s="779"/>
    </row>
    <row r="33" spans="1:17">
      <c r="A33" s="65" t="s">
        <v>66</v>
      </c>
      <c r="B33" s="789">
        <f>IF(B31&lt;100%,0,IF(B31&lt;105%,0.5,IF(B31&lt;110%,0.7,1)))</f>
        <v>0</v>
      </c>
      <c r="C33" s="790"/>
      <c r="D33" s="790"/>
      <c r="E33" s="779"/>
      <c r="F33" s="789">
        <f>IF(F31&lt;100%,0,IF(F31&lt;105%,0.5,IF(F31&lt;110%,0.7,1)))</f>
        <v>0</v>
      </c>
      <c r="G33" s="790"/>
      <c r="H33" s="790"/>
      <c r="I33" s="779"/>
      <c r="J33" s="789">
        <f>IF(J31&lt;100%,0,IF(J31&lt;105%,0.5,IF(J31&lt;110%,0.7,1)))</f>
        <v>0</v>
      </c>
      <c r="K33" s="790"/>
      <c r="L33" s="790"/>
      <c r="M33" s="779"/>
      <c r="N33" s="789">
        <f>IF(N31&lt;100%,0,IF(N31&lt;105%,0.5,IF(N31&lt;110%,0.7,1)))</f>
        <v>0</v>
      </c>
      <c r="O33" s="790"/>
      <c r="P33" s="790"/>
      <c r="Q33" s="779"/>
    </row>
    <row r="34" spans="1:17">
      <c r="A34" s="505" t="s">
        <v>190</v>
      </c>
      <c r="B34" s="787">
        <f>B33*B32</f>
        <v>0</v>
      </c>
      <c r="C34" s="788"/>
      <c r="D34" s="788"/>
      <c r="E34" s="779"/>
      <c r="F34" s="787">
        <f>F33*F32</f>
        <v>0</v>
      </c>
      <c r="G34" s="788"/>
      <c r="H34" s="788"/>
      <c r="I34" s="779"/>
      <c r="J34" s="787">
        <f>J33*J32</f>
        <v>0</v>
      </c>
      <c r="K34" s="788"/>
      <c r="L34" s="788"/>
      <c r="M34" s="779"/>
      <c r="N34" s="787">
        <f>N33*N32</f>
        <v>0</v>
      </c>
      <c r="O34" s="788"/>
      <c r="P34" s="788"/>
      <c r="Q34" s="779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topLeftCell="A20" zoomScale="80" zoomScaleNormal="80" workbookViewId="0">
      <selection activeCell="F38" sqref="F38:I38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16" customWidth="1"/>
    <col min="6" max="8" width="11.6640625" style="11" customWidth="1"/>
    <col min="9" max="9" width="12.5546875" style="116" customWidth="1"/>
    <col min="10" max="12" width="11.6640625" style="11" customWidth="1"/>
    <col min="13" max="13" width="11.44140625" style="116" customWidth="1"/>
    <col min="14" max="16" width="12.6640625" style="11" customWidth="1"/>
    <col min="17" max="17" width="11.44140625" style="116" customWidth="1"/>
    <col min="18" max="18" width="13.33203125" style="116" customWidth="1"/>
    <col min="19" max="19" width="9.109375" style="11"/>
    <col min="20" max="16384" width="9.109375" style="12"/>
  </cols>
  <sheetData>
    <row r="1" spans="1:19" s="18" customFormat="1" ht="15" customHeight="1">
      <c r="A1" s="29" t="s">
        <v>24</v>
      </c>
      <c r="B1" s="791" t="s">
        <v>123</v>
      </c>
      <c r="C1" s="778"/>
      <c r="D1" s="778"/>
      <c r="E1" s="779"/>
      <c r="F1" s="791" t="s">
        <v>137</v>
      </c>
      <c r="G1" s="778"/>
      <c r="H1" s="778"/>
      <c r="I1" s="779"/>
      <c r="J1" s="791" t="s">
        <v>144</v>
      </c>
      <c r="K1" s="778"/>
      <c r="L1" s="778"/>
      <c r="M1" s="779"/>
      <c r="N1" s="791" t="s">
        <v>148</v>
      </c>
      <c r="O1" s="778"/>
      <c r="P1" s="778"/>
      <c r="Q1" s="779"/>
      <c r="R1" s="146"/>
      <c r="S1" s="11"/>
    </row>
    <row r="2" spans="1:19" s="18" customFormat="1" ht="15" customHeight="1">
      <c r="A2" s="81" t="s">
        <v>0</v>
      </c>
      <c r="B2" s="427" t="s">
        <v>1</v>
      </c>
      <c r="C2" s="427" t="s">
        <v>2</v>
      </c>
      <c r="D2" s="427" t="s">
        <v>3</v>
      </c>
      <c r="E2" s="152" t="s">
        <v>110</v>
      </c>
      <c r="F2" s="427" t="s">
        <v>4</v>
      </c>
      <c r="G2" s="427" t="s">
        <v>5</v>
      </c>
      <c r="H2" s="427" t="s">
        <v>6</v>
      </c>
      <c r="I2" s="152" t="s">
        <v>116</v>
      </c>
      <c r="J2" s="427" t="s">
        <v>7</v>
      </c>
      <c r="K2" s="427" t="s">
        <v>8</v>
      </c>
      <c r="L2" s="427" t="s">
        <v>9</v>
      </c>
      <c r="M2" s="152" t="s">
        <v>117</v>
      </c>
      <c r="N2" s="427" t="s">
        <v>10</v>
      </c>
      <c r="O2" s="427" t="s">
        <v>11</v>
      </c>
      <c r="P2" s="427" t="s">
        <v>12</v>
      </c>
      <c r="Q2" s="152" t="s">
        <v>118</v>
      </c>
      <c r="R2" s="82" t="s">
        <v>119</v>
      </c>
      <c r="S2" s="11"/>
    </row>
    <row r="3" spans="1:19" s="18" customFormat="1" ht="15" customHeight="1">
      <c r="A3" s="770" t="s">
        <v>245</v>
      </c>
      <c r="B3" s="771"/>
      <c r="C3" s="772">
        <v>0.2014</v>
      </c>
      <c r="D3" s="772"/>
      <c r="E3" s="773"/>
      <c r="F3" s="771"/>
      <c r="G3" s="771"/>
      <c r="H3" s="771"/>
      <c r="I3" s="773"/>
      <c r="J3" s="771"/>
      <c r="K3" s="771"/>
      <c r="L3" s="771"/>
      <c r="M3" s="773"/>
      <c r="N3" s="771"/>
      <c r="O3" s="771"/>
      <c r="P3" s="771"/>
      <c r="Q3" s="773"/>
      <c r="R3" s="607">
        <f>Target!O6</f>
        <v>1470328.4300000004</v>
      </c>
      <c r="S3" s="11"/>
    </row>
    <row r="4" spans="1:19" s="18" customFormat="1" ht="15" customHeight="1">
      <c r="A4" s="83" t="s">
        <v>197</v>
      </c>
      <c r="B4" s="431">
        <f>Target!C6</f>
        <v>103200</v>
      </c>
      <c r="C4" s="431">
        <f>Target!D6</f>
        <v>114666.66666666667</v>
      </c>
      <c r="D4" s="431">
        <f>Target!E6</f>
        <v>126133.33333333334</v>
      </c>
      <c r="E4" s="166">
        <f>SUM(B4:D4)</f>
        <v>344000</v>
      </c>
      <c r="F4" s="431">
        <f>Target!F6</f>
        <v>113520.00000000003</v>
      </c>
      <c r="G4" s="431">
        <f>Target!G6</f>
        <v>126133.33333333336</v>
      </c>
      <c r="H4" s="431">
        <f>Target!H6</f>
        <v>138746.66666666672</v>
      </c>
      <c r="I4" s="166">
        <f>SUM(F4:H4)</f>
        <v>378400.00000000012</v>
      </c>
      <c r="J4" s="431">
        <f>Target!I6</f>
        <v>111868.8</v>
      </c>
      <c r="K4" s="431">
        <f>Target!J6</f>
        <v>124298.66666666667</v>
      </c>
      <c r="L4" s="431">
        <f>Target!K6-8400</f>
        <v>128328.53333333335</v>
      </c>
      <c r="M4" s="153">
        <f>SUM(J4:L4)</f>
        <v>364496</v>
      </c>
      <c r="N4" s="431">
        <f>Target!L6+2800</f>
        <v>115309.72900000001</v>
      </c>
      <c r="O4" s="431">
        <f>Target!M6+2800</f>
        <v>127810.81000000001</v>
      </c>
      <c r="P4" s="431">
        <f>Target!N6+2800</f>
        <v>140311.89100000003</v>
      </c>
      <c r="Q4" s="166">
        <f>SUM(N4:P4)</f>
        <v>383432.43000000005</v>
      </c>
      <c r="R4" s="460">
        <f>E4+I4+M4+Q4</f>
        <v>1470328.4300000002</v>
      </c>
      <c r="S4" s="731"/>
    </row>
    <row r="5" spans="1:19" s="18" customFormat="1" ht="15" customHeight="1">
      <c r="A5" s="85" t="s">
        <v>198</v>
      </c>
      <c r="B5" s="432">
        <f>B4</f>
        <v>103200</v>
      </c>
      <c r="C5" s="432">
        <f>C4+B5</f>
        <v>217866.66666666669</v>
      </c>
      <c r="D5" s="432">
        <f>D4+C5</f>
        <v>344000</v>
      </c>
      <c r="E5" s="435"/>
      <c r="F5" s="432">
        <f>F4</f>
        <v>113520.00000000003</v>
      </c>
      <c r="G5" s="432">
        <f>G4+F5</f>
        <v>239653.33333333337</v>
      </c>
      <c r="H5" s="432">
        <f>H4+G5</f>
        <v>378400.00000000012</v>
      </c>
      <c r="I5" s="435"/>
      <c r="J5" s="432">
        <f>J4</f>
        <v>111868.8</v>
      </c>
      <c r="K5" s="432">
        <f>K4+J5</f>
        <v>236167.46666666667</v>
      </c>
      <c r="L5" s="432">
        <f>L4+K5</f>
        <v>364496</v>
      </c>
      <c r="M5" s="729">
        <f>SUM(E6,I6,M6)/3</f>
        <v>103178.55080000001</v>
      </c>
      <c r="N5" s="432">
        <f>N4</f>
        <v>115309.72900000001</v>
      </c>
      <c r="O5" s="432">
        <f>O4+N5</f>
        <v>243120.53900000002</v>
      </c>
      <c r="P5" s="432">
        <f>P4+O5</f>
        <v>383432.43000000005</v>
      </c>
      <c r="Q5" s="435"/>
      <c r="R5" s="293">
        <f>R6/R4</f>
        <v>0.21052143594883763</v>
      </c>
      <c r="S5" s="11"/>
    </row>
    <row r="6" spans="1:19" s="18" customFormat="1" ht="15" customHeight="1">
      <c r="A6" s="87" t="s">
        <v>37</v>
      </c>
      <c r="B6" s="176">
        <f>SUMIF(I!A:A,$A$1,I!I:I)</f>
        <v>143440.1875</v>
      </c>
      <c r="C6" s="175">
        <f>SUMIF(II!A:A,$A$1,II!I:I)</f>
        <v>128074.53909999999</v>
      </c>
      <c r="D6" s="175">
        <f>SUMIF(III!A:A,$A$1,III!I:I)</f>
        <v>38020.925799999997</v>
      </c>
      <c r="E6" s="458">
        <f>SUM(B6:D6)</f>
        <v>309535.65240000002</v>
      </c>
      <c r="F6" s="175">
        <f>SUMIF(IV!A:A,$A$1,IV!I:I)</f>
        <v>0</v>
      </c>
      <c r="G6" s="175">
        <f>SUMIF(V!A:A,$A$1,V!I:I)</f>
        <v>0</v>
      </c>
      <c r="H6" s="175">
        <f>SUMIF(VI!A:A,$A$1,VI!I:I)</f>
        <v>0</v>
      </c>
      <c r="I6" s="458">
        <f>SUM(F6:H6)</f>
        <v>0</v>
      </c>
      <c r="J6" s="175">
        <f>SUMIF(VII!A:A,$A$1,VII!I:I)</f>
        <v>0</v>
      </c>
      <c r="K6" s="175">
        <f>SUMIF(VIII!A:A,$A$1,VIII!I:I)</f>
        <v>0</v>
      </c>
      <c r="L6" s="175">
        <f>SUMIF(IX!A:A,$A$1,IX!I:I)</f>
        <v>0</v>
      </c>
      <c r="M6" s="461">
        <f>SUM(J6:L6)</f>
        <v>0</v>
      </c>
      <c r="N6" s="175">
        <f>SUMIF(X!A:A,$A$1,X!I:I)</f>
        <v>0</v>
      </c>
      <c r="O6" s="175">
        <f>SUMIF(XI!A:A,$A$1,XI!I:I)</f>
        <v>0</v>
      </c>
      <c r="P6" s="175">
        <f>SUMIF(XII!A:A,$A$1,XII!I:I)</f>
        <v>0</v>
      </c>
      <c r="Q6" s="458">
        <f>SUM(N6:P6)</f>
        <v>0</v>
      </c>
      <c r="R6" s="84">
        <f>E6+I6+M6+Q6</f>
        <v>309535.65240000002</v>
      </c>
      <c r="S6" s="11"/>
    </row>
    <row r="7" spans="1:19" s="18" customFormat="1" ht="15" customHeight="1">
      <c r="A7" s="85" t="s">
        <v>199</v>
      </c>
      <c r="B7" s="429">
        <f>B6</f>
        <v>143440.1875</v>
      </c>
      <c r="C7" s="429">
        <f>C6+B7</f>
        <v>271514.72659999999</v>
      </c>
      <c r="D7" s="429">
        <f>D6+C7</f>
        <v>309535.65240000002</v>
      </c>
      <c r="E7" s="458"/>
      <c r="F7" s="429">
        <f>F6</f>
        <v>0</v>
      </c>
      <c r="G7" s="429">
        <f>G6+F7</f>
        <v>0</v>
      </c>
      <c r="H7" s="429">
        <f>H6+G7</f>
        <v>0</v>
      </c>
      <c r="I7" s="435"/>
      <c r="J7" s="429">
        <f>J6</f>
        <v>0</v>
      </c>
      <c r="K7" s="429">
        <f>K6+J7</f>
        <v>0</v>
      </c>
      <c r="L7" s="429">
        <f>L6+K7</f>
        <v>0</v>
      </c>
      <c r="M7" s="435"/>
      <c r="N7" s="429">
        <f>N6</f>
        <v>0</v>
      </c>
      <c r="O7" s="429">
        <f>O6+N7</f>
        <v>0</v>
      </c>
      <c r="P7" s="429">
        <f>P6+O7</f>
        <v>0</v>
      </c>
      <c r="Q7" s="458"/>
      <c r="R7" s="604">
        <f>R3-R4</f>
        <v>0</v>
      </c>
      <c r="S7" s="11"/>
    </row>
    <row r="8" spans="1:19" s="18" customFormat="1" ht="15" customHeight="1">
      <c r="A8" s="85" t="s">
        <v>200</v>
      </c>
      <c r="B8" s="73">
        <f t="shared" ref="B8:D9" si="0">B6/B4</f>
        <v>1.3899242974806201</v>
      </c>
      <c r="C8" s="73">
        <f t="shared" si="0"/>
        <v>1.1169291200581395</v>
      </c>
      <c r="D8" s="73">
        <f t="shared" si="0"/>
        <v>0.30143440116279063</v>
      </c>
      <c r="E8" s="459"/>
      <c r="F8" s="73">
        <f t="shared" ref="F8:H9" si="1">F6/F4</f>
        <v>0</v>
      </c>
      <c r="G8" s="73">
        <f t="shared" si="1"/>
        <v>0</v>
      </c>
      <c r="H8" s="73">
        <f t="shared" si="1"/>
        <v>0</v>
      </c>
      <c r="I8" s="155"/>
      <c r="J8" s="73">
        <f t="shared" ref="J8:L9" si="2">J6/J4</f>
        <v>0</v>
      </c>
      <c r="K8" s="73">
        <f t="shared" si="2"/>
        <v>0</v>
      </c>
      <c r="L8" s="73">
        <f t="shared" si="2"/>
        <v>0</v>
      </c>
      <c r="M8" s="155"/>
      <c r="N8" s="73">
        <f t="shared" ref="N8:P9" si="3">N6/N4</f>
        <v>0</v>
      </c>
      <c r="O8" s="73">
        <f t="shared" si="3"/>
        <v>0</v>
      </c>
      <c r="P8" s="73">
        <f t="shared" si="3"/>
        <v>0</v>
      </c>
      <c r="Q8" s="733" t="e">
        <f>R6/Q3-1</f>
        <v>#DIV/0!</v>
      </c>
      <c r="R8" s="609">
        <f>R7*100/R3</f>
        <v>0</v>
      </c>
      <c r="S8" s="11"/>
    </row>
    <row r="9" spans="1:19" s="19" customFormat="1" ht="15" customHeight="1">
      <c r="A9" s="85" t="s">
        <v>201</v>
      </c>
      <c r="B9" s="585">
        <f t="shared" si="0"/>
        <v>1.3899242974806201</v>
      </c>
      <c r="C9" s="585">
        <f t="shared" si="0"/>
        <v>1.2462426251529986</v>
      </c>
      <c r="D9" s="585">
        <f t="shared" si="0"/>
        <v>0.89981294302325587</v>
      </c>
      <c r="E9" s="586"/>
      <c r="F9" s="585">
        <f t="shared" si="1"/>
        <v>0</v>
      </c>
      <c r="G9" s="585">
        <f t="shared" si="1"/>
        <v>0</v>
      </c>
      <c r="H9" s="585">
        <f t="shared" si="1"/>
        <v>0</v>
      </c>
      <c r="I9" s="719"/>
      <c r="J9" s="585">
        <f t="shared" si="2"/>
        <v>0</v>
      </c>
      <c r="K9" s="585">
        <f t="shared" si="2"/>
        <v>0</v>
      </c>
      <c r="L9" s="585">
        <f t="shared" si="2"/>
        <v>0</v>
      </c>
      <c r="M9" s="719"/>
      <c r="N9" s="585">
        <f t="shared" si="3"/>
        <v>0</v>
      </c>
      <c r="O9" s="585">
        <f t="shared" si="3"/>
        <v>0</v>
      </c>
      <c r="P9" s="585">
        <f t="shared" si="3"/>
        <v>0</v>
      </c>
      <c r="Q9" s="732">
        <f>R6-Q3</f>
        <v>309535.65240000002</v>
      </c>
      <c r="R9" s="579"/>
      <c r="S9" s="13"/>
    </row>
    <row r="10" spans="1:19" s="36" customFormat="1" ht="15" customHeight="1">
      <c r="A10" s="85" t="s">
        <v>202</v>
      </c>
      <c r="B10" s="428">
        <f>B7-B5</f>
        <v>40240.1875</v>
      </c>
      <c r="C10" s="428">
        <f>C7-C5</f>
        <v>53648.059933333308</v>
      </c>
      <c r="D10" s="428">
        <f>D7-D5</f>
        <v>-34464.347599999979</v>
      </c>
      <c r="E10" s="458"/>
      <c r="F10" s="428">
        <f>F7-F5</f>
        <v>-113520.00000000003</v>
      </c>
      <c r="G10" s="428">
        <f>G7-G5</f>
        <v>-239653.33333333337</v>
      </c>
      <c r="H10" s="428">
        <f>H7-H5</f>
        <v>-378400.00000000012</v>
      </c>
      <c r="I10" s="458"/>
      <c r="J10" s="428">
        <f>J7-J5</f>
        <v>-111868.8</v>
      </c>
      <c r="K10" s="428">
        <f>K7-K5</f>
        <v>-236167.46666666667</v>
      </c>
      <c r="L10" s="428">
        <f>L7-L5</f>
        <v>-364496</v>
      </c>
      <c r="M10" s="461"/>
      <c r="N10" s="428">
        <f>N7-N5</f>
        <v>-115309.72900000001</v>
      </c>
      <c r="O10" s="428">
        <f>O7-O5</f>
        <v>-243120.53900000002</v>
      </c>
      <c r="P10" s="428">
        <f>P7-P5</f>
        <v>-383432.43000000005</v>
      </c>
      <c r="Q10" s="458"/>
      <c r="R10" s="86"/>
    </row>
    <row r="11" spans="1:19" s="19" customFormat="1" ht="15" customHeight="1">
      <c r="A11" s="87" t="s">
        <v>177</v>
      </c>
      <c r="B11" s="176">
        <f>SUMIF(I!A:A,$A$1,I!G:G)</f>
        <v>397215.96879999997</v>
      </c>
      <c r="C11" s="175">
        <f>SUMIF(II!A:A,$A$1,II!G:G)</f>
        <v>370181.71879999997</v>
      </c>
      <c r="D11" s="175">
        <f>SUMIF(III!A:A,$A$1,III!G:G)</f>
        <v>106009.0313</v>
      </c>
      <c r="E11" s="458">
        <f>SUM(B11:D11)</f>
        <v>873406.71889999998</v>
      </c>
      <c r="F11" s="175">
        <f>SUMIF(IV!A:A,$A$1,IV!G:G)</f>
        <v>0</v>
      </c>
      <c r="G11" s="175">
        <f>SUMIF(V!A:A,$A$1,V!G:G)</f>
        <v>0</v>
      </c>
      <c r="H11" s="175">
        <f>SUMIF(VI!A:A,$A$1,VI!G:G)</f>
        <v>0</v>
      </c>
      <c r="I11" s="458">
        <f>SUM(F11:H11)</f>
        <v>0</v>
      </c>
      <c r="J11" s="175">
        <f>SUMIF(VII!A:A,$A$1,VII!G:G)</f>
        <v>0</v>
      </c>
      <c r="K11" s="175">
        <f>SUMIF(VIII!A:A,$A$1,VIII!G:G)</f>
        <v>0</v>
      </c>
      <c r="L11" s="175">
        <f>SUMIF(IX!A:A,$A$1,IX!G:G)</f>
        <v>0</v>
      </c>
      <c r="M11" s="461">
        <f>SUM(J11:L11)</f>
        <v>0</v>
      </c>
      <c r="N11" s="175">
        <f>SUMIF(X!A:A,$A$1,X!G:G)</f>
        <v>0</v>
      </c>
      <c r="O11" s="175">
        <f>SUMIF(XI!A:A,$A$1,XI!G:G)</f>
        <v>0</v>
      </c>
      <c r="P11" s="175">
        <f>SUMIF(XII!A:A,$A$1,XII!G:G)</f>
        <v>0</v>
      </c>
      <c r="Q11" s="458">
        <f>SUM(N11:P11)</f>
        <v>0</v>
      </c>
      <c r="R11" s="84">
        <f>E11+I11+M11+Q11</f>
        <v>873406.71889999998</v>
      </c>
      <c r="S11" s="13"/>
    </row>
    <row r="12" spans="1:19" customFormat="1">
      <c r="A12" s="85" t="s">
        <v>178</v>
      </c>
      <c r="B12" s="429">
        <f>B11</f>
        <v>397215.96879999997</v>
      </c>
      <c r="C12" s="429">
        <f>C11+B12</f>
        <v>767397.68759999995</v>
      </c>
      <c r="D12" s="429">
        <f>D11+C12</f>
        <v>873406.71889999998</v>
      </c>
      <c r="E12" s="435"/>
      <c r="F12" s="429">
        <f>F11</f>
        <v>0</v>
      </c>
      <c r="G12" s="429">
        <f>G11+F12</f>
        <v>0</v>
      </c>
      <c r="H12" s="429">
        <f>H11+G12</f>
        <v>0</v>
      </c>
      <c r="I12" s="435"/>
      <c r="J12" s="429">
        <f>J11</f>
        <v>0</v>
      </c>
      <c r="K12" s="429">
        <f>K11+J12</f>
        <v>0</v>
      </c>
      <c r="L12" s="429">
        <f>L11+K12</f>
        <v>0</v>
      </c>
      <c r="M12" s="154"/>
      <c r="N12" s="429">
        <f>N11</f>
        <v>0</v>
      </c>
      <c r="O12" s="429">
        <f>O11+N12</f>
        <v>0</v>
      </c>
      <c r="P12" s="429">
        <f>P11+O12</f>
        <v>0</v>
      </c>
      <c r="Q12" s="435"/>
      <c r="R12" s="86"/>
    </row>
    <row r="13" spans="1:19" s="18" customFormat="1" ht="15" customHeight="1">
      <c r="A13" s="92" t="s">
        <v>188</v>
      </c>
      <c r="B13" s="430">
        <f t="shared" ref="B13:D14" si="4">B6/B11</f>
        <v>0.36111384930806439</v>
      </c>
      <c r="C13" s="430">
        <f t="shared" si="4"/>
        <v>0.3459774823974911</v>
      </c>
      <c r="D13" s="430">
        <f t="shared" si="4"/>
        <v>0.35865742129463263</v>
      </c>
      <c r="E13" s="156"/>
      <c r="F13" s="430" t="e">
        <f t="shared" ref="F13:H14" si="5">F6/F11</f>
        <v>#DIV/0!</v>
      </c>
      <c r="G13" s="430" t="e">
        <f t="shared" si="5"/>
        <v>#DIV/0!</v>
      </c>
      <c r="H13" s="430" t="e">
        <f t="shared" si="5"/>
        <v>#DIV/0!</v>
      </c>
      <c r="I13" s="156"/>
      <c r="J13" s="430" t="e">
        <f t="shared" ref="J13:L14" si="6">J6/J11</f>
        <v>#DIV/0!</v>
      </c>
      <c r="K13" s="430" t="e">
        <f t="shared" si="6"/>
        <v>#DIV/0!</v>
      </c>
      <c r="L13" s="430" t="e">
        <f t="shared" si="6"/>
        <v>#DIV/0!</v>
      </c>
      <c r="M13" s="156"/>
      <c r="N13" s="430" t="e">
        <f t="shared" ref="N13:P14" si="7">N6/N11</f>
        <v>#DIV/0!</v>
      </c>
      <c r="O13" s="430" t="e">
        <f t="shared" si="7"/>
        <v>#DIV/0!</v>
      </c>
      <c r="P13" s="430" t="e">
        <f t="shared" si="7"/>
        <v>#DIV/0!</v>
      </c>
      <c r="Q13" s="156"/>
      <c r="R13" s="93"/>
      <c r="S13" s="11"/>
    </row>
    <row r="14" spans="1:19" s="19" customFormat="1" ht="15" customHeight="1">
      <c r="A14" s="92" t="s">
        <v>189</v>
      </c>
      <c r="B14" s="430">
        <f t="shared" si="4"/>
        <v>0.36111384930806439</v>
      </c>
      <c r="C14" s="430">
        <f t="shared" si="4"/>
        <v>0.35381228141193583</v>
      </c>
      <c r="D14" s="430">
        <f t="shared" si="4"/>
        <v>0.3544003563309433</v>
      </c>
      <c r="E14" s="156"/>
      <c r="F14" s="430" t="e">
        <f t="shared" si="5"/>
        <v>#DIV/0!</v>
      </c>
      <c r="G14" s="430" t="e">
        <f t="shared" si="5"/>
        <v>#DIV/0!</v>
      </c>
      <c r="H14" s="430" t="e">
        <f t="shared" si="5"/>
        <v>#DIV/0!</v>
      </c>
      <c r="I14" s="156"/>
      <c r="J14" s="430" t="e">
        <f t="shared" si="6"/>
        <v>#DIV/0!</v>
      </c>
      <c r="K14" s="430" t="e">
        <f t="shared" si="6"/>
        <v>#DIV/0!</v>
      </c>
      <c r="L14" s="430" t="e">
        <f t="shared" si="6"/>
        <v>#DIV/0!</v>
      </c>
      <c r="M14" s="156"/>
      <c r="N14" s="430" t="e">
        <f t="shared" si="7"/>
        <v>#DIV/0!</v>
      </c>
      <c r="O14" s="430" t="e">
        <f t="shared" si="7"/>
        <v>#DIV/0!</v>
      </c>
      <c r="P14" s="430" t="e">
        <f t="shared" si="7"/>
        <v>#DIV/0!</v>
      </c>
      <c r="Q14" s="156"/>
      <c r="R14" s="93"/>
      <c r="S14" s="13"/>
    </row>
    <row r="15" spans="1:19" s="52" customFormat="1" ht="15" customHeight="1">
      <c r="A15" s="95"/>
      <c r="B15" s="76"/>
      <c r="C15" s="76"/>
      <c r="D15" s="76"/>
      <c r="E15" s="157"/>
      <c r="F15" s="76"/>
      <c r="G15" s="76"/>
      <c r="H15" s="76"/>
      <c r="I15" s="157"/>
      <c r="J15" s="76"/>
      <c r="K15" s="76"/>
      <c r="L15" s="76"/>
      <c r="M15" s="157"/>
      <c r="N15" s="76"/>
      <c r="O15" s="76"/>
      <c r="P15" s="76"/>
      <c r="Q15" s="157"/>
      <c r="R15" s="94"/>
      <c r="S15" s="51"/>
    </row>
    <row r="16" spans="1:19" s="18" customFormat="1" ht="15" customHeight="1">
      <c r="A16" s="142" t="s">
        <v>26</v>
      </c>
      <c r="B16" s="433" t="s">
        <v>26</v>
      </c>
      <c r="C16" s="434"/>
      <c r="D16" s="434"/>
      <c r="E16" s="434"/>
      <c r="F16" s="434"/>
      <c r="G16" s="434"/>
      <c r="H16" s="434"/>
      <c r="I16" s="434"/>
      <c r="J16" s="434"/>
      <c r="K16" s="434"/>
      <c r="L16" s="434"/>
      <c r="M16" s="148"/>
      <c r="N16" s="434"/>
      <c r="O16" s="434"/>
      <c r="P16" s="434"/>
      <c r="Q16" s="434"/>
      <c r="R16" s="174"/>
      <c r="S16" s="11"/>
    </row>
    <row r="17" spans="1:19" s="18" customFormat="1" ht="15" customHeight="1">
      <c r="A17" s="736" t="s">
        <v>74</v>
      </c>
      <c r="B17" s="751">
        <f>Target!P34</f>
        <v>7500</v>
      </c>
      <c r="C17" s="751">
        <f>Target!P34</f>
        <v>7500</v>
      </c>
      <c r="D17" s="751">
        <f>Target!P34</f>
        <v>7500</v>
      </c>
      <c r="E17" s="752"/>
      <c r="F17" s="756">
        <f>Target!P43</f>
        <v>7500</v>
      </c>
      <c r="G17" s="756">
        <f>Target!P43</f>
        <v>7500</v>
      </c>
      <c r="H17" s="756">
        <f>Target!P43</f>
        <v>7500</v>
      </c>
      <c r="I17" s="752"/>
      <c r="J17" s="756">
        <f>Target!P53</f>
        <v>7500</v>
      </c>
      <c r="K17" s="756">
        <f>Target!P53</f>
        <v>7500</v>
      </c>
      <c r="L17" s="756">
        <f>Target!P53</f>
        <v>7500</v>
      </c>
      <c r="M17" s="752"/>
      <c r="N17" s="756">
        <f>Target!P62</f>
        <v>7500</v>
      </c>
      <c r="O17" s="756">
        <f>Target!P62</f>
        <v>7500</v>
      </c>
      <c r="P17" s="756">
        <f>Target!P62</f>
        <v>7500</v>
      </c>
      <c r="Q17" s="159"/>
      <c r="R17" s="98"/>
      <c r="S17" s="11"/>
    </row>
    <row r="18" spans="1:19" s="18" customFormat="1" ht="15" customHeight="1">
      <c r="A18" s="736" t="s">
        <v>241</v>
      </c>
      <c r="B18" s="751">
        <f>B17*15%</f>
        <v>1125</v>
      </c>
      <c r="C18" s="751">
        <f t="shared" ref="C18:D18" si="8">C17*15%</f>
        <v>1125</v>
      </c>
      <c r="D18" s="751">
        <f t="shared" si="8"/>
        <v>1125</v>
      </c>
      <c r="E18" s="752"/>
      <c r="F18" s="751">
        <f>F17*15%</f>
        <v>1125</v>
      </c>
      <c r="G18" s="751">
        <f t="shared" ref="G18:H18" si="9">G17*15%</f>
        <v>1125</v>
      </c>
      <c r="H18" s="751">
        <f t="shared" si="9"/>
        <v>1125</v>
      </c>
      <c r="I18" s="752"/>
      <c r="J18" s="751">
        <f>J17*15%</f>
        <v>1125</v>
      </c>
      <c r="K18" s="751">
        <f t="shared" ref="K18:L18" si="10">K17*15%</f>
        <v>1125</v>
      </c>
      <c r="L18" s="751">
        <f t="shared" si="10"/>
        <v>1125</v>
      </c>
      <c r="M18" s="752"/>
      <c r="N18" s="751">
        <f>N17*15%</f>
        <v>1125</v>
      </c>
      <c r="O18" s="751">
        <f t="shared" ref="O18:P18" si="11">O17*15%</f>
        <v>1125</v>
      </c>
      <c r="P18" s="751">
        <f t="shared" si="11"/>
        <v>1125</v>
      </c>
      <c r="Q18" s="159"/>
      <c r="R18" s="98"/>
      <c r="S18" s="11"/>
    </row>
    <row r="19" spans="1:19" s="14" customFormat="1" ht="15" customHeight="1">
      <c r="A19" s="54" t="s">
        <v>203</v>
      </c>
      <c r="B19" s="97">
        <f>Target!O34</f>
        <v>7000</v>
      </c>
      <c r="C19" s="97">
        <f>Target!O34</f>
        <v>7000</v>
      </c>
      <c r="D19" s="97">
        <f>Target!O34</f>
        <v>7000</v>
      </c>
      <c r="E19" s="159"/>
      <c r="F19" s="97">
        <f>Target!O40</f>
        <v>10266.666666666666</v>
      </c>
      <c r="G19" s="97">
        <f>Target!O40</f>
        <v>10266.666666666666</v>
      </c>
      <c r="H19" s="97">
        <f>Target!O40</f>
        <v>10266.666666666666</v>
      </c>
      <c r="I19" s="159"/>
      <c r="J19" s="97">
        <f>Target!O50</f>
        <v>7000</v>
      </c>
      <c r="K19" s="97">
        <f>Target!O50</f>
        <v>7000</v>
      </c>
      <c r="L19" s="97">
        <f>Target!O50</f>
        <v>7000</v>
      </c>
      <c r="M19" s="159"/>
      <c r="N19" s="97">
        <f>Target!O59</f>
        <v>7000</v>
      </c>
      <c r="O19" s="97">
        <f>Target!O59</f>
        <v>7000</v>
      </c>
      <c r="P19" s="97">
        <f>Target!O59</f>
        <v>7000</v>
      </c>
      <c r="Q19" s="681"/>
      <c r="R19" s="98"/>
      <c r="S19" s="18"/>
    </row>
    <row r="20" spans="1:19" s="14" customFormat="1" ht="15" customHeight="1">
      <c r="A20" s="680" t="s">
        <v>208</v>
      </c>
      <c r="B20" s="707">
        <f>Target!J34</f>
        <v>0.40952380952380951</v>
      </c>
      <c r="C20" s="707">
        <f>Target!J34</f>
        <v>0.40952380952380951</v>
      </c>
      <c r="D20" s="707">
        <f>Target!J34</f>
        <v>0.40952380952380951</v>
      </c>
      <c r="E20" s="681"/>
      <c r="F20" s="707">
        <f>Target!J43</f>
        <v>0.40903597657339413</v>
      </c>
      <c r="G20" s="707">
        <f>Target!J43</f>
        <v>0.40903597657339413</v>
      </c>
      <c r="H20" s="707">
        <f>Target!J43</f>
        <v>0.40903597657339413</v>
      </c>
      <c r="I20" s="681"/>
      <c r="J20" s="707">
        <f>Target!J53</f>
        <v>0.40226235899361057</v>
      </c>
      <c r="K20" s="707">
        <f>Target!J53</f>
        <v>0.40226235899361057</v>
      </c>
      <c r="L20" s="707">
        <f>Target!J53</f>
        <v>0.40226235899361057</v>
      </c>
      <c r="M20" s="681"/>
      <c r="N20" s="707">
        <f>Target!J62</f>
        <v>0.40500000000000003</v>
      </c>
      <c r="O20" s="707">
        <f>Target!J62</f>
        <v>0.40500000000000003</v>
      </c>
      <c r="P20" s="707">
        <f>Target!J62</f>
        <v>0.40500000000000003</v>
      </c>
      <c r="Q20" s="681"/>
      <c r="R20" s="98"/>
      <c r="S20" s="18"/>
    </row>
    <row r="21" spans="1:19" s="14" customFormat="1" ht="15" customHeight="1">
      <c r="A21" s="694" t="s">
        <v>204</v>
      </c>
      <c r="B21" s="698">
        <f>Target!N34</f>
        <v>11466</v>
      </c>
      <c r="C21" s="698">
        <f>Target!N34</f>
        <v>11466</v>
      </c>
      <c r="D21" s="698">
        <f>Target!N34</f>
        <v>11466</v>
      </c>
      <c r="E21" s="458"/>
      <c r="F21" s="698">
        <f>Target!N43</f>
        <v>12597.199999999999</v>
      </c>
      <c r="G21" s="698">
        <f>Target!N43</f>
        <v>12597.199999999999</v>
      </c>
      <c r="H21" s="698">
        <f>Target!N43</f>
        <v>12597.199999999999</v>
      </c>
      <c r="I21" s="458"/>
      <c r="J21" s="698">
        <f>Target!N53</f>
        <v>11264.4</v>
      </c>
      <c r="K21" s="698">
        <f>Target!N53</f>
        <v>11264.4</v>
      </c>
      <c r="L21" s="698">
        <f>Target!N53</f>
        <v>11264.4</v>
      </c>
      <c r="M21" s="458"/>
      <c r="N21" s="698">
        <f>Target!N62</f>
        <v>11340</v>
      </c>
      <c r="O21" s="698">
        <f>Target!N62</f>
        <v>11340</v>
      </c>
      <c r="P21" s="698">
        <f>Target!N62</f>
        <v>11340</v>
      </c>
      <c r="Q21" s="692"/>
      <c r="R21" s="98"/>
      <c r="S21" s="18"/>
    </row>
    <row r="22" spans="1:19" s="18" customFormat="1" ht="15" customHeight="1">
      <c r="A22" s="17" t="s">
        <v>209</v>
      </c>
      <c r="B22" s="57">
        <f>B5</f>
        <v>103200</v>
      </c>
      <c r="C22" s="57">
        <f>C5</f>
        <v>217866.66666666669</v>
      </c>
      <c r="D22" s="57">
        <f>D5</f>
        <v>344000</v>
      </c>
      <c r="E22" s="160"/>
      <c r="F22" s="57">
        <f>F5</f>
        <v>113520.00000000003</v>
      </c>
      <c r="G22" s="57">
        <f>G5</f>
        <v>239653.33333333337</v>
      </c>
      <c r="H22" s="57">
        <f>H5</f>
        <v>378400.00000000012</v>
      </c>
      <c r="I22" s="160"/>
      <c r="J22" s="57">
        <f>J5</f>
        <v>111868.8</v>
      </c>
      <c r="K22" s="57">
        <f>K5</f>
        <v>236167.46666666667</v>
      </c>
      <c r="L22" s="57">
        <f>L5</f>
        <v>364496</v>
      </c>
      <c r="M22" s="160"/>
      <c r="N22" s="57">
        <f>N5</f>
        <v>115309.72900000001</v>
      </c>
      <c r="O22" s="57">
        <f>O5</f>
        <v>243120.53900000002</v>
      </c>
      <c r="P22" s="57">
        <f>P5</f>
        <v>383432.43000000005</v>
      </c>
      <c r="Q22" s="160"/>
      <c r="R22" s="100"/>
      <c r="S22" s="11"/>
    </row>
    <row r="23" spans="1:19" s="35" customFormat="1" ht="15" customHeight="1">
      <c r="A23" s="699" t="s">
        <v>37</v>
      </c>
      <c r="B23" s="702">
        <f>B7</f>
        <v>143440.1875</v>
      </c>
      <c r="C23" s="702">
        <f>C7</f>
        <v>271514.72659999999</v>
      </c>
      <c r="D23" s="702">
        <f>D7</f>
        <v>309535.65240000002</v>
      </c>
      <c r="E23" s="703"/>
      <c r="F23" s="702">
        <f>F7</f>
        <v>0</v>
      </c>
      <c r="G23" s="702">
        <f>G7</f>
        <v>0</v>
      </c>
      <c r="H23" s="702">
        <f>H7</f>
        <v>0</v>
      </c>
      <c r="I23" s="703"/>
      <c r="J23" s="702">
        <f>J7</f>
        <v>0</v>
      </c>
      <c r="K23" s="702">
        <f>K7</f>
        <v>0</v>
      </c>
      <c r="L23" s="702">
        <f>L7</f>
        <v>0</v>
      </c>
      <c r="M23" s="703"/>
      <c r="N23" s="702">
        <f>N7</f>
        <v>0</v>
      </c>
      <c r="O23" s="702">
        <f>O7</f>
        <v>0</v>
      </c>
      <c r="P23" s="702">
        <f>P7</f>
        <v>0</v>
      </c>
      <c r="Q23" s="703"/>
      <c r="R23" s="105"/>
      <c r="S23" s="15"/>
    </row>
    <row r="24" spans="1:19" s="18" customFormat="1" ht="15" customHeight="1">
      <c r="A24" s="17" t="s">
        <v>201</v>
      </c>
      <c r="B24" s="695">
        <f>B23/B22</f>
        <v>1.3899242974806201</v>
      </c>
      <c r="C24" s="695">
        <f>C23/C22</f>
        <v>1.2462426251529986</v>
      </c>
      <c r="D24" s="695">
        <f>D23/D22</f>
        <v>0.89981294302325587</v>
      </c>
      <c r="E24" s="696"/>
      <c r="F24" s="695">
        <f>F23/F22</f>
        <v>0</v>
      </c>
      <c r="G24" s="695">
        <f>G23/G22</f>
        <v>0</v>
      </c>
      <c r="H24" s="695">
        <f>H23/H22</f>
        <v>0</v>
      </c>
      <c r="I24" s="696"/>
      <c r="J24" s="695">
        <f>J23/J22</f>
        <v>0</v>
      </c>
      <c r="K24" s="695">
        <f>K23/K22</f>
        <v>0</v>
      </c>
      <c r="L24" s="695">
        <f>L23/L22</f>
        <v>0</v>
      </c>
      <c r="M24" s="696"/>
      <c r="N24" s="695">
        <f>N23/N22</f>
        <v>0</v>
      </c>
      <c r="O24" s="695">
        <f>O23/O22</f>
        <v>0</v>
      </c>
      <c r="P24" s="695">
        <f>P23/P22</f>
        <v>0</v>
      </c>
      <c r="Q24" s="696"/>
      <c r="R24" s="105"/>
      <c r="S24" s="11"/>
    </row>
    <row r="25" spans="1:19" s="18" customFormat="1" ht="15" customHeight="1">
      <c r="A25" s="697" t="s">
        <v>60</v>
      </c>
      <c r="B25" s="698">
        <f>B21*0.35</f>
        <v>4013.1</v>
      </c>
      <c r="C25" s="698">
        <f>C21*0.35</f>
        <v>4013.1</v>
      </c>
      <c r="D25" s="698">
        <f>D21*0.35</f>
        <v>4013.1</v>
      </c>
      <c r="E25" s="458"/>
      <c r="F25" s="698">
        <f>F21*0.35</f>
        <v>4409.0199999999995</v>
      </c>
      <c r="G25" s="698">
        <f>G21*0.35</f>
        <v>4409.0199999999995</v>
      </c>
      <c r="H25" s="698">
        <f>H21*0.35</f>
        <v>4409.0199999999995</v>
      </c>
      <c r="I25" s="458"/>
      <c r="J25" s="698">
        <f>J21*0.35</f>
        <v>3942.5399999999995</v>
      </c>
      <c r="K25" s="698">
        <f>K21*0.35</f>
        <v>3942.5399999999995</v>
      </c>
      <c r="L25" s="698">
        <f>L21*0.35</f>
        <v>3942.5399999999995</v>
      </c>
      <c r="M25" s="458"/>
      <c r="N25" s="698">
        <f>N21*0.35</f>
        <v>3968.9999999999995</v>
      </c>
      <c r="O25" s="698">
        <f>O21*0.35</f>
        <v>3968.9999999999995</v>
      </c>
      <c r="P25" s="698">
        <f>P21*0.35</f>
        <v>3968.9999999999995</v>
      </c>
      <c r="Q25" s="458"/>
      <c r="R25" s="693"/>
      <c r="S25" s="11"/>
    </row>
    <row r="26" spans="1:19" s="18" customFormat="1" ht="15" customHeight="1">
      <c r="A26" s="17" t="s">
        <v>53</v>
      </c>
      <c r="B26" s="57">
        <f>IF(B24&lt;80%,0,IF(B24&lt;90%,0.5,IF(B24&lt;95%,0.75,1)))</f>
        <v>1</v>
      </c>
      <c r="C26" s="57">
        <f>IF(C24&lt;80%,0,IF(C24&lt;90%,0.5,IF(C24&lt;95%,0.75,1)))</f>
        <v>1</v>
      </c>
      <c r="D26" s="57">
        <f>IF(D24&lt;80%,0,IF(D24&lt;90%,0.5,IF(D24&lt;95%,0.75,1)))</f>
        <v>0.5</v>
      </c>
      <c r="E26" s="160"/>
      <c r="F26" s="57">
        <f>IF(F24&lt;80%,0,IF(F24&lt;90%,0.5,IF(F24&lt;95%,0.75,1)))</f>
        <v>0</v>
      </c>
      <c r="G26" s="57">
        <f>IF(G24&lt;80%,0,IF(G24&lt;90%,0.5,IF(G24&lt;95%,0.75,1)))</f>
        <v>0</v>
      </c>
      <c r="H26" s="57">
        <f>IF(H24&lt;80%,0,IF(H24&lt;90%,0.5,IF(H24&lt;95%,0.75,1)))</f>
        <v>0</v>
      </c>
      <c r="I26" s="160"/>
      <c r="J26" s="57">
        <f>IF(J24&lt;80%,0,IF(J24&lt;90%,0.5,IF(J24&lt;95%,0.75,1)))</f>
        <v>0</v>
      </c>
      <c r="K26" s="57">
        <f>IF(K24&lt;80%,0,IF(K24&lt;90%,0.5,IF(K24&lt;95%,0.75,1)))</f>
        <v>0</v>
      </c>
      <c r="L26" s="57">
        <f>IF(L24&lt;80%,0,IF(L24&lt;90%,0.5,IF(L24&lt;95%,0.75,1)))</f>
        <v>0</v>
      </c>
      <c r="M26" s="160"/>
      <c r="N26" s="57">
        <f>IF(N24&lt;80%,0,IF(N24&lt;90%,0.5,IF(N24&lt;95%,0.75,1)))</f>
        <v>0</v>
      </c>
      <c r="O26" s="57">
        <f>IF(O24&lt;80%,0,IF(O24&lt;90%,0.5,IF(O24&lt;95%,0.75,1)))</f>
        <v>0</v>
      </c>
      <c r="P26" s="57">
        <f>IF(P24&lt;80%,0,IF(P24&lt;90%,0.5,IF(P24&lt;95%,0.75,1)))</f>
        <v>0</v>
      </c>
      <c r="Q26" s="160"/>
      <c r="R26" s="105"/>
      <c r="S26" s="11"/>
    </row>
    <row r="27" spans="1:19" s="18" customFormat="1" ht="15" customHeight="1">
      <c r="A27" s="43" t="s">
        <v>54</v>
      </c>
      <c r="B27" s="58">
        <f>B26*B25</f>
        <v>4013.1</v>
      </c>
      <c r="C27" s="58">
        <f>C26*C25</f>
        <v>4013.1</v>
      </c>
      <c r="D27" s="58">
        <f>D26*D25</f>
        <v>2006.55</v>
      </c>
      <c r="E27" s="164"/>
      <c r="F27" s="58">
        <f>F26*F25</f>
        <v>0</v>
      </c>
      <c r="G27" s="58">
        <f>G26*G25</f>
        <v>0</v>
      </c>
      <c r="H27" s="58">
        <f>H26*H25</f>
        <v>0</v>
      </c>
      <c r="I27" s="164"/>
      <c r="J27" s="58">
        <f>J26*J25</f>
        <v>0</v>
      </c>
      <c r="K27" s="58">
        <f>K26*K25</f>
        <v>0</v>
      </c>
      <c r="L27" s="58">
        <f>L26*L25</f>
        <v>0</v>
      </c>
      <c r="M27" s="164"/>
      <c r="N27" s="58">
        <f>N26*N25</f>
        <v>0</v>
      </c>
      <c r="O27" s="58">
        <f>O26*O25</f>
        <v>0</v>
      </c>
      <c r="P27" s="58">
        <f>P26*P25</f>
        <v>0</v>
      </c>
      <c r="Q27" s="164"/>
      <c r="R27" s="104"/>
      <c r="S27" s="11"/>
    </row>
    <row r="28" spans="1:19" s="35" customFormat="1" ht="15" customHeight="1">
      <c r="A28" s="697" t="s">
        <v>59</v>
      </c>
      <c r="B28" s="698">
        <f>B19*0.05</f>
        <v>350</v>
      </c>
      <c r="C28" s="698">
        <f>C19*0.05</f>
        <v>350</v>
      </c>
      <c r="D28" s="698">
        <f>D19*0.05</f>
        <v>350</v>
      </c>
      <c r="E28" s="458"/>
      <c r="F28" s="698">
        <f>F19*0.05</f>
        <v>513.33333333333337</v>
      </c>
      <c r="G28" s="698">
        <f>G19*0.05</f>
        <v>513.33333333333337</v>
      </c>
      <c r="H28" s="698">
        <f>H19*0.05</f>
        <v>513.33333333333337</v>
      </c>
      <c r="I28" s="458"/>
      <c r="J28" s="698">
        <f>J19*0.05</f>
        <v>350</v>
      </c>
      <c r="K28" s="698">
        <f>K19*0.05</f>
        <v>350</v>
      </c>
      <c r="L28" s="698">
        <f>L19*0.05</f>
        <v>350</v>
      </c>
      <c r="M28" s="458"/>
      <c r="N28" s="698">
        <f>N19*0.05</f>
        <v>350</v>
      </c>
      <c r="O28" s="698">
        <f>O19*0.05</f>
        <v>350</v>
      </c>
      <c r="P28" s="698">
        <f>P19*0.05</f>
        <v>350</v>
      </c>
      <c r="Q28" s="458"/>
      <c r="R28" s="693"/>
      <c r="S28" s="15"/>
    </row>
    <row r="29" spans="1:19" s="35" customFormat="1" ht="15" customHeight="1">
      <c r="A29" s="17" t="s">
        <v>62</v>
      </c>
      <c r="B29" s="57">
        <v>1</v>
      </c>
      <c r="C29" s="57">
        <v>1</v>
      </c>
      <c r="D29" s="57">
        <v>1</v>
      </c>
      <c r="E29" s="160"/>
      <c r="F29" s="57"/>
      <c r="G29" s="57"/>
      <c r="H29" s="57"/>
      <c r="I29" s="160"/>
      <c r="J29" s="57"/>
      <c r="K29" s="57"/>
      <c r="L29" s="57"/>
      <c r="M29" s="160"/>
      <c r="N29" s="57"/>
      <c r="O29" s="57"/>
      <c r="P29" s="57"/>
      <c r="Q29" s="160"/>
      <c r="R29" s="105"/>
      <c r="S29" s="15"/>
    </row>
    <row r="30" spans="1:19" s="19" customFormat="1" ht="15" customHeight="1">
      <c r="A30" s="48" t="s">
        <v>63</v>
      </c>
      <c r="B30" s="58">
        <f>B29*B28</f>
        <v>350</v>
      </c>
      <c r="C30" s="58">
        <f>C29*C28</f>
        <v>350</v>
      </c>
      <c r="D30" s="58">
        <f>D29*D28</f>
        <v>350</v>
      </c>
      <c r="E30" s="164"/>
      <c r="F30" s="58">
        <f>F29*F28</f>
        <v>0</v>
      </c>
      <c r="G30" s="58">
        <f>G29*G28</f>
        <v>0</v>
      </c>
      <c r="H30" s="58">
        <f>H29*H28</f>
        <v>0</v>
      </c>
      <c r="I30" s="164"/>
      <c r="J30" s="58">
        <f>J29*J28</f>
        <v>0</v>
      </c>
      <c r="K30" s="58">
        <f>K29*K28</f>
        <v>0</v>
      </c>
      <c r="L30" s="58">
        <f>L29*L28</f>
        <v>0</v>
      </c>
      <c r="M30" s="164"/>
      <c r="N30" s="58">
        <f>N29*N28</f>
        <v>0</v>
      </c>
      <c r="O30" s="58">
        <f>O29*O28</f>
        <v>0</v>
      </c>
      <c r="P30" s="58">
        <f>P29*P28</f>
        <v>0</v>
      </c>
      <c r="Q30" s="164"/>
      <c r="R30" s="107"/>
      <c r="S30" s="13"/>
    </row>
    <row r="31" spans="1:19" s="19" customFormat="1" ht="15" customHeight="1">
      <c r="A31" s="753" t="s">
        <v>242</v>
      </c>
      <c r="B31" s="754">
        <f>B27+B30</f>
        <v>4363.1000000000004</v>
      </c>
      <c r="C31" s="754">
        <f t="shared" ref="C31:D31" si="12">C27+C30</f>
        <v>4363.1000000000004</v>
      </c>
      <c r="D31" s="754">
        <f t="shared" si="12"/>
        <v>2356.5500000000002</v>
      </c>
      <c r="E31" s="755"/>
      <c r="F31" s="754">
        <f>F27+F30</f>
        <v>0</v>
      </c>
      <c r="G31" s="754">
        <f t="shared" ref="G31:H31" si="13">G27+G30</f>
        <v>0</v>
      </c>
      <c r="H31" s="754">
        <f t="shared" si="13"/>
        <v>0</v>
      </c>
      <c r="I31" s="755"/>
      <c r="J31" s="754">
        <f>J27+J30</f>
        <v>0</v>
      </c>
      <c r="K31" s="754">
        <f t="shared" ref="K31:L31" si="14">K27+K30</f>
        <v>0</v>
      </c>
      <c r="L31" s="754">
        <f t="shared" si="14"/>
        <v>0</v>
      </c>
      <c r="M31" s="755"/>
      <c r="N31" s="754">
        <f>N27+N30</f>
        <v>0</v>
      </c>
      <c r="O31" s="754">
        <f t="shared" ref="O31:P31" si="15">O27+O30</f>
        <v>0</v>
      </c>
      <c r="P31" s="754">
        <f t="shared" si="15"/>
        <v>0</v>
      </c>
      <c r="Q31" s="166"/>
      <c r="R31" s="107"/>
      <c r="S31" s="13"/>
    </row>
    <row r="32" spans="1:19" s="19" customFormat="1" ht="15" customHeight="1">
      <c r="A32" s="694" t="s">
        <v>222</v>
      </c>
      <c r="B32" s="698">
        <v>2266</v>
      </c>
      <c r="C32" s="698">
        <v>2266</v>
      </c>
      <c r="D32" s="698">
        <v>2266</v>
      </c>
      <c r="E32" s="164"/>
      <c r="F32" s="698">
        <v>2266</v>
      </c>
      <c r="G32" s="698">
        <v>2266</v>
      </c>
      <c r="H32" s="698">
        <v>2266</v>
      </c>
      <c r="I32" s="164"/>
      <c r="J32" s="698">
        <v>2266</v>
      </c>
      <c r="K32" s="698">
        <v>2266</v>
      </c>
      <c r="L32" s="698">
        <v>2266</v>
      </c>
      <c r="M32" s="164"/>
      <c r="N32" s="698">
        <v>2266</v>
      </c>
      <c r="O32" s="698">
        <v>2266</v>
      </c>
      <c r="P32" s="698">
        <v>2266</v>
      </c>
      <c r="Q32" s="164"/>
      <c r="R32" s="107"/>
      <c r="S32" s="13"/>
    </row>
    <row r="33" spans="1:19" s="19" customFormat="1" ht="15" customHeight="1">
      <c r="A33" s="99" t="s">
        <v>223</v>
      </c>
      <c r="B33" s="57">
        <v>1</v>
      </c>
      <c r="C33" s="57">
        <v>1</v>
      </c>
      <c r="D33" s="57">
        <v>1</v>
      </c>
      <c r="E33" s="164"/>
      <c r="F33" s="57"/>
      <c r="G33" s="57"/>
      <c r="H33" s="57"/>
      <c r="I33" s="164"/>
      <c r="J33" s="57"/>
      <c r="K33" s="57"/>
      <c r="L33" s="57"/>
      <c r="M33" s="164"/>
      <c r="N33" s="57"/>
      <c r="O33" s="57"/>
      <c r="P33" s="57"/>
      <c r="Q33" s="164"/>
      <c r="R33" s="107"/>
      <c r="S33" s="13"/>
    </row>
    <row r="34" spans="1:19" s="35" customFormat="1" ht="15" customHeight="1" thickBot="1">
      <c r="A34" s="736" t="s">
        <v>214</v>
      </c>
      <c r="B34" s="58">
        <f>B33*B32</f>
        <v>2266</v>
      </c>
      <c r="C34" s="58">
        <f>C33*C32</f>
        <v>2266</v>
      </c>
      <c r="D34" s="58">
        <f>D33*D32</f>
        <v>2266</v>
      </c>
      <c r="E34" s="164"/>
      <c r="F34" s="58">
        <f>F33*F32</f>
        <v>0</v>
      </c>
      <c r="G34" s="58">
        <f>G33*G32</f>
        <v>0</v>
      </c>
      <c r="H34" s="58">
        <f>H33*H32</f>
        <v>0</v>
      </c>
      <c r="I34" s="164"/>
      <c r="J34" s="58">
        <f>J33*J32</f>
        <v>0</v>
      </c>
      <c r="K34" s="58">
        <f>K33*K32</f>
        <v>0</v>
      </c>
      <c r="L34" s="58">
        <f>L33*L32</f>
        <v>0</v>
      </c>
      <c r="M34" s="164"/>
      <c r="N34" s="58">
        <f>N33*N32</f>
        <v>0</v>
      </c>
      <c r="O34" s="58">
        <f>O33*O32</f>
        <v>0</v>
      </c>
      <c r="P34" s="58">
        <f>P33*P32</f>
        <v>0</v>
      </c>
      <c r="Q34" s="164"/>
      <c r="R34" s="108"/>
      <c r="S34" s="15"/>
    </row>
    <row r="35" spans="1:19" s="35" customFormat="1" ht="15" customHeight="1" thickBot="1">
      <c r="A35" s="766" t="s">
        <v>243</v>
      </c>
      <c r="B35" s="767">
        <f>B18+B27+B30+B34</f>
        <v>7754.1</v>
      </c>
      <c r="C35" s="767">
        <f t="shared" ref="C35:D35" si="16">C18+C27+C30+C34</f>
        <v>7754.1</v>
      </c>
      <c r="D35" s="767">
        <f t="shared" si="16"/>
        <v>5747.55</v>
      </c>
      <c r="E35" s="768"/>
      <c r="F35" s="767">
        <f t="shared" ref="F35:H35" si="17">F18+F27+F30+F34</f>
        <v>1125</v>
      </c>
      <c r="G35" s="767">
        <f t="shared" si="17"/>
        <v>1125</v>
      </c>
      <c r="H35" s="767">
        <f t="shared" si="17"/>
        <v>1125</v>
      </c>
      <c r="I35" s="768"/>
      <c r="J35" s="767">
        <f t="shared" ref="J35:L35" si="18">J18+J27+J30+J34</f>
        <v>1125</v>
      </c>
      <c r="K35" s="767">
        <f t="shared" si="18"/>
        <v>1125</v>
      </c>
      <c r="L35" s="767">
        <f t="shared" si="18"/>
        <v>1125</v>
      </c>
      <c r="M35" s="768"/>
      <c r="N35" s="767">
        <f t="shared" ref="N35:P35" si="19">N18+N27+N30+N34</f>
        <v>1125</v>
      </c>
      <c r="O35" s="767">
        <f t="shared" si="19"/>
        <v>1125</v>
      </c>
      <c r="P35" s="767">
        <f t="shared" si="19"/>
        <v>1125</v>
      </c>
      <c r="Q35" s="769"/>
      <c r="R35" s="108"/>
      <c r="S35" s="15"/>
    </row>
    <row r="36" spans="1:19" s="35" customFormat="1" ht="15" customHeight="1">
      <c r="A36" s="99" t="s">
        <v>115</v>
      </c>
      <c r="B36" s="774">
        <f>D5</f>
        <v>344000</v>
      </c>
      <c r="C36" s="775"/>
      <c r="D36" s="775"/>
      <c r="E36" s="776"/>
      <c r="F36" s="774">
        <f>H5</f>
        <v>378400.00000000012</v>
      </c>
      <c r="G36" s="775"/>
      <c r="H36" s="775"/>
      <c r="I36" s="776"/>
      <c r="J36" s="774">
        <f>L5</f>
        <v>364496</v>
      </c>
      <c r="K36" s="775"/>
      <c r="L36" s="775"/>
      <c r="M36" s="776"/>
      <c r="N36" s="774">
        <f>P5</f>
        <v>383432.43000000005</v>
      </c>
      <c r="O36" s="775"/>
      <c r="P36" s="775"/>
      <c r="Q36" s="776"/>
      <c r="R36" s="693"/>
      <c r="S36" s="15"/>
    </row>
    <row r="37" spans="1:19" s="35" customFormat="1" ht="15" customHeight="1">
      <c r="A37" s="99" t="s">
        <v>69</v>
      </c>
      <c r="B37" s="774">
        <f>D7</f>
        <v>309535.65240000002</v>
      </c>
      <c r="C37" s="775"/>
      <c r="D37" s="775"/>
      <c r="E37" s="776"/>
      <c r="F37" s="774">
        <f>H7</f>
        <v>0</v>
      </c>
      <c r="G37" s="775"/>
      <c r="H37" s="775"/>
      <c r="I37" s="776"/>
      <c r="J37" s="774">
        <f>L7</f>
        <v>0</v>
      </c>
      <c r="K37" s="775"/>
      <c r="L37" s="775"/>
      <c r="M37" s="776"/>
      <c r="N37" s="774">
        <f>P7</f>
        <v>0</v>
      </c>
      <c r="O37" s="775"/>
      <c r="P37" s="775"/>
      <c r="Q37" s="776"/>
      <c r="R37" s="693"/>
      <c r="S37" s="15"/>
    </row>
    <row r="38" spans="1:19" s="18" customFormat="1" ht="15" customHeight="1">
      <c r="A38" s="99" t="s">
        <v>68</v>
      </c>
      <c r="B38" s="783">
        <f>B37/B36</f>
        <v>0.89981294302325587</v>
      </c>
      <c r="C38" s="784"/>
      <c r="D38" s="784"/>
      <c r="E38" s="776"/>
      <c r="F38" s="783">
        <f>F37/F36</f>
        <v>0</v>
      </c>
      <c r="G38" s="784"/>
      <c r="H38" s="784"/>
      <c r="I38" s="776"/>
      <c r="J38" s="783">
        <f>J37/J36</f>
        <v>0</v>
      </c>
      <c r="K38" s="784"/>
      <c r="L38" s="784"/>
      <c r="M38" s="776"/>
      <c r="N38" s="783">
        <f>N37/N36</f>
        <v>0</v>
      </c>
      <c r="O38" s="784"/>
      <c r="P38" s="784"/>
      <c r="Q38" s="776"/>
      <c r="R38" s="693"/>
      <c r="S38" s="11"/>
    </row>
    <row r="39" spans="1:19" s="18" customFormat="1" ht="15" customHeight="1">
      <c r="A39" s="99" t="s">
        <v>65</v>
      </c>
      <c r="B39" s="774">
        <f>D19</f>
        <v>7000</v>
      </c>
      <c r="C39" s="775"/>
      <c r="D39" s="775"/>
      <c r="E39" s="776"/>
      <c r="F39" s="774">
        <f>H19</f>
        <v>10266.666666666666</v>
      </c>
      <c r="G39" s="775"/>
      <c r="H39" s="775"/>
      <c r="I39" s="776"/>
      <c r="J39" s="774">
        <f>L19</f>
        <v>7000</v>
      </c>
      <c r="K39" s="775"/>
      <c r="L39" s="775"/>
      <c r="M39" s="776"/>
      <c r="N39" s="774">
        <f>P19</f>
        <v>7000</v>
      </c>
      <c r="O39" s="775"/>
      <c r="P39" s="775"/>
      <c r="Q39" s="776"/>
      <c r="R39" s="693"/>
      <c r="S39" s="11"/>
    </row>
    <row r="40" spans="1:19" s="18" customFormat="1" ht="15" customHeight="1">
      <c r="A40" s="694" t="s">
        <v>66</v>
      </c>
      <c r="B40" s="774">
        <f>IF(B38&lt;100%,0,IF(B38&lt;105%,0.5,IF(B38&lt;110%,0.7,1)))</f>
        <v>0</v>
      </c>
      <c r="C40" s="775"/>
      <c r="D40" s="775"/>
      <c r="E40" s="776"/>
      <c r="F40" s="774">
        <f>IF(F38&lt;100%,0,IF(F38&lt;105%,0.5,IF(F38&lt;110%,0.7,1)))</f>
        <v>0</v>
      </c>
      <c r="G40" s="775"/>
      <c r="H40" s="775"/>
      <c r="I40" s="776"/>
      <c r="J40" s="774">
        <f>IF(J38&lt;100%,0,IF(J38&lt;105%,0.5,IF(J38&lt;110%,0.7,1)))</f>
        <v>0</v>
      </c>
      <c r="K40" s="775"/>
      <c r="L40" s="775"/>
      <c r="M40" s="776"/>
      <c r="N40" s="774">
        <f>IF(N38&lt;100%,0,IF(N38&lt;105%,0.5,IF(N38&lt;110%,0.7,1)))</f>
        <v>0</v>
      </c>
      <c r="O40" s="775"/>
      <c r="P40" s="775"/>
      <c r="Q40" s="776"/>
      <c r="R40" s="693"/>
      <c r="S40" s="11"/>
    </row>
    <row r="41" spans="1:19" s="18" customFormat="1" ht="15" customHeight="1">
      <c r="A41" s="694" t="s">
        <v>64</v>
      </c>
      <c r="B41" s="774">
        <f>B40*B39</f>
        <v>0</v>
      </c>
      <c r="C41" s="775"/>
      <c r="D41" s="775"/>
      <c r="E41" s="776"/>
      <c r="F41" s="774">
        <f>F40*F39</f>
        <v>0</v>
      </c>
      <c r="G41" s="775"/>
      <c r="H41" s="775"/>
      <c r="I41" s="776"/>
      <c r="J41" s="774">
        <f>J40*J39</f>
        <v>0</v>
      </c>
      <c r="K41" s="775"/>
      <c r="L41" s="775"/>
      <c r="M41" s="776"/>
      <c r="N41" s="774">
        <f>N40*N39</f>
        <v>0</v>
      </c>
      <c r="O41" s="775"/>
      <c r="P41" s="775"/>
      <c r="Q41" s="776"/>
      <c r="R41" s="693"/>
      <c r="S41" s="11"/>
    </row>
    <row r="42" spans="1:19" s="18" customFormat="1" ht="15" customHeight="1" thickBot="1">
      <c r="A42" s="46"/>
      <c r="B42" s="47"/>
      <c r="C42" s="47"/>
      <c r="D42" s="47"/>
      <c r="E42" s="113"/>
      <c r="F42" s="47"/>
      <c r="G42" s="47"/>
      <c r="H42" s="47"/>
      <c r="I42" s="113"/>
      <c r="J42" s="47"/>
      <c r="K42" s="47"/>
      <c r="L42" s="47"/>
      <c r="M42" s="113"/>
      <c r="N42" s="47"/>
      <c r="O42" s="47"/>
      <c r="P42" s="47"/>
      <c r="Q42" s="113"/>
      <c r="R42" s="114"/>
      <c r="S42" s="11"/>
    </row>
    <row r="43" spans="1:19" ht="13.8" thickBot="1">
      <c r="A43" s="272" t="s">
        <v>91</v>
      </c>
      <c r="B43" s="283" t="s">
        <v>1</v>
      </c>
      <c r="C43" s="283" t="s">
        <v>2</v>
      </c>
      <c r="D43" s="283" t="s">
        <v>3</v>
      </c>
      <c r="E43" s="281" t="s">
        <v>93</v>
      </c>
      <c r="F43" s="283" t="s">
        <v>4</v>
      </c>
      <c r="G43" s="283" t="s">
        <v>5</v>
      </c>
      <c r="H43" s="283" t="s">
        <v>6</v>
      </c>
      <c r="I43" s="281" t="s">
        <v>93</v>
      </c>
      <c r="J43" s="283" t="s">
        <v>7</v>
      </c>
      <c r="K43" s="283" t="s">
        <v>8</v>
      </c>
      <c r="L43" s="283" t="s">
        <v>9</v>
      </c>
      <c r="M43" s="281" t="s">
        <v>93</v>
      </c>
      <c r="N43" s="283" t="s">
        <v>92</v>
      </c>
      <c r="O43" s="283" t="s">
        <v>11</v>
      </c>
      <c r="P43" s="283" t="s">
        <v>12</v>
      </c>
      <c r="Q43" s="281" t="s">
        <v>93</v>
      </c>
      <c r="R43" s="281" t="s">
        <v>93</v>
      </c>
    </row>
    <row r="44" spans="1:19" ht="13.8" thickTop="1">
      <c r="A44" s="273" t="s">
        <v>94</v>
      </c>
      <c r="B44" s="129"/>
      <c r="C44" s="129"/>
      <c r="D44" s="129"/>
      <c r="E44" s="282">
        <f>SUM(B44:D44)</f>
        <v>0</v>
      </c>
      <c r="F44" s="129"/>
      <c r="G44" s="129"/>
      <c r="H44" s="129"/>
      <c r="I44" s="282">
        <f>SUM(F44:H44)</f>
        <v>0</v>
      </c>
      <c r="J44" s="129"/>
      <c r="K44" s="129"/>
      <c r="L44" s="129"/>
      <c r="M44" s="282">
        <f>SUM(J44:L44)</f>
        <v>0</v>
      </c>
      <c r="N44" s="129"/>
      <c r="O44" s="129"/>
      <c r="P44" s="393"/>
      <c r="Q44" s="282">
        <f>SUM(N44:P44)</f>
        <v>0</v>
      </c>
      <c r="R44" s="282">
        <f>I44+M44+Q44+E44</f>
        <v>0</v>
      </c>
      <c r="S44" s="50"/>
    </row>
    <row r="45" spans="1:19">
      <c r="A45" s="274" t="s">
        <v>95</v>
      </c>
      <c r="B45" s="130"/>
      <c r="C45" s="130"/>
      <c r="D45" s="130"/>
      <c r="E45" s="170"/>
      <c r="F45" s="130"/>
      <c r="G45" s="130"/>
      <c r="H45" s="130"/>
      <c r="I45" s="170"/>
      <c r="J45" s="130"/>
      <c r="K45" s="130"/>
      <c r="L45" s="130"/>
      <c r="M45" s="170"/>
      <c r="N45" s="130"/>
      <c r="O45" s="130"/>
      <c r="P45" s="390"/>
      <c r="Q45" s="170"/>
      <c r="R45" s="170"/>
      <c r="S45" s="50"/>
    </row>
    <row r="46" spans="1:19">
      <c r="A46" s="274" t="s">
        <v>96</v>
      </c>
      <c r="B46" s="130"/>
      <c r="C46" s="130"/>
      <c r="D46" s="130"/>
      <c r="E46" s="170"/>
      <c r="F46" s="130"/>
      <c r="G46" s="130"/>
      <c r="H46" s="130"/>
      <c r="I46" s="170"/>
      <c r="J46" s="130"/>
      <c r="K46" s="130"/>
      <c r="L46" s="130"/>
      <c r="M46" s="170"/>
      <c r="N46" s="130"/>
      <c r="O46" s="130"/>
      <c r="P46" s="390"/>
      <c r="Q46" s="170"/>
      <c r="R46" s="170"/>
      <c r="S46" s="50"/>
    </row>
    <row r="47" spans="1:19">
      <c r="A47" s="274" t="s">
        <v>125</v>
      </c>
      <c r="B47" s="130"/>
      <c r="C47" s="130"/>
      <c r="D47" s="130"/>
      <c r="E47" s="170"/>
      <c r="F47" s="130"/>
      <c r="G47" s="130"/>
      <c r="H47" s="130"/>
      <c r="I47" s="170"/>
      <c r="J47" s="130"/>
      <c r="K47" s="130"/>
      <c r="L47" s="130"/>
      <c r="M47" s="170"/>
      <c r="N47" s="130"/>
      <c r="O47" s="130"/>
      <c r="P47" s="390"/>
      <c r="Q47" s="170"/>
      <c r="R47" s="170"/>
      <c r="S47" s="50"/>
    </row>
    <row r="48" spans="1:19">
      <c r="A48" s="274" t="s">
        <v>97</v>
      </c>
      <c r="B48" s="499"/>
      <c r="C48" s="499"/>
      <c r="D48" s="499"/>
      <c r="E48" s="171"/>
      <c r="F48" s="499"/>
      <c r="G48" s="499"/>
      <c r="H48" s="499"/>
      <c r="I48" s="171"/>
      <c r="J48" s="499"/>
      <c r="K48" s="499"/>
      <c r="L48" s="499"/>
      <c r="M48" s="171"/>
      <c r="N48" s="499"/>
      <c r="O48" s="499"/>
      <c r="P48" s="399"/>
      <c r="Q48" s="171"/>
      <c r="R48" s="171"/>
      <c r="S48" s="50"/>
    </row>
    <row r="49" spans="1:19" ht="13.8" thickBot="1">
      <c r="A49" s="275" t="s">
        <v>98</v>
      </c>
      <c r="B49" s="131"/>
      <c r="C49" s="131"/>
      <c r="D49" s="131"/>
      <c r="E49" s="282">
        <f t="shared" ref="E49:E50" si="20">SUM(B49:D49)</f>
        <v>0</v>
      </c>
      <c r="F49" s="131"/>
      <c r="G49" s="131"/>
      <c r="H49" s="131"/>
      <c r="I49" s="282">
        <f t="shared" ref="I49:I50" si="21">SUM(F49:H49)</f>
        <v>0</v>
      </c>
      <c r="J49" s="131"/>
      <c r="K49" s="131"/>
      <c r="L49" s="131"/>
      <c r="M49" s="282">
        <f t="shared" ref="M49:M50" si="22">SUM(J49:L49)</f>
        <v>0</v>
      </c>
      <c r="N49" s="131"/>
      <c r="O49" s="131"/>
      <c r="P49" s="394"/>
      <c r="Q49" s="282">
        <f t="shared" ref="Q49:Q50" si="23">SUM(N49:P49)</f>
        <v>0</v>
      </c>
      <c r="R49" s="282">
        <f>I49+M49+Q49+E49</f>
        <v>0</v>
      </c>
      <c r="S49" s="50"/>
    </row>
    <row r="50" spans="1:19" ht="13.8" thickTop="1">
      <c r="A50" s="276" t="s">
        <v>126</v>
      </c>
      <c r="B50" s="132"/>
      <c r="C50" s="132"/>
      <c r="D50" s="132"/>
      <c r="E50" s="282">
        <f t="shared" si="20"/>
        <v>0</v>
      </c>
      <c r="F50" s="132"/>
      <c r="G50" s="132"/>
      <c r="H50" s="132"/>
      <c r="I50" s="282">
        <f t="shared" si="21"/>
        <v>0</v>
      </c>
      <c r="J50" s="132"/>
      <c r="K50" s="132"/>
      <c r="L50" s="132"/>
      <c r="M50" s="282">
        <f t="shared" si="22"/>
        <v>0</v>
      </c>
      <c r="N50" s="132"/>
      <c r="O50" s="132"/>
      <c r="P50" s="395"/>
      <c r="Q50" s="282">
        <f t="shared" si="23"/>
        <v>0</v>
      </c>
      <c r="R50" s="282">
        <f>I50+M50+Q50+E50</f>
        <v>0</v>
      </c>
      <c r="S50" s="50"/>
    </row>
    <row r="51" spans="1:19">
      <c r="A51" s="274" t="s">
        <v>99</v>
      </c>
      <c r="B51" s="130"/>
      <c r="C51" s="130"/>
      <c r="D51" s="130"/>
      <c r="E51" s="172"/>
      <c r="F51" s="130"/>
      <c r="G51" s="130"/>
      <c r="H51" s="130"/>
      <c r="I51" s="172"/>
      <c r="J51" s="130"/>
      <c r="K51" s="130"/>
      <c r="L51" s="130"/>
      <c r="M51" s="172"/>
      <c r="N51" s="130"/>
      <c r="O51" s="130"/>
      <c r="P51" s="390"/>
      <c r="Q51" s="172"/>
      <c r="R51" s="172"/>
      <c r="S51" s="50"/>
    </row>
    <row r="52" spans="1:19">
      <c r="A52" s="274" t="s">
        <v>100</v>
      </c>
      <c r="B52" s="130"/>
      <c r="C52" s="130"/>
      <c r="D52" s="130"/>
      <c r="E52" s="282">
        <f t="shared" ref="E52:E56" si="24">SUM(B52:D52)</f>
        <v>0</v>
      </c>
      <c r="F52" s="130"/>
      <c r="G52" s="130"/>
      <c r="H52" s="130"/>
      <c r="I52" s="282">
        <f t="shared" ref="I52:I56" si="25">SUM(F52:H52)</f>
        <v>0</v>
      </c>
      <c r="J52" s="130"/>
      <c r="K52" s="130"/>
      <c r="L52" s="130"/>
      <c r="M52" s="282">
        <f t="shared" ref="M52:M56" si="26">SUM(J52:L52)</f>
        <v>0</v>
      </c>
      <c r="N52" s="130"/>
      <c r="O52" s="130"/>
      <c r="P52" s="390"/>
      <c r="Q52" s="282">
        <f t="shared" ref="Q52:Q56" si="27">SUM(N52:P52)</f>
        <v>0</v>
      </c>
      <c r="R52" s="282">
        <f>I52+M52+Q52+E52</f>
        <v>0</v>
      </c>
      <c r="S52" s="50"/>
    </row>
    <row r="53" spans="1:19" ht="13.8" thickBot="1">
      <c r="A53" s="277" t="s">
        <v>101</v>
      </c>
      <c r="B53" s="133"/>
      <c r="C53" s="133"/>
      <c r="D53" s="133"/>
      <c r="E53" s="282">
        <f t="shared" si="24"/>
        <v>0</v>
      </c>
      <c r="F53" s="133"/>
      <c r="G53" s="133"/>
      <c r="H53" s="133"/>
      <c r="I53" s="282">
        <f t="shared" si="25"/>
        <v>0</v>
      </c>
      <c r="J53" s="133"/>
      <c r="K53" s="133"/>
      <c r="L53" s="133"/>
      <c r="M53" s="282">
        <f t="shared" si="26"/>
        <v>0</v>
      </c>
      <c r="N53" s="133"/>
      <c r="O53" s="133"/>
      <c r="P53" s="396"/>
      <c r="Q53" s="282">
        <f t="shared" si="27"/>
        <v>0</v>
      </c>
      <c r="R53" s="282">
        <f>I53+M53+Q53+E53</f>
        <v>0</v>
      </c>
      <c r="S53" s="50"/>
    </row>
    <row r="54" spans="1:19" ht="13.8" thickTop="1">
      <c r="A54" s="273" t="s">
        <v>173</v>
      </c>
      <c r="B54" s="129"/>
      <c r="C54" s="129"/>
      <c r="D54" s="129"/>
      <c r="E54" s="282">
        <f t="shared" si="24"/>
        <v>0</v>
      </c>
      <c r="F54" s="129"/>
      <c r="G54" s="129"/>
      <c r="H54" s="129"/>
      <c r="I54" s="282">
        <f t="shared" si="25"/>
        <v>0</v>
      </c>
      <c r="J54" s="129"/>
      <c r="K54" s="129"/>
      <c r="L54" s="129"/>
      <c r="M54" s="282">
        <f t="shared" si="26"/>
        <v>0</v>
      </c>
      <c r="N54" s="129"/>
      <c r="O54" s="129"/>
      <c r="P54" s="393"/>
      <c r="Q54" s="282">
        <f t="shared" si="27"/>
        <v>0</v>
      </c>
      <c r="R54" s="282">
        <f>I54+M54+Q54+E54</f>
        <v>0</v>
      </c>
      <c r="S54" s="50"/>
    </row>
    <row r="55" spans="1:19" ht="13.8" thickBot="1">
      <c r="A55" s="275" t="s">
        <v>102</v>
      </c>
      <c r="B55" s="131"/>
      <c r="C55" s="131"/>
      <c r="D55" s="131"/>
      <c r="E55" s="282">
        <f t="shared" si="24"/>
        <v>0</v>
      </c>
      <c r="F55" s="131"/>
      <c r="G55" s="131"/>
      <c r="H55" s="131"/>
      <c r="I55" s="282">
        <f t="shared" si="25"/>
        <v>0</v>
      </c>
      <c r="J55" s="131"/>
      <c r="K55" s="131"/>
      <c r="L55" s="131"/>
      <c r="M55" s="282">
        <f t="shared" si="26"/>
        <v>0</v>
      </c>
      <c r="N55" s="131"/>
      <c r="O55" s="131"/>
      <c r="P55" s="394"/>
      <c r="Q55" s="282">
        <f t="shared" si="27"/>
        <v>0</v>
      </c>
      <c r="R55" s="282">
        <f>I55+M55+Q55+E55</f>
        <v>0</v>
      </c>
      <c r="S55" s="50"/>
    </row>
    <row r="56" spans="1:19" ht="14.4" thickTop="1" thickBot="1">
      <c r="A56" s="275" t="s">
        <v>103</v>
      </c>
      <c r="B56" s="131"/>
      <c r="C56" s="131"/>
      <c r="D56" s="131"/>
      <c r="E56" s="282">
        <f t="shared" si="24"/>
        <v>0</v>
      </c>
      <c r="F56" s="131"/>
      <c r="G56" s="131"/>
      <c r="H56" s="131"/>
      <c r="I56" s="282">
        <f t="shared" si="25"/>
        <v>0</v>
      </c>
      <c r="J56" s="131"/>
      <c r="K56" s="131"/>
      <c r="L56" s="131"/>
      <c r="M56" s="282">
        <f t="shared" si="26"/>
        <v>0</v>
      </c>
      <c r="N56" s="131"/>
      <c r="O56" s="131"/>
      <c r="P56" s="394"/>
      <c r="Q56" s="282">
        <f t="shared" si="27"/>
        <v>0</v>
      </c>
      <c r="R56" s="282">
        <f>I56+M56+Q56+E56</f>
        <v>0</v>
      </c>
      <c r="S56" s="50"/>
    </row>
    <row r="57" spans="1:19" ht="13.8" thickTop="1">
      <c r="A57" s="278" t="s">
        <v>104</v>
      </c>
      <c r="B57" s="135"/>
      <c r="C57" s="135"/>
      <c r="D57" s="135"/>
      <c r="E57" s="128"/>
      <c r="F57" s="135"/>
      <c r="G57" s="135"/>
      <c r="H57" s="135"/>
      <c r="I57" s="128"/>
      <c r="J57" s="135"/>
      <c r="K57" s="135"/>
      <c r="L57" s="168"/>
      <c r="M57" s="128"/>
      <c r="N57" s="135"/>
      <c r="O57" s="135"/>
      <c r="P57" s="397"/>
      <c r="Q57" s="128"/>
      <c r="R57" s="128"/>
      <c r="S57" s="50"/>
    </row>
    <row r="58" spans="1:19">
      <c r="A58" s="279" t="s">
        <v>105</v>
      </c>
      <c r="B58" s="136"/>
      <c r="C58" s="136"/>
      <c r="D58" s="136"/>
      <c r="E58" s="282">
        <f t="shared" ref="E58:E60" si="28">SUM(B58:D58)</f>
        <v>0</v>
      </c>
      <c r="F58" s="136"/>
      <c r="G58" s="136"/>
      <c r="H58" s="136"/>
      <c r="I58" s="282">
        <f t="shared" ref="I58:I60" si="29">SUM(F58:H58)</f>
        <v>0</v>
      </c>
      <c r="J58" s="136"/>
      <c r="K58" s="136"/>
      <c r="L58" s="169"/>
      <c r="M58" s="282">
        <f t="shared" ref="M58:M60" si="30">SUM(J58:L58)</f>
        <v>0</v>
      </c>
      <c r="N58" s="136"/>
      <c r="O58" s="136"/>
      <c r="P58" s="398"/>
      <c r="Q58" s="282">
        <f t="shared" ref="Q58:Q60" si="31">SUM(N58:P58)</f>
        <v>0</v>
      </c>
      <c r="R58" s="282">
        <f>I58+M58+Q58+E58</f>
        <v>0</v>
      </c>
      <c r="S58" s="50"/>
    </row>
    <row r="59" spans="1:19">
      <c r="A59" s="279" t="s">
        <v>106</v>
      </c>
      <c r="B59" s="136"/>
      <c r="C59" s="136"/>
      <c r="D59" s="136"/>
      <c r="E59" s="282">
        <f t="shared" si="28"/>
        <v>0</v>
      </c>
      <c r="F59" s="136"/>
      <c r="G59" s="136"/>
      <c r="H59" s="136"/>
      <c r="I59" s="282">
        <f t="shared" si="29"/>
        <v>0</v>
      </c>
      <c r="J59" s="136"/>
      <c r="K59" s="136"/>
      <c r="L59" s="169"/>
      <c r="M59" s="282">
        <f t="shared" si="30"/>
        <v>0</v>
      </c>
      <c r="N59" s="136"/>
      <c r="O59" s="308"/>
      <c r="P59" s="392"/>
      <c r="Q59" s="282">
        <f t="shared" si="31"/>
        <v>0</v>
      </c>
      <c r="R59" s="282">
        <f>I59+M59+Q59+E59</f>
        <v>0</v>
      </c>
      <c r="S59" s="50"/>
    </row>
    <row r="60" spans="1:19">
      <c r="A60" s="279" t="s">
        <v>107</v>
      </c>
      <c r="B60" s="136"/>
      <c r="C60" s="136"/>
      <c r="D60" s="136"/>
      <c r="E60" s="282">
        <f t="shared" si="28"/>
        <v>0</v>
      </c>
      <c r="F60" s="136"/>
      <c r="G60" s="136"/>
      <c r="H60" s="136"/>
      <c r="I60" s="282">
        <f t="shared" si="29"/>
        <v>0</v>
      </c>
      <c r="J60" s="136"/>
      <c r="K60" s="136"/>
      <c r="L60" s="169"/>
      <c r="M60" s="282">
        <f t="shared" si="30"/>
        <v>0</v>
      </c>
      <c r="N60" s="136"/>
      <c r="O60" s="308"/>
      <c r="P60" s="392"/>
      <c r="Q60" s="282">
        <f t="shared" si="31"/>
        <v>0</v>
      </c>
      <c r="R60" s="282">
        <f>I60+M60+Q60+E60</f>
        <v>0</v>
      </c>
      <c r="S60" s="50"/>
    </row>
    <row r="61" spans="1:19" ht="13.8" thickBot="1">
      <c r="A61" s="280" t="s">
        <v>108</v>
      </c>
      <c r="B61" s="287"/>
      <c r="C61" s="287"/>
      <c r="D61" s="287"/>
      <c r="E61" s="173"/>
      <c r="F61" s="287"/>
      <c r="G61" s="287"/>
      <c r="H61" s="287"/>
      <c r="I61" s="173"/>
      <c r="J61" s="287"/>
      <c r="K61" s="287"/>
      <c r="L61" s="289"/>
      <c r="M61" s="173"/>
      <c r="N61" s="287"/>
      <c r="O61" s="309"/>
      <c r="P61" s="391"/>
      <c r="Q61" s="173"/>
      <c r="R61" s="173"/>
      <c r="S61" s="50"/>
    </row>
    <row r="62" spans="1:19" ht="13.8" thickTop="1">
      <c r="A6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134"/>
      <c r="Q62" s="50"/>
      <c r="R62" s="50"/>
      <c r="S62" s="12"/>
    </row>
  </sheetData>
  <mergeCells count="28">
    <mergeCell ref="N39:Q39"/>
    <mergeCell ref="F39:I39"/>
    <mergeCell ref="J39:M39"/>
    <mergeCell ref="N37:Q37"/>
    <mergeCell ref="J1:M1"/>
    <mergeCell ref="J38:M38"/>
    <mergeCell ref="J37:M37"/>
    <mergeCell ref="B38:E38"/>
    <mergeCell ref="F1:I1"/>
    <mergeCell ref="N1:Q1"/>
    <mergeCell ref="F38:I38"/>
    <mergeCell ref="J36:M36"/>
    <mergeCell ref="N41:Q41"/>
    <mergeCell ref="B41:E41"/>
    <mergeCell ref="F41:I41"/>
    <mergeCell ref="J41:M41"/>
    <mergeCell ref="B1:E1"/>
    <mergeCell ref="B40:E40"/>
    <mergeCell ref="F40:I40"/>
    <mergeCell ref="J40:M40"/>
    <mergeCell ref="N40:Q40"/>
    <mergeCell ref="B36:E36"/>
    <mergeCell ref="F36:I36"/>
    <mergeCell ref="B39:E39"/>
    <mergeCell ref="F37:I37"/>
    <mergeCell ref="N36:Q36"/>
    <mergeCell ref="B37:E37"/>
    <mergeCell ref="N38:Q38"/>
  </mergeCells>
  <phoneticPr fontId="0" type="noConversion"/>
  <pageMargins left="0.25" right="0.25" top="0.75" bottom="0.75" header="0.3" footer="0.3"/>
  <pageSetup paperSize="9" scale="58" fitToWidth="0" orientation="landscape" horizontalDpi="4294967294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zoomScale="80" zoomScaleNormal="80" workbookViewId="0">
      <selection activeCell="F21" sqref="F21"/>
    </sheetView>
  </sheetViews>
  <sheetFormatPr defaultColWidth="9.109375" defaultRowHeight="13.2"/>
  <cols>
    <col min="1" max="1" width="42.6640625" style="15" customWidth="1"/>
    <col min="2" max="2" width="13.109375" style="11" customWidth="1"/>
    <col min="3" max="3" width="12.109375" style="11" customWidth="1"/>
    <col min="4" max="4" width="12.21875" style="11" customWidth="1"/>
    <col min="5" max="5" width="11.5546875" style="116" customWidth="1"/>
    <col min="6" max="6" width="12.21875" style="11" customWidth="1"/>
    <col min="7" max="7" width="11.77734375" style="11" customWidth="1"/>
    <col min="8" max="8" width="11.6640625" style="11" customWidth="1"/>
    <col min="9" max="9" width="12.77734375" style="116" customWidth="1"/>
    <col min="10" max="11" width="12.44140625" style="11" customWidth="1"/>
    <col min="12" max="12" width="11.44140625" style="11" customWidth="1"/>
    <col min="13" max="13" width="11.44140625" style="116" customWidth="1"/>
    <col min="14" max="15" width="12.5546875" style="11" customWidth="1"/>
    <col min="16" max="16" width="13" style="11" customWidth="1"/>
    <col min="17" max="17" width="11.44140625" style="116" customWidth="1"/>
    <col min="18" max="18" width="13.109375" style="116" customWidth="1"/>
    <col min="19" max="16384" width="9.109375" style="12"/>
  </cols>
  <sheetData>
    <row r="1" spans="1:19" s="18" customFormat="1" ht="15" customHeight="1">
      <c r="A1" s="29" t="s">
        <v>25</v>
      </c>
      <c r="B1" s="791" t="s">
        <v>122</v>
      </c>
      <c r="C1" s="778"/>
      <c r="D1" s="778"/>
      <c r="E1" s="779"/>
      <c r="F1" s="791" t="s">
        <v>138</v>
      </c>
      <c r="G1" s="778"/>
      <c r="H1" s="778"/>
      <c r="I1" s="779"/>
      <c r="J1" s="791" t="s">
        <v>145</v>
      </c>
      <c r="K1" s="778"/>
      <c r="L1" s="778"/>
      <c r="M1" s="779"/>
      <c r="N1" s="791" t="s">
        <v>176</v>
      </c>
      <c r="O1" s="778"/>
      <c r="P1" s="778"/>
      <c r="Q1" s="779"/>
      <c r="R1" s="146"/>
    </row>
    <row r="2" spans="1:19" s="18" customFormat="1" ht="15" customHeight="1">
      <c r="A2" s="81" t="s">
        <v>0</v>
      </c>
      <c r="B2" s="427" t="s">
        <v>1</v>
      </c>
      <c r="C2" s="427" t="s">
        <v>2</v>
      </c>
      <c r="D2" s="427" t="s">
        <v>3</v>
      </c>
      <c r="E2" s="152" t="s">
        <v>110</v>
      </c>
      <c r="F2" s="427" t="s">
        <v>4</v>
      </c>
      <c r="G2" s="427" t="s">
        <v>5</v>
      </c>
      <c r="H2" s="427" t="s">
        <v>6</v>
      </c>
      <c r="I2" s="152" t="s">
        <v>116</v>
      </c>
      <c r="J2" s="427" t="s">
        <v>7</v>
      </c>
      <c r="K2" s="427" t="s">
        <v>8</v>
      </c>
      <c r="L2" s="427" t="s">
        <v>9</v>
      </c>
      <c r="M2" s="152" t="s">
        <v>117</v>
      </c>
      <c r="N2" s="427" t="s">
        <v>10</v>
      </c>
      <c r="O2" s="427" t="s">
        <v>11</v>
      </c>
      <c r="P2" s="427" t="s">
        <v>12</v>
      </c>
      <c r="Q2" s="152" t="s">
        <v>118</v>
      </c>
      <c r="R2" s="82" t="s">
        <v>119</v>
      </c>
    </row>
    <row r="3" spans="1:19" s="18" customFormat="1" ht="15" customHeight="1">
      <c r="A3" s="770" t="s">
        <v>245</v>
      </c>
      <c r="B3" s="771"/>
      <c r="C3" s="772">
        <v>-0.10639999999999999</v>
      </c>
      <c r="D3" s="772"/>
      <c r="E3" s="773"/>
      <c r="F3" s="771"/>
      <c r="G3" s="771"/>
      <c r="H3" s="771"/>
      <c r="I3" s="773"/>
      <c r="J3" s="771"/>
      <c r="K3" s="771"/>
      <c r="L3" s="771"/>
      <c r="M3" s="773"/>
      <c r="N3" s="771"/>
      <c r="O3" s="771"/>
      <c r="P3" s="771"/>
      <c r="Q3" s="773"/>
      <c r="R3" s="606">
        <f>Target!O7</f>
        <v>1102911.83</v>
      </c>
    </row>
    <row r="4" spans="1:19" s="18" customFormat="1" ht="15" customHeight="1">
      <c r="A4" s="83" t="s">
        <v>197</v>
      </c>
      <c r="B4" s="431">
        <f>Target!C7</f>
        <v>76800</v>
      </c>
      <c r="C4" s="431">
        <f>Target!D7</f>
        <v>85333.333333333328</v>
      </c>
      <c r="D4" s="431">
        <f>Target!E7</f>
        <v>93866.666666666672</v>
      </c>
      <c r="E4" s="166">
        <f>SUM(B4:D4)</f>
        <v>256000</v>
      </c>
      <c r="F4" s="431">
        <f>Target!F7</f>
        <v>84480</v>
      </c>
      <c r="G4" s="431">
        <f>Target!G7</f>
        <v>93866.666666666672</v>
      </c>
      <c r="H4" s="431">
        <f>Target!H7</f>
        <v>103253.33333333334</v>
      </c>
      <c r="I4" s="166">
        <f>SUM(F4:H4)</f>
        <v>281600</v>
      </c>
      <c r="J4" s="431">
        <f>Target!I7</f>
        <v>84864</v>
      </c>
      <c r="K4" s="431">
        <f>Target!J7</f>
        <v>94293.333333333328</v>
      </c>
      <c r="L4" s="431">
        <f>Target!K7</f>
        <v>103722.66666666667</v>
      </c>
      <c r="M4" s="153">
        <f>SUM(J4:L4)</f>
        <v>282880</v>
      </c>
      <c r="N4" s="431">
        <f>Target!L7</f>
        <v>84729.549000000014</v>
      </c>
      <c r="O4" s="431">
        <f>Target!M7</f>
        <v>94143.943333333344</v>
      </c>
      <c r="P4" s="431">
        <f>Target!N7</f>
        <v>103558.33766666669</v>
      </c>
      <c r="Q4" s="166">
        <f>SUM(N4:P4)</f>
        <v>282431.83000000007</v>
      </c>
      <c r="R4" s="460">
        <f>E4+I4+M4+Q4</f>
        <v>1102911.83</v>
      </c>
      <c r="S4" s="731"/>
    </row>
    <row r="5" spans="1:19" s="18" customFormat="1" ht="15" customHeight="1">
      <c r="A5" s="85" t="s">
        <v>198</v>
      </c>
      <c r="B5" s="432">
        <f>B4</f>
        <v>76800</v>
      </c>
      <c r="C5" s="432">
        <f>C4+B5</f>
        <v>162133.33333333331</v>
      </c>
      <c r="D5" s="432">
        <f>D4+C5</f>
        <v>256000</v>
      </c>
      <c r="E5" s="435"/>
      <c r="F5" s="432">
        <f>F4</f>
        <v>84480</v>
      </c>
      <c r="G5" s="432">
        <f>G4+F5</f>
        <v>178346.66666666669</v>
      </c>
      <c r="H5" s="432">
        <f>H4+G5</f>
        <v>281600</v>
      </c>
      <c r="I5" s="435"/>
      <c r="J5" s="432">
        <f>J4</f>
        <v>84864</v>
      </c>
      <c r="K5" s="432">
        <f>K4+J5</f>
        <v>179157.33333333331</v>
      </c>
      <c r="L5" s="432">
        <f>L4+K5</f>
        <v>282880</v>
      </c>
      <c r="M5" s="728">
        <f>SUM(E6,I6,M6)/3</f>
        <v>67560.373699999996</v>
      </c>
      <c r="N5" s="432">
        <f>N4</f>
        <v>84729.549000000014</v>
      </c>
      <c r="O5" s="432">
        <f>O4+N5</f>
        <v>178873.49233333336</v>
      </c>
      <c r="P5" s="432">
        <f>P4+O5</f>
        <v>282431.83000000007</v>
      </c>
      <c r="Q5" s="435"/>
      <c r="R5" s="293">
        <f>R6/R4</f>
        <v>0.18376910609436475</v>
      </c>
    </row>
    <row r="6" spans="1:19" s="18" customFormat="1" ht="15" customHeight="1">
      <c r="A6" s="87" t="s">
        <v>37</v>
      </c>
      <c r="B6" s="176">
        <f>SUMIF(I!A:A,$A$1,I!I:I)</f>
        <v>95808.015599999999</v>
      </c>
      <c r="C6" s="175">
        <f>SUMIF(II!A:A,$A$1,II!I:I)</f>
        <v>76436.101599999995</v>
      </c>
      <c r="D6" s="175">
        <f>SUMIF(III!A:A,$A$1,III!I:I)</f>
        <v>30437.0039</v>
      </c>
      <c r="E6" s="458">
        <f>SUM(B6:D6)</f>
        <v>202681.12109999999</v>
      </c>
      <c r="F6" s="175">
        <f>SUMIF(IV!A:A,$A$1,IV!I:I)</f>
        <v>0</v>
      </c>
      <c r="G6" s="175">
        <f>SUMIF(V!A:A,$A$1,V!I:I)</f>
        <v>0</v>
      </c>
      <c r="H6" s="175">
        <f>SUMIF(VI!A:A,$A$1,VI!I:I)</f>
        <v>0</v>
      </c>
      <c r="I6" s="458">
        <f>SUM(F6:H6)</f>
        <v>0</v>
      </c>
      <c r="J6" s="175">
        <f>SUMIF(VII!A:A,$A$1,VII!I:I)</f>
        <v>0</v>
      </c>
      <c r="K6" s="175">
        <f>SUMIF(VIII!A:A,$A$1,VIII!I:I)</f>
        <v>0</v>
      </c>
      <c r="L6" s="175">
        <f>SUMIF(IX!A:A,$A$1,IX!I:I)</f>
        <v>0</v>
      </c>
      <c r="M6" s="461">
        <f>SUM(J6:L6)</f>
        <v>0</v>
      </c>
      <c r="N6" s="175">
        <f>SUMIF(X!A:A,$A$1,X!I:I)</f>
        <v>0</v>
      </c>
      <c r="O6" s="175">
        <f>SUMIF(XI!A:A,$A$1,XI!I:I)</f>
        <v>0</v>
      </c>
      <c r="P6" s="175">
        <f>SUMIF(XII!A:A,$A$1,XII!I:I)</f>
        <v>0</v>
      </c>
      <c r="Q6" s="458">
        <f>SUM(N6:P6)</f>
        <v>0</v>
      </c>
      <c r="R6" s="84">
        <f>E6+I6+M6+Q6</f>
        <v>202681.12109999999</v>
      </c>
    </row>
    <row r="7" spans="1:19" s="18" customFormat="1" ht="15" customHeight="1">
      <c r="A7" s="85" t="s">
        <v>199</v>
      </c>
      <c r="B7" s="429">
        <f>B6</f>
        <v>95808.015599999999</v>
      </c>
      <c r="C7" s="429">
        <f>C6+B7</f>
        <v>172244.11719999998</v>
      </c>
      <c r="D7" s="429">
        <f>D6+C7</f>
        <v>202681.12109999999</v>
      </c>
      <c r="E7" s="458"/>
      <c r="F7" s="429">
        <f>F6</f>
        <v>0</v>
      </c>
      <c r="G7" s="429">
        <f>G6+F7</f>
        <v>0</v>
      </c>
      <c r="H7" s="429">
        <f>H6+G7</f>
        <v>0</v>
      </c>
      <c r="I7" s="435"/>
      <c r="J7" s="429">
        <f>J6</f>
        <v>0</v>
      </c>
      <c r="K7" s="429">
        <f>K6+J7</f>
        <v>0</v>
      </c>
      <c r="L7" s="429">
        <f>L6+K7</f>
        <v>0</v>
      </c>
      <c r="M7" s="435"/>
      <c r="N7" s="429">
        <f>N6</f>
        <v>0</v>
      </c>
      <c r="O7" s="429">
        <f>O6+N7</f>
        <v>0</v>
      </c>
      <c r="P7" s="429">
        <f>P6+O7</f>
        <v>0</v>
      </c>
      <c r="Q7" s="458"/>
      <c r="R7" s="604">
        <f>R3-R4</f>
        <v>0</v>
      </c>
    </row>
    <row r="8" spans="1:19" s="18" customFormat="1" ht="15" customHeight="1">
      <c r="A8" s="85" t="s">
        <v>200</v>
      </c>
      <c r="B8" s="73">
        <f t="shared" ref="B8:D9" si="0">B6/B4</f>
        <v>1.247500203125</v>
      </c>
      <c r="C8" s="73">
        <f t="shared" si="0"/>
        <v>0.89573556562500001</v>
      </c>
      <c r="D8" s="73">
        <f t="shared" si="0"/>
        <v>0.32425785404829544</v>
      </c>
      <c r="E8" s="459"/>
      <c r="F8" s="73">
        <f t="shared" ref="F8:H9" si="1">F6/F4</f>
        <v>0</v>
      </c>
      <c r="G8" s="73">
        <f t="shared" si="1"/>
        <v>0</v>
      </c>
      <c r="H8" s="73">
        <f t="shared" si="1"/>
        <v>0</v>
      </c>
      <c r="I8" s="155"/>
      <c r="J8" s="73">
        <f t="shared" ref="J8:L9" si="2">J6/J4</f>
        <v>0</v>
      </c>
      <c r="K8" s="73">
        <f>K6/K4</f>
        <v>0</v>
      </c>
      <c r="L8" s="73">
        <f t="shared" si="2"/>
        <v>0</v>
      </c>
      <c r="M8" s="155"/>
      <c r="N8" s="73">
        <f t="shared" ref="N8:P9" si="3">N6/N4</f>
        <v>0</v>
      </c>
      <c r="O8" s="73">
        <f t="shared" si="3"/>
        <v>0</v>
      </c>
      <c r="P8" s="73">
        <f t="shared" si="3"/>
        <v>0</v>
      </c>
      <c r="Q8" s="733" t="e">
        <f>R6/Q3-1</f>
        <v>#DIV/0!</v>
      </c>
      <c r="R8" s="609">
        <f>R7*100/R3</f>
        <v>0</v>
      </c>
    </row>
    <row r="9" spans="1:19" s="19" customFormat="1" ht="15" customHeight="1">
      <c r="A9" s="85" t="s">
        <v>201</v>
      </c>
      <c r="B9" s="585">
        <f t="shared" si="0"/>
        <v>1.247500203125</v>
      </c>
      <c r="C9" s="585">
        <f t="shared" si="0"/>
        <v>1.0623609202302631</v>
      </c>
      <c r="D9" s="585">
        <f t="shared" si="0"/>
        <v>0.79172312929687494</v>
      </c>
      <c r="E9" s="586"/>
      <c r="F9" s="585">
        <f t="shared" si="1"/>
        <v>0</v>
      </c>
      <c r="G9" s="585">
        <f t="shared" si="1"/>
        <v>0</v>
      </c>
      <c r="H9" s="585">
        <f t="shared" si="1"/>
        <v>0</v>
      </c>
      <c r="I9" s="719"/>
      <c r="J9" s="585">
        <f t="shared" si="2"/>
        <v>0</v>
      </c>
      <c r="K9" s="585">
        <f t="shared" si="2"/>
        <v>0</v>
      </c>
      <c r="L9" s="585">
        <f t="shared" si="2"/>
        <v>0</v>
      </c>
      <c r="M9" s="719"/>
      <c r="N9" s="585">
        <f t="shared" si="3"/>
        <v>0</v>
      </c>
      <c r="O9" s="585">
        <f t="shared" si="3"/>
        <v>0</v>
      </c>
      <c r="P9" s="585">
        <f t="shared" si="3"/>
        <v>0</v>
      </c>
      <c r="Q9" s="732">
        <f>R6-Q3</f>
        <v>202681.12109999999</v>
      </c>
      <c r="R9" s="587"/>
    </row>
    <row r="10" spans="1:19" s="36" customFormat="1" ht="15" customHeight="1">
      <c r="A10" s="85" t="s">
        <v>202</v>
      </c>
      <c r="B10" s="428">
        <f>B7-B5</f>
        <v>19008.015599999999</v>
      </c>
      <c r="C10" s="428">
        <f>C7-C5</f>
        <v>10110.783866666665</v>
      </c>
      <c r="D10" s="428">
        <f>D7-D5</f>
        <v>-53318.878900000011</v>
      </c>
      <c r="E10" s="458"/>
      <c r="F10" s="428">
        <f>F7-F5</f>
        <v>-84480</v>
      </c>
      <c r="G10" s="428">
        <f>G7-G5</f>
        <v>-178346.66666666669</v>
      </c>
      <c r="H10" s="428">
        <f>H7-H5</f>
        <v>-281600</v>
      </c>
      <c r="I10" s="458"/>
      <c r="J10" s="428">
        <f>J7-J5</f>
        <v>-84864</v>
      </c>
      <c r="K10" s="428">
        <f>K7-K5</f>
        <v>-179157.33333333331</v>
      </c>
      <c r="L10" s="428">
        <f>L7-L5</f>
        <v>-282880</v>
      </c>
      <c r="M10" s="461"/>
      <c r="N10" s="428">
        <f>N7-N5</f>
        <v>-84729.549000000014</v>
      </c>
      <c r="O10" s="428">
        <f>O7-O5</f>
        <v>-178873.49233333336</v>
      </c>
      <c r="P10" s="428">
        <f>P7-P5</f>
        <v>-282431.83000000007</v>
      </c>
      <c r="Q10" s="458"/>
      <c r="R10" s="86"/>
    </row>
    <row r="11" spans="1:19" s="18" customFormat="1" ht="15" customHeight="1">
      <c r="A11" s="87" t="s">
        <v>177</v>
      </c>
      <c r="B11" s="176">
        <f>SUMIF(I!A:A,$A$1,I!G:G)</f>
        <v>216241.26560000001</v>
      </c>
      <c r="C11" s="175">
        <f>SUMIF(II!A:A,$A$1,II!G:G)</f>
        <v>188991.48439999999</v>
      </c>
      <c r="D11" s="175">
        <f>SUMIF(III!A:A,$A$1,III!G:G)</f>
        <v>65710.468800000002</v>
      </c>
      <c r="E11" s="458">
        <f>SUM(B11:D11)</f>
        <v>470943.21880000003</v>
      </c>
      <c r="F11" s="175">
        <f>SUMIF(IV!A:A,$A$1,IV!G:G)</f>
        <v>0</v>
      </c>
      <c r="G11" s="175">
        <f>SUMIF(V!A:A,$A$1,V!G:G)</f>
        <v>0</v>
      </c>
      <c r="H11" s="175">
        <f>SUMIF(VI!A:A,$A$1,VI!G:G)</f>
        <v>0</v>
      </c>
      <c r="I11" s="458">
        <f>SUM(F11:H11)</f>
        <v>0</v>
      </c>
      <c r="J11" s="175">
        <f>SUMIF(VII!A:A,$A$1,VII!G:G)</f>
        <v>0</v>
      </c>
      <c r="K11" s="175">
        <f>SUMIF(VIII!A:A,$A$1,VIII!G:G)</f>
        <v>0</v>
      </c>
      <c r="L11" s="175">
        <f>SUMIF(IX!A:A,$A$1,IX!G:G)</f>
        <v>0</v>
      </c>
      <c r="M11" s="461">
        <f>SUM(J11:L11)</f>
        <v>0</v>
      </c>
      <c r="N11" s="175">
        <f>SUMIF(X!A:A,$A$1,X!G:G)</f>
        <v>0</v>
      </c>
      <c r="O11" s="175">
        <f>SUMIF(XI!A:A,$A$1,XI!G:G)</f>
        <v>0</v>
      </c>
      <c r="P11" s="175">
        <f>SUMIF(XII!A:A,$A$1,XII!G:G)</f>
        <v>0</v>
      </c>
      <c r="Q11" s="458">
        <f>SUM(N11:P11)</f>
        <v>0</v>
      </c>
      <c r="R11" s="84">
        <f>E11+I11+M11+Q11</f>
        <v>470943.21880000003</v>
      </c>
    </row>
    <row r="12" spans="1:19" customFormat="1">
      <c r="A12" s="85" t="s">
        <v>178</v>
      </c>
      <c r="B12" s="429">
        <f>B11</f>
        <v>216241.26560000001</v>
      </c>
      <c r="C12" s="429">
        <f>C11+B12</f>
        <v>405232.75</v>
      </c>
      <c r="D12" s="429">
        <f>D11+C12</f>
        <v>470943.21880000003</v>
      </c>
      <c r="E12" s="435"/>
      <c r="F12" s="429">
        <f>F11</f>
        <v>0</v>
      </c>
      <c r="G12" s="429">
        <f>G11+F12</f>
        <v>0</v>
      </c>
      <c r="H12" s="429">
        <f>H11+G12</f>
        <v>0</v>
      </c>
      <c r="I12" s="435"/>
      <c r="J12" s="429">
        <f>J11</f>
        <v>0</v>
      </c>
      <c r="K12" s="429">
        <f>K11+J12</f>
        <v>0</v>
      </c>
      <c r="L12" s="429">
        <f>L11+K12</f>
        <v>0</v>
      </c>
      <c r="M12" s="154"/>
      <c r="N12" s="429">
        <f>N11</f>
        <v>0</v>
      </c>
      <c r="O12" s="429">
        <f>O11+N12</f>
        <v>0</v>
      </c>
      <c r="P12" s="429">
        <f>P11+O12</f>
        <v>0</v>
      </c>
      <c r="Q12" s="435"/>
      <c r="R12" s="86"/>
    </row>
    <row r="13" spans="1:19" s="18" customFormat="1" ht="15" customHeight="1">
      <c r="A13" s="92" t="s">
        <v>188</v>
      </c>
      <c r="B13" s="430">
        <f t="shared" ref="B13:D14" si="4">B6/B11</f>
        <v>0.44306074205662621</v>
      </c>
      <c r="C13" s="430">
        <f t="shared" si="4"/>
        <v>0.4044420405642361</v>
      </c>
      <c r="D13" s="430">
        <f t="shared" si="4"/>
        <v>0.46319870267003782</v>
      </c>
      <c r="E13" s="156"/>
      <c r="F13" s="430" t="e">
        <f t="shared" ref="F13:H14" si="5">F6/F11</f>
        <v>#DIV/0!</v>
      </c>
      <c r="G13" s="430" t="e">
        <f t="shared" si="5"/>
        <v>#DIV/0!</v>
      </c>
      <c r="H13" s="430" t="e">
        <f t="shared" si="5"/>
        <v>#DIV/0!</v>
      </c>
      <c r="I13" s="156"/>
      <c r="J13" s="430" t="e">
        <f t="shared" ref="J13:L14" si="6">J6/J11</f>
        <v>#DIV/0!</v>
      </c>
      <c r="K13" s="430" t="e">
        <f t="shared" si="6"/>
        <v>#DIV/0!</v>
      </c>
      <c r="L13" s="430" t="e">
        <f t="shared" si="6"/>
        <v>#DIV/0!</v>
      </c>
      <c r="M13" s="156"/>
      <c r="N13" s="430" t="e">
        <f t="shared" ref="N13:P14" si="7">N6/N11</f>
        <v>#DIV/0!</v>
      </c>
      <c r="O13" s="430" t="e">
        <f t="shared" si="7"/>
        <v>#DIV/0!</v>
      </c>
      <c r="P13" s="430" t="e">
        <f t="shared" si="7"/>
        <v>#DIV/0!</v>
      </c>
      <c r="Q13" s="156"/>
      <c r="R13" s="93"/>
    </row>
    <row r="14" spans="1:19" s="18" customFormat="1" ht="15" customHeight="1">
      <c r="A14" s="92" t="s">
        <v>189</v>
      </c>
      <c r="B14" s="430">
        <f t="shared" si="4"/>
        <v>0.44306074205662621</v>
      </c>
      <c r="C14" s="430">
        <f t="shared" si="4"/>
        <v>0.42504984407109242</v>
      </c>
      <c r="D14" s="430">
        <f t="shared" si="4"/>
        <v>0.43037273499010614</v>
      </c>
      <c r="E14" s="156" t="s">
        <v>179</v>
      </c>
      <c r="F14" s="430" t="e">
        <f t="shared" si="5"/>
        <v>#DIV/0!</v>
      </c>
      <c r="G14" s="430" t="e">
        <f t="shared" si="5"/>
        <v>#DIV/0!</v>
      </c>
      <c r="H14" s="430" t="e">
        <f t="shared" si="5"/>
        <v>#DIV/0!</v>
      </c>
      <c r="I14" s="156"/>
      <c r="J14" s="430" t="e">
        <f t="shared" si="6"/>
        <v>#DIV/0!</v>
      </c>
      <c r="K14" s="430" t="e">
        <f t="shared" si="6"/>
        <v>#DIV/0!</v>
      </c>
      <c r="L14" s="430" t="e">
        <f t="shared" si="6"/>
        <v>#DIV/0!</v>
      </c>
      <c r="M14" s="156"/>
      <c r="N14" s="430" t="e">
        <f t="shared" si="7"/>
        <v>#DIV/0!</v>
      </c>
      <c r="O14" s="430" t="e">
        <f t="shared" si="7"/>
        <v>#DIV/0!</v>
      </c>
      <c r="P14" s="430" t="e">
        <f t="shared" si="7"/>
        <v>#DIV/0!</v>
      </c>
      <c r="Q14" s="156"/>
      <c r="R14" s="93"/>
    </row>
    <row r="15" spans="1:19" s="52" customFormat="1" ht="15" customHeight="1">
      <c r="A15" s="95"/>
      <c r="B15" s="76"/>
      <c r="C15" s="76"/>
      <c r="D15" s="76"/>
      <c r="E15" s="157"/>
      <c r="F15" s="76"/>
      <c r="G15" s="76"/>
      <c r="H15" s="76"/>
      <c r="I15" s="157"/>
      <c r="J15" s="76"/>
      <c r="K15" s="76"/>
      <c r="L15" s="76"/>
      <c r="M15" s="157"/>
      <c r="N15" s="76"/>
      <c r="O15" s="76"/>
      <c r="P15" s="76"/>
      <c r="Q15" s="157"/>
      <c r="R15" s="94"/>
      <c r="S15" s="51"/>
    </row>
    <row r="16" spans="1:19" s="18" customFormat="1" ht="24.75" customHeight="1">
      <c r="A16" s="142" t="s">
        <v>26</v>
      </c>
      <c r="B16" s="433" t="s">
        <v>26</v>
      </c>
      <c r="C16" s="434"/>
      <c r="D16" s="434"/>
      <c r="E16" s="434"/>
      <c r="F16" s="434"/>
      <c r="G16" s="434"/>
      <c r="H16" s="434"/>
      <c r="I16" s="434"/>
      <c r="J16" s="434"/>
      <c r="K16" s="434"/>
      <c r="L16" s="434"/>
      <c r="M16" s="148"/>
      <c r="N16" s="434"/>
      <c r="O16" s="434"/>
      <c r="P16" s="434"/>
      <c r="Q16" s="434"/>
      <c r="R16" s="174"/>
    </row>
    <row r="17" spans="1:19" s="18" customFormat="1" ht="15" customHeight="1">
      <c r="A17" s="736" t="s">
        <v>74</v>
      </c>
      <c r="B17" s="751">
        <f>Target!P35</f>
        <v>6800</v>
      </c>
      <c r="C17" s="751">
        <f>Target!P35</f>
        <v>6800</v>
      </c>
      <c r="D17" s="751">
        <f>Target!P35</f>
        <v>6800</v>
      </c>
      <c r="E17" s="752"/>
      <c r="F17" s="757">
        <f>Target!P44</f>
        <v>6800</v>
      </c>
      <c r="G17" s="757">
        <f>Target!P44</f>
        <v>6800</v>
      </c>
      <c r="H17" s="757">
        <f>Target!P44</f>
        <v>6800</v>
      </c>
      <c r="I17" s="752"/>
      <c r="J17" s="757">
        <f>Target!P54</f>
        <v>6800</v>
      </c>
      <c r="K17" s="757">
        <f>Target!P54</f>
        <v>6800</v>
      </c>
      <c r="L17" s="757">
        <f>Target!P54</f>
        <v>6800</v>
      </c>
      <c r="M17" s="752"/>
      <c r="N17" s="757">
        <f>Target!P63</f>
        <v>6800</v>
      </c>
      <c r="O17" s="757">
        <f>Target!P63</f>
        <v>6800</v>
      </c>
      <c r="P17" s="757">
        <f>Target!P63</f>
        <v>6800</v>
      </c>
      <c r="Q17" s="159"/>
      <c r="R17" s="98"/>
    </row>
    <row r="18" spans="1:19" s="18" customFormat="1" ht="15" customHeight="1">
      <c r="A18" s="736" t="s">
        <v>241</v>
      </c>
      <c r="B18" s="751">
        <f>B17*15%</f>
        <v>1020</v>
      </c>
      <c r="C18" s="751">
        <f t="shared" ref="C18:D18" si="8">C17*15%</f>
        <v>1020</v>
      </c>
      <c r="D18" s="751">
        <f t="shared" si="8"/>
        <v>1020</v>
      </c>
      <c r="E18" s="752"/>
      <c r="F18" s="751">
        <f>F17*15%</f>
        <v>1020</v>
      </c>
      <c r="G18" s="751">
        <f t="shared" ref="G18:H18" si="9">G17*15%</f>
        <v>1020</v>
      </c>
      <c r="H18" s="751">
        <f t="shared" si="9"/>
        <v>1020</v>
      </c>
      <c r="I18" s="752"/>
      <c r="J18" s="751">
        <f>J17*15%</f>
        <v>1020</v>
      </c>
      <c r="K18" s="751">
        <f t="shared" ref="K18:L18" si="10">K17*15%</f>
        <v>1020</v>
      </c>
      <c r="L18" s="751">
        <f t="shared" si="10"/>
        <v>1020</v>
      </c>
      <c r="M18" s="752"/>
      <c r="N18" s="751">
        <f>N17*15%</f>
        <v>1020</v>
      </c>
      <c r="O18" s="751">
        <f t="shared" ref="O18:P18" si="11">O17*15%</f>
        <v>1020</v>
      </c>
      <c r="P18" s="751">
        <f t="shared" si="11"/>
        <v>1020</v>
      </c>
      <c r="Q18" s="159"/>
      <c r="R18" s="98"/>
    </row>
    <row r="19" spans="1:19" s="14" customFormat="1" ht="15" customHeight="1">
      <c r="A19" s="54" t="s">
        <v>203</v>
      </c>
      <c r="B19" s="97">
        <f>Target!O35</f>
        <v>7000</v>
      </c>
      <c r="C19" s="97">
        <f>Target!O35</f>
        <v>7000</v>
      </c>
      <c r="D19" s="97">
        <f>Target!O35</f>
        <v>7000</v>
      </c>
      <c r="E19" s="159"/>
      <c r="F19" s="97">
        <f>Target!O40</f>
        <v>10266.666666666666</v>
      </c>
      <c r="G19" s="97">
        <f>Target!O40</f>
        <v>10266.666666666666</v>
      </c>
      <c r="H19" s="97">
        <f>Target!O40</f>
        <v>10266.666666666666</v>
      </c>
      <c r="I19" s="159"/>
      <c r="J19" s="97">
        <f>Target!O50</f>
        <v>7000</v>
      </c>
      <c r="K19" s="97">
        <f>Target!O50</f>
        <v>7000</v>
      </c>
      <c r="L19" s="97">
        <f>Target!O50</f>
        <v>7000</v>
      </c>
      <c r="M19" s="159"/>
      <c r="N19" s="97">
        <f>Target!O59</f>
        <v>7000</v>
      </c>
      <c r="O19" s="97">
        <f>Target!O59</f>
        <v>7000</v>
      </c>
      <c r="P19" s="97">
        <f>Target!O59</f>
        <v>7000</v>
      </c>
      <c r="Q19" s="681"/>
      <c r="R19" s="98"/>
      <c r="S19" s="18"/>
    </row>
    <row r="20" spans="1:19" s="14" customFormat="1" ht="15" customHeight="1">
      <c r="A20" s="680" t="s">
        <v>208</v>
      </c>
      <c r="B20" s="707">
        <f>Target!J35</f>
        <v>0.30476190476190479</v>
      </c>
      <c r="C20" s="707">
        <f>Target!J35</f>
        <v>0.30476190476190479</v>
      </c>
      <c r="D20" s="707">
        <f>Target!J35</f>
        <v>0.30476190476190479</v>
      </c>
      <c r="E20" s="681"/>
      <c r="F20" s="707">
        <f>Target!J44</f>
        <v>0.30439886628717699</v>
      </c>
      <c r="G20" s="707">
        <f>Target!J44</f>
        <v>0.30439886628717699</v>
      </c>
      <c r="H20" s="707">
        <f>Target!J44</f>
        <v>0.30439886628717699</v>
      </c>
      <c r="I20" s="681"/>
      <c r="J20" s="707">
        <f>Target!J54</f>
        <v>0.30515740611889791</v>
      </c>
      <c r="K20" s="707">
        <f>Target!J54</f>
        <v>0.30515740611889791</v>
      </c>
      <c r="L20" s="707">
        <f>Target!J54</f>
        <v>0.30515740611889791</v>
      </c>
      <c r="M20" s="681"/>
      <c r="N20" s="707">
        <f>Target!J63</f>
        <v>0.30499999999999999</v>
      </c>
      <c r="O20" s="707">
        <f>Target!J63</f>
        <v>0.30499999999999999</v>
      </c>
      <c r="P20" s="707">
        <f>Target!J63</f>
        <v>0.30499999999999999</v>
      </c>
      <c r="Q20" s="681"/>
      <c r="R20" s="98"/>
      <c r="S20" s="18"/>
    </row>
    <row r="21" spans="1:19" s="14" customFormat="1" ht="15" customHeight="1">
      <c r="A21" s="694" t="s">
        <v>204</v>
      </c>
      <c r="B21" s="698">
        <f>Target!N35</f>
        <v>8534.4</v>
      </c>
      <c r="C21" s="698">
        <f>Target!N35</f>
        <v>8534.4</v>
      </c>
      <c r="D21" s="698">
        <f>Target!N35</f>
        <v>8534.4</v>
      </c>
      <c r="E21" s="458"/>
      <c r="F21" s="698">
        <f>Target!N44</f>
        <v>9375.52</v>
      </c>
      <c r="G21" s="698">
        <f>Target!N44</f>
        <v>9375.52</v>
      </c>
      <c r="H21" s="698">
        <f>Target!N44</f>
        <v>9375.52</v>
      </c>
      <c r="I21" s="458"/>
      <c r="J21" s="698">
        <f>Target!N54</f>
        <v>8545.6</v>
      </c>
      <c r="K21" s="698">
        <f>Target!N54</f>
        <v>8545.6</v>
      </c>
      <c r="L21" s="698">
        <f>Target!N54</f>
        <v>8545.6</v>
      </c>
      <c r="M21" s="458"/>
      <c r="N21" s="698">
        <f>Target!N63</f>
        <v>8540</v>
      </c>
      <c r="O21" s="698">
        <f>Target!N63</f>
        <v>8540</v>
      </c>
      <c r="P21" s="698">
        <f>Target!N63</f>
        <v>8540</v>
      </c>
      <c r="Q21" s="692"/>
      <c r="R21" s="98"/>
      <c r="S21" s="18"/>
    </row>
    <row r="22" spans="1:19" s="18" customFormat="1" ht="15" customHeight="1">
      <c r="A22" s="17" t="s">
        <v>209</v>
      </c>
      <c r="B22" s="57">
        <f>B5</f>
        <v>76800</v>
      </c>
      <c r="C22" s="57">
        <f>C5</f>
        <v>162133.33333333331</v>
      </c>
      <c r="D22" s="57">
        <f>D5</f>
        <v>256000</v>
      </c>
      <c r="E22" s="160"/>
      <c r="F22" s="57">
        <f>F5</f>
        <v>84480</v>
      </c>
      <c r="G22" s="57">
        <f>G5</f>
        <v>178346.66666666669</v>
      </c>
      <c r="H22" s="57">
        <f>H5</f>
        <v>281600</v>
      </c>
      <c r="I22" s="160"/>
      <c r="J22" s="57">
        <f>J5</f>
        <v>84864</v>
      </c>
      <c r="K22" s="57">
        <f>K5</f>
        <v>179157.33333333331</v>
      </c>
      <c r="L22" s="57">
        <f>L5</f>
        <v>282880</v>
      </c>
      <c r="M22" s="160"/>
      <c r="N22" s="57">
        <f>N5</f>
        <v>84729.549000000014</v>
      </c>
      <c r="O22" s="57">
        <f>O5</f>
        <v>178873.49233333336</v>
      </c>
      <c r="P22" s="57">
        <f>P5</f>
        <v>282431.83000000007</v>
      </c>
      <c r="Q22" s="160"/>
      <c r="R22" s="100"/>
    </row>
    <row r="23" spans="1:19" s="18" customFormat="1" ht="15" customHeight="1">
      <c r="A23" s="699" t="s">
        <v>37</v>
      </c>
      <c r="B23" s="702">
        <f>B7</f>
        <v>95808.015599999999</v>
      </c>
      <c r="C23" s="702">
        <f>C7</f>
        <v>172244.11719999998</v>
      </c>
      <c r="D23" s="702">
        <f>D7</f>
        <v>202681.12109999999</v>
      </c>
      <c r="E23" s="703"/>
      <c r="F23" s="702">
        <f>F7</f>
        <v>0</v>
      </c>
      <c r="G23" s="702">
        <f>G7</f>
        <v>0</v>
      </c>
      <c r="H23" s="702">
        <f>H7</f>
        <v>0</v>
      </c>
      <c r="I23" s="703"/>
      <c r="J23" s="702">
        <f>J7</f>
        <v>0</v>
      </c>
      <c r="K23" s="702">
        <f>K7</f>
        <v>0</v>
      </c>
      <c r="L23" s="702">
        <f>L7</f>
        <v>0</v>
      </c>
      <c r="M23" s="703"/>
      <c r="N23" s="702">
        <f>N7</f>
        <v>0</v>
      </c>
      <c r="O23" s="702">
        <f>O7</f>
        <v>0</v>
      </c>
      <c r="P23" s="702">
        <f>P7</f>
        <v>0</v>
      </c>
      <c r="Q23" s="703"/>
      <c r="R23" s="105"/>
    </row>
    <row r="24" spans="1:19" s="18" customFormat="1" ht="15" customHeight="1">
      <c r="A24" s="17" t="s">
        <v>201</v>
      </c>
      <c r="B24" s="695">
        <f>B23/B22</f>
        <v>1.247500203125</v>
      </c>
      <c r="C24" s="695">
        <f>C23/C22</f>
        <v>1.0623609202302631</v>
      </c>
      <c r="D24" s="695">
        <f>D23/D22</f>
        <v>0.79172312929687494</v>
      </c>
      <c r="E24" s="696"/>
      <c r="F24" s="695">
        <f>F23/F22</f>
        <v>0</v>
      </c>
      <c r="G24" s="695">
        <f>G23/G22</f>
        <v>0</v>
      </c>
      <c r="H24" s="695">
        <f>H23/H22</f>
        <v>0</v>
      </c>
      <c r="I24" s="696"/>
      <c r="J24" s="695">
        <f>J23/J22</f>
        <v>0</v>
      </c>
      <c r="K24" s="695">
        <f>K23/K22</f>
        <v>0</v>
      </c>
      <c r="L24" s="695">
        <f>L23/L22</f>
        <v>0</v>
      </c>
      <c r="M24" s="696"/>
      <c r="N24" s="695">
        <f>N23/N22</f>
        <v>0</v>
      </c>
      <c r="O24" s="695">
        <f>O23/O22</f>
        <v>0</v>
      </c>
      <c r="P24" s="695">
        <f>P23/P22</f>
        <v>0</v>
      </c>
      <c r="Q24" s="696"/>
      <c r="R24" s="105"/>
    </row>
    <row r="25" spans="1:19" s="18" customFormat="1" ht="15" customHeight="1">
      <c r="A25" s="697" t="s">
        <v>60</v>
      </c>
      <c r="B25" s="698">
        <f>B21*0.35</f>
        <v>2987.0399999999995</v>
      </c>
      <c r="C25" s="698">
        <f>C21*0.35</f>
        <v>2987.0399999999995</v>
      </c>
      <c r="D25" s="698">
        <f>D21*0.35</f>
        <v>2987.0399999999995</v>
      </c>
      <c r="E25" s="458"/>
      <c r="F25" s="698">
        <f>F21*0.35</f>
        <v>3281.4319999999998</v>
      </c>
      <c r="G25" s="698">
        <f>G21*0.35</f>
        <v>3281.4319999999998</v>
      </c>
      <c r="H25" s="698">
        <f>H21*0.35</f>
        <v>3281.4319999999998</v>
      </c>
      <c r="I25" s="458"/>
      <c r="J25" s="698">
        <f>J21*0.35</f>
        <v>2990.96</v>
      </c>
      <c r="K25" s="698">
        <f>K21*0.35</f>
        <v>2990.96</v>
      </c>
      <c r="L25" s="698">
        <f>L21*0.35</f>
        <v>2990.96</v>
      </c>
      <c r="M25" s="458"/>
      <c r="N25" s="698">
        <f>N21*0.35</f>
        <v>2989</v>
      </c>
      <c r="O25" s="698">
        <f>O21*0.35</f>
        <v>2989</v>
      </c>
      <c r="P25" s="698">
        <f>P21*0.35</f>
        <v>2989</v>
      </c>
      <c r="Q25" s="458"/>
      <c r="R25" s="693"/>
    </row>
    <row r="26" spans="1:19" s="18" customFormat="1" ht="15" customHeight="1">
      <c r="A26" s="17" t="s">
        <v>53</v>
      </c>
      <c r="B26" s="57">
        <f>IF(B24&lt;80%,0,IF(B24&lt;90%,0.5,IF(B24&lt;95%,0.75,1)))</f>
        <v>1</v>
      </c>
      <c r="C26" s="57">
        <f>IF(C24&lt;80%,0,IF(C24&lt;90%,0.5,IF(C24&lt;95%,0.75,1)))</f>
        <v>1</v>
      </c>
      <c r="D26" s="57">
        <f>IF(D24&lt;80%,0,IF(D24&lt;90%,0.5,IF(D24&lt;95%,0.75,1)))</f>
        <v>0</v>
      </c>
      <c r="E26" s="160"/>
      <c r="F26" s="57">
        <f>IF(F24&lt;80%,0,IF(F24&lt;90%,0.5,IF(F24&lt;95%,0.75,1)))</f>
        <v>0</v>
      </c>
      <c r="G26" s="57">
        <f>IF(G24&lt;80%,0,IF(G24&lt;90%,0.5,IF(G24&lt;95%,0.75,1)))</f>
        <v>0</v>
      </c>
      <c r="H26" s="57">
        <f>IF(H24&lt;80%,0,IF(H24&lt;90%,0.5,IF(H24&lt;95%,0.75,1)))</f>
        <v>0</v>
      </c>
      <c r="I26" s="160"/>
      <c r="J26" s="57">
        <f>IF(J24&lt;80%,0,IF(J24&lt;90%,0.5,IF(J24&lt;95%,0.75,1)))</f>
        <v>0</v>
      </c>
      <c r="K26" s="57">
        <f>IF(K24&lt;80%,0,IF(K24&lt;90%,0.5,IF(K24&lt;95%,0.75,1)))</f>
        <v>0</v>
      </c>
      <c r="L26" s="57">
        <f>IF(L24&lt;80%,0,IF(L24&lt;90%,0.5,IF(L24&lt;95%,0.75,1)))</f>
        <v>0</v>
      </c>
      <c r="M26" s="160"/>
      <c r="N26" s="57">
        <f>IF(N24&lt;80%,0,IF(N24&lt;90%,0.5,IF(N24&lt;95%,0.75,1)))</f>
        <v>0</v>
      </c>
      <c r="O26" s="57">
        <f>IF(O24&lt;80%,0,IF(O24&lt;90%,0.5,IF(O24&lt;95%,0.75,1)))</f>
        <v>0</v>
      </c>
      <c r="P26" s="57">
        <f>IF(P24&lt;80%,0,IF(P24&lt;90%,0.5,IF(P24&lt;95%,0.75,1)))</f>
        <v>0</v>
      </c>
      <c r="Q26" s="160"/>
      <c r="R26" s="105"/>
    </row>
    <row r="27" spans="1:19" s="18" customFormat="1" ht="15" customHeight="1">
      <c r="A27" s="43" t="s">
        <v>54</v>
      </c>
      <c r="B27" s="58">
        <f>B26*B25</f>
        <v>2987.0399999999995</v>
      </c>
      <c r="C27" s="58">
        <f>C26*C25</f>
        <v>2987.0399999999995</v>
      </c>
      <c r="D27" s="58">
        <f>D26*D25</f>
        <v>0</v>
      </c>
      <c r="E27" s="164"/>
      <c r="F27" s="58">
        <f>F26*F25</f>
        <v>0</v>
      </c>
      <c r="G27" s="58">
        <f>G26*G25</f>
        <v>0</v>
      </c>
      <c r="H27" s="58">
        <f>H26*H25</f>
        <v>0</v>
      </c>
      <c r="I27" s="164"/>
      <c r="J27" s="58">
        <f>J26*J25</f>
        <v>0</v>
      </c>
      <c r="K27" s="58">
        <f>K26*K25</f>
        <v>0</v>
      </c>
      <c r="L27" s="58">
        <f>L26*L25</f>
        <v>0</v>
      </c>
      <c r="M27" s="164"/>
      <c r="N27" s="58">
        <f>N26*N25</f>
        <v>0</v>
      </c>
      <c r="O27" s="58">
        <f>O26*O25</f>
        <v>0</v>
      </c>
      <c r="P27" s="58">
        <f>P26*P25</f>
        <v>0</v>
      </c>
      <c r="Q27" s="164"/>
      <c r="R27" s="104"/>
    </row>
    <row r="28" spans="1:19" s="18" customFormat="1" ht="15" customHeight="1">
      <c r="A28" s="697" t="s">
        <v>59</v>
      </c>
      <c r="B28" s="698">
        <f>B19*0.05</f>
        <v>350</v>
      </c>
      <c r="C28" s="698">
        <f>C19*0.05</f>
        <v>350</v>
      </c>
      <c r="D28" s="698">
        <f>D19*0.05</f>
        <v>350</v>
      </c>
      <c r="E28" s="458"/>
      <c r="F28" s="698">
        <f>F19*0.05</f>
        <v>513.33333333333337</v>
      </c>
      <c r="G28" s="698">
        <f>G19*0.05</f>
        <v>513.33333333333337</v>
      </c>
      <c r="H28" s="698">
        <f>H19*0.05</f>
        <v>513.33333333333337</v>
      </c>
      <c r="I28" s="458"/>
      <c r="J28" s="698">
        <f>J19*0.05</f>
        <v>350</v>
      </c>
      <c r="K28" s="698">
        <f>K19*0.05</f>
        <v>350</v>
      </c>
      <c r="L28" s="698">
        <f>L19*0.05</f>
        <v>350</v>
      </c>
      <c r="M28" s="458"/>
      <c r="N28" s="698">
        <f>N19*0.05</f>
        <v>350</v>
      </c>
      <c r="O28" s="698">
        <f>O19*0.05</f>
        <v>350</v>
      </c>
      <c r="P28" s="698">
        <f>P19*0.05</f>
        <v>350</v>
      </c>
      <c r="Q28" s="458"/>
      <c r="R28" s="693"/>
    </row>
    <row r="29" spans="1:19" s="18" customFormat="1" ht="15" customHeight="1">
      <c r="A29" s="17" t="s">
        <v>62</v>
      </c>
      <c r="B29" s="57">
        <v>1</v>
      </c>
      <c r="C29" s="57">
        <v>1</v>
      </c>
      <c r="D29" s="57">
        <v>1</v>
      </c>
      <c r="E29" s="160"/>
      <c r="F29" s="57"/>
      <c r="G29" s="57"/>
      <c r="H29" s="57"/>
      <c r="I29" s="160"/>
      <c r="J29" s="57"/>
      <c r="K29" s="57"/>
      <c r="L29" s="57"/>
      <c r="M29" s="160"/>
      <c r="N29" s="57"/>
      <c r="O29" s="57"/>
      <c r="P29" s="57"/>
      <c r="Q29" s="160"/>
      <c r="R29" s="105"/>
    </row>
    <row r="30" spans="1:19" s="19" customFormat="1" ht="15" customHeight="1">
      <c r="A30" s="48" t="s">
        <v>63</v>
      </c>
      <c r="B30" s="58">
        <f>B29*B28</f>
        <v>350</v>
      </c>
      <c r="C30" s="58">
        <f>C29*C28</f>
        <v>350</v>
      </c>
      <c r="D30" s="58">
        <f>D29*D28</f>
        <v>350</v>
      </c>
      <c r="E30" s="164"/>
      <c r="F30" s="58">
        <f>F29*F28</f>
        <v>0</v>
      </c>
      <c r="G30" s="58">
        <f>G29*G28</f>
        <v>0</v>
      </c>
      <c r="H30" s="58">
        <f>H29*H28</f>
        <v>0</v>
      </c>
      <c r="I30" s="164"/>
      <c r="J30" s="58">
        <f>J29*J28</f>
        <v>0</v>
      </c>
      <c r="K30" s="58">
        <f>K29*K28</f>
        <v>0</v>
      </c>
      <c r="L30" s="58">
        <f>L29*L28</f>
        <v>0</v>
      </c>
      <c r="M30" s="164"/>
      <c r="N30" s="58">
        <f>N29*N28</f>
        <v>0</v>
      </c>
      <c r="O30" s="58">
        <f>O29*O28</f>
        <v>0</v>
      </c>
      <c r="P30" s="58">
        <f>P29*P28</f>
        <v>0</v>
      </c>
      <c r="Q30" s="164"/>
      <c r="R30" s="107"/>
      <c r="S30" s="13"/>
    </row>
    <row r="31" spans="1:19" s="19" customFormat="1" ht="15" customHeight="1">
      <c r="A31" s="753" t="s">
        <v>242</v>
      </c>
      <c r="B31" s="754">
        <f>B27+B30</f>
        <v>3337.0399999999995</v>
      </c>
      <c r="C31" s="754">
        <f t="shared" ref="C31:D31" si="12">C27+C30</f>
        <v>3337.0399999999995</v>
      </c>
      <c r="D31" s="754">
        <f t="shared" si="12"/>
        <v>350</v>
      </c>
      <c r="E31" s="755"/>
      <c r="F31" s="754">
        <f>F27+F30</f>
        <v>0</v>
      </c>
      <c r="G31" s="754">
        <f t="shared" ref="G31:H31" si="13">G27+G30</f>
        <v>0</v>
      </c>
      <c r="H31" s="754">
        <f t="shared" si="13"/>
        <v>0</v>
      </c>
      <c r="I31" s="755"/>
      <c r="J31" s="754">
        <f>J27+J30</f>
        <v>0</v>
      </c>
      <c r="K31" s="754">
        <f t="shared" ref="K31:L31" si="14">K27+K30</f>
        <v>0</v>
      </c>
      <c r="L31" s="754">
        <f t="shared" si="14"/>
        <v>0</v>
      </c>
      <c r="M31" s="755"/>
      <c r="N31" s="754">
        <f>N27+N30</f>
        <v>0</v>
      </c>
      <c r="O31" s="754">
        <f t="shared" ref="O31:P31" si="15">O27+O30</f>
        <v>0</v>
      </c>
      <c r="P31" s="754">
        <f t="shared" si="15"/>
        <v>0</v>
      </c>
      <c r="Q31" s="166"/>
      <c r="R31" s="107"/>
      <c r="S31" s="13"/>
    </row>
    <row r="32" spans="1:19" s="19" customFormat="1" ht="15" customHeight="1">
      <c r="A32" s="694" t="s">
        <v>222</v>
      </c>
      <c r="B32" s="698">
        <v>2266</v>
      </c>
      <c r="C32" s="698">
        <v>2266</v>
      </c>
      <c r="D32" s="698">
        <v>2266</v>
      </c>
      <c r="E32" s="164"/>
      <c r="F32" s="698">
        <v>2266</v>
      </c>
      <c r="G32" s="698">
        <v>2266</v>
      </c>
      <c r="H32" s="698">
        <v>2266</v>
      </c>
      <c r="I32" s="164"/>
      <c r="J32" s="698">
        <v>2266</v>
      </c>
      <c r="K32" s="698">
        <v>2266</v>
      </c>
      <c r="L32" s="698">
        <v>2266</v>
      </c>
      <c r="M32" s="164"/>
      <c r="N32" s="698">
        <v>2266</v>
      </c>
      <c r="O32" s="698">
        <v>2266</v>
      </c>
      <c r="P32" s="698">
        <v>2266</v>
      </c>
      <c r="Q32" s="164"/>
      <c r="R32" s="107"/>
      <c r="S32" s="13"/>
    </row>
    <row r="33" spans="1:19" s="19" customFormat="1" ht="15" customHeight="1">
      <c r="A33" s="99" t="s">
        <v>223</v>
      </c>
      <c r="B33" s="57">
        <v>1</v>
      </c>
      <c r="C33" s="57">
        <v>1</v>
      </c>
      <c r="D33" s="57">
        <v>1</v>
      </c>
      <c r="E33" s="164"/>
      <c r="F33" s="57"/>
      <c r="G33" s="57"/>
      <c r="H33" s="57"/>
      <c r="I33" s="164"/>
      <c r="J33" s="57"/>
      <c r="K33" s="57"/>
      <c r="L33" s="57"/>
      <c r="M33" s="164"/>
      <c r="N33" s="57"/>
      <c r="O33" s="57"/>
      <c r="P33" s="57"/>
      <c r="Q33" s="164"/>
      <c r="R33" s="107"/>
      <c r="S33" s="13"/>
    </row>
    <row r="34" spans="1:19" s="35" customFormat="1" ht="15" customHeight="1" thickBot="1">
      <c r="A34" s="736" t="s">
        <v>214</v>
      </c>
      <c r="B34" s="58">
        <f>B33*B32</f>
        <v>2266</v>
      </c>
      <c r="C34" s="58">
        <f>C33*C32</f>
        <v>2266</v>
      </c>
      <c r="D34" s="58">
        <f>D33*D32</f>
        <v>2266</v>
      </c>
      <c r="E34" s="164"/>
      <c r="F34" s="58">
        <f>F33*F32</f>
        <v>0</v>
      </c>
      <c r="G34" s="58">
        <f>G33*G32</f>
        <v>0</v>
      </c>
      <c r="H34" s="58">
        <f>H33*H32</f>
        <v>0</v>
      </c>
      <c r="I34" s="164"/>
      <c r="J34" s="58">
        <f>J33*J32</f>
        <v>0</v>
      </c>
      <c r="K34" s="58">
        <f>K33*K32</f>
        <v>0</v>
      </c>
      <c r="L34" s="58">
        <f>L33*L32</f>
        <v>0</v>
      </c>
      <c r="M34" s="164"/>
      <c r="N34" s="58">
        <f>N33*N32</f>
        <v>0</v>
      </c>
      <c r="O34" s="58">
        <f>O33*O32</f>
        <v>0</v>
      </c>
      <c r="P34" s="58">
        <f>P33*P32</f>
        <v>0</v>
      </c>
      <c r="Q34" s="164"/>
      <c r="R34" s="108"/>
      <c r="S34" s="15"/>
    </row>
    <row r="35" spans="1:19" s="35" customFormat="1" ht="15" customHeight="1" thickBot="1">
      <c r="A35" s="766" t="s">
        <v>243</v>
      </c>
      <c r="B35" s="767">
        <f>B18+B27+B30+B34</f>
        <v>6623.0399999999991</v>
      </c>
      <c r="C35" s="767">
        <f t="shared" ref="C35:D35" si="16">C18+C27+C30+C34</f>
        <v>6623.0399999999991</v>
      </c>
      <c r="D35" s="767">
        <f t="shared" si="16"/>
        <v>3636</v>
      </c>
      <c r="E35" s="768"/>
      <c r="F35" s="767">
        <f t="shared" ref="F35:H35" si="17">F18+F27+F30+F34</f>
        <v>1020</v>
      </c>
      <c r="G35" s="767">
        <f t="shared" si="17"/>
        <v>1020</v>
      </c>
      <c r="H35" s="767">
        <f t="shared" si="17"/>
        <v>1020</v>
      </c>
      <c r="I35" s="768"/>
      <c r="J35" s="767">
        <f t="shared" ref="J35:L35" si="18">J18+J27+J30+J34</f>
        <v>1020</v>
      </c>
      <c r="K35" s="767">
        <f t="shared" si="18"/>
        <v>1020</v>
      </c>
      <c r="L35" s="767">
        <f t="shared" si="18"/>
        <v>1020</v>
      </c>
      <c r="M35" s="768"/>
      <c r="N35" s="767">
        <f t="shared" ref="N35:P35" si="19">N18+N27+N30+N34</f>
        <v>1020</v>
      </c>
      <c r="O35" s="767">
        <f t="shared" si="19"/>
        <v>1020</v>
      </c>
      <c r="P35" s="767">
        <f t="shared" si="19"/>
        <v>1020</v>
      </c>
      <c r="Q35" s="769"/>
      <c r="R35" s="108"/>
      <c r="S35" s="15"/>
    </row>
    <row r="36" spans="1:19" s="18" customFormat="1" ht="15" customHeight="1">
      <c r="A36" s="99" t="s">
        <v>115</v>
      </c>
      <c r="B36" s="774">
        <f>D5</f>
        <v>256000</v>
      </c>
      <c r="C36" s="775"/>
      <c r="D36" s="775"/>
      <c r="E36" s="776"/>
      <c r="F36" s="774">
        <f>H5</f>
        <v>281600</v>
      </c>
      <c r="G36" s="775"/>
      <c r="H36" s="775"/>
      <c r="I36" s="776"/>
      <c r="J36" s="774">
        <f>L5</f>
        <v>282880</v>
      </c>
      <c r="K36" s="775"/>
      <c r="L36" s="775"/>
      <c r="M36" s="776"/>
      <c r="N36" s="774">
        <f>P5</f>
        <v>282431.83000000007</v>
      </c>
      <c r="O36" s="775"/>
      <c r="P36" s="775"/>
      <c r="Q36" s="776"/>
      <c r="R36" s="693"/>
    </row>
    <row r="37" spans="1:19" s="18" customFormat="1" ht="15" customHeight="1">
      <c r="A37" s="99" t="s">
        <v>69</v>
      </c>
      <c r="B37" s="774">
        <f>D7</f>
        <v>202681.12109999999</v>
      </c>
      <c r="C37" s="775"/>
      <c r="D37" s="775"/>
      <c r="E37" s="776"/>
      <c r="F37" s="774">
        <f>H7</f>
        <v>0</v>
      </c>
      <c r="G37" s="775"/>
      <c r="H37" s="775"/>
      <c r="I37" s="776"/>
      <c r="J37" s="774">
        <f>L7</f>
        <v>0</v>
      </c>
      <c r="K37" s="775"/>
      <c r="L37" s="775"/>
      <c r="M37" s="776"/>
      <c r="N37" s="774">
        <f>P7</f>
        <v>0</v>
      </c>
      <c r="O37" s="775"/>
      <c r="P37" s="775"/>
      <c r="Q37" s="776"/>
      <c r="R37" s="693"/>
    </row>
    <row r="38" spans="1:19" s="18" customFormat="1" ht="15" customHeight="1">
      <c r="A38" s="99" t="s">
        <v>68</v>
      </c>
      <c r="B38" s="783">
        <f>B37/B36</f>
        <v>0.79172312929687494</v>
      </c>
      <c r="C38" s="784"/>
      <c r="D38" s="784"/>
      <c r="E38" s="776"/>
      <c r="F38" s="783">
        <f>F37/F36</f>
        <v>0</v>
      </c>
      <c r="G38" s="784"/>
      <c r="H38" s="784"/>
      <c r="I38" s="776"/>
      <c r="J38" s="783">
        <f>J37/J36</f>
        <v>0</v>
      </c>
      <c r="K38" s="784"/>
      <c r="L38" s="784"/>
      <c r="M38" s="776"/>
      <c r="N38" s="783">
        <f>N37/N36</f>
        <v>0</v>
      </c>
      <c r="O38" s="784"/>
      <c r="P38" s="784"/>
      <c r="Q38" s="776"/>
      <c r="R38" s="693"/>
    </row>
    <row r="39" spans="1:19" s="18" customFormat="1" ht="15" customHeight="1">
      <c r="A39" s="99" t="s">
        <v>65</v>
      </c>
      <c r="B39" s="774">
        <f>D19</f>
        <v>7000</v>
      </c>
      <c r="C39" s="775"/>
      <c r="D39" s="775"/>
      <c r="E39" s="776"/>
      <c r="F39" s="774">
        <f>H19</f>
        <v>10266.666666666666</v>
      </c>
      <c r="G39" s="775"/>
      <c r="H39" s="775"/>
      <c r="I39" s="776"/>
      <c r="J39" s="774">
        <f>L19</f>
        <v>7000</v>
      </c>
      <c r="K39" s="775"/>
      <c r="L39" s="775"/>
      <c r="M39" s="776"/>
      <c r="N39" s="774">
        <f>P19</f>
        <v>7000</v>
      </c>
      <c r="O39" s="775"/>
      <c r="P39" s="775"/>
      <c r="Q39" s="776"/>
      <c r="R39" s="693"/>
    </row>
    <row r="40" spans="1:19" s="18" customFormat="1" ht="15" customHeight="1">
      <c r="A40" s="694" t="s">
        <v>66</v>
      </c>
      <c r="B40" s="774">
        <f>IF(B38&lt;100%,0,IF(B38&lt;105%,0.5,IF(B38&lt;110%,0.7,1)))</f>
        <v>0</v>
      </c>
      <c r="C40" s="775"/>
      <c r="D40" s="775"/>
      <c r="E40" s="776"/>
      <c r="F40" s="774">
        <f>IF(F38&lt;100%,0,IF(F38&lt;105%,0.5,IF(F38&lt;110%,0.7,1)))</f>
        <v>0</v>
      </c>
      <c r="G40" s="775"/>
      <c r="H40" s="775"/>
      <c r="I40" s="776"/>
      <c r="J40" s="774">
        <f>IF(J38&lt;100%,0,IF(J38&lt;105%,0.5,IF(J38&lt;110%,0.7,1)))</f>
        <v>0</v>
      </c>
      <c r="K40" s="775"/>
      <c r="L40" s="775"/>
      <c r="M40" s="776"/>
      <c r="N40" s="774">
        <f>IF(N38&lt;100%,0,IF(N38&lt;105%,0.5,IF(N38&lt;110%,0.7,1)))</f>
        <v>0</v>
      </c>
      <c r="O40" s="775"/>
      <c r="P40" s="775"/>
      <c r="Q40" s="776"/>
      <c r="R40" s="693"/>
    </row>
    <row r="41" spans="1:19" s="18" customFormat="1" ht="15" customHeight="1">
      <c r="A41" s="694" t="s">
        <v>64</v>
      </c>
      <c r="B41" s="774">
        <f>B40*B39</f>
        <v>0</v>
      </c>
      <c r="C41" s="775"/>
      <c r="D41" s="775"/>
      <c r="E41" s="776"/>
      <c r="F41" s="774">
        <f>F40*F39</f>
        <v>0</v>
      </c>
      <c r="G41" s="775"/>
      <c r="H41" s="775"/>
      <c r="I41" s="776"/>
      <c r="J41" s="774">
        <f>J40*J39</f>
        <v>0</v>
      </c>
      <c r="K41" s="775"/>
      <c r="L41" s="775"/>
      <c r="M41" s="776"/>
      <c r="N41" s="774">
        <f>N40*N39</f>
        <v>0</v>
      </c>
      <c r="O41" s="775"/>
      <c r="P41" s="775"/>
      <c r="Q41" s="776"/>
      <c r="R41" s="693"/>
    </row>
    <row r="42" spans="1:19" s="18" customFormat="1" ht="15" customHeight="1" thickBot="1">
      <c r="A42" s="46"/>
      <c r="B42" s="47"/>
      <c r="C42" s="47"/>
      <c r="D42" s="47"/>
      <c r="E42" s="113"/>
      <c r="F42" s="47"/>
      <c r="G42" s="47"/>
      <c r="H42" s="47"/>
      <c r="I42" s="113"/>
      <c r="J42" s="47"/>
      <c r="K42" s="47"/>
      <c r="L42" s="47"/>
      <c r="M42" s="113"/>
      <c r="N42" s="47"/>
      <c r="O42" s="47"/>
      <c r="P42" s="47"/>
      <c r="Q42" s="113"/>
      <c r="R42" s="114"/>
      <c r="S42" s="30"/>
    </row>
    <row r="43" spans="1:19" ht="13.8" thickBot="1">
      <c r="A43" s="272" t="s">
        <v>91</v>
      </c>
      <c r="B43" s="283" t="s">
        <v>1</v>
      </c>
      <c r="C43" s="283" t="s">
        <v>2</v>
      </c>
      <c r="D43" s="283" t="s">
        <v>3</v>
      </c>
      <c r="E43" s="281" t="s">
        <v>93</v>
      </c>
      <c r="F43" s="283" t="s">
        <v>4</v>
      </c>
      <c r="G43" s="283" t="s">
        <v>5</v>
      </c>
      <c r="H43" s="283" t="s">
        <v>6</v>
      </c>
      <c r="I43" s="281" t="s">
        <v>93</v>
      </c>
      <c r="J43" s="283" t="s">
        <v>7</v>
      </c>
      <c r="K43" s="283" t="s">
        <v>8</v>
      </c>
      <c r="L43" s="283" t="s">
        <v>9</v>
      </c>
      <c r="M43" s="281" t="s">
        <v>93</v>
      </c>
      <c r="N43" s="283" t="s">
        <v>92</v>
      </c>
      <c r="O43" s="283" t="s">
        <v>11</v>
      </c>
      <c r="P43" s="283" t="s">
        <v>12</v>
      </c>
      <c r="Q43" s="281" t="s">
        <v>93</v>
      </c>
      <c r="R43" s="281" t="s">
        <v>93</v>
      </c>
    </row>
    <row r="44" spans="1:19" ht="13.8" thickTop="1">
      <c r="A44" s="273" t="s">
        <v>94</v>
      </c>
      <c r="B44" s="129"/>
      <c r="C44" s="129"/>
      <c r="D44" s="129"/>
      <c r="E44" s="282">
        <f>SUM(B44:D44)</f>
        <v>0</v>
      </c>
      <c r="F44" s="129"/>
      <c r="G44" s="129"/>
      <c r="H44" s="129"/>
      <c r="I44" s="282">
        <f>SUM(F44:H44)</f>
        <v>0</v>
      </c>
      <c r="J44" s="129"/>
      <c r="K44" s="129"/>
      <c r="L44" s="129"/>
      <c r="M44" s="282">
        <f>SUM(J44:L44)</f>
        <v>0</v>
      </c>
      <c r="N44" s="129"/>
      <c r="O44" s="129"/>
      <c r="P44" s="403"/>
      <c r="Q44" s="282">
        <f>SUM(N44:P44)</f>
        <v>0</v>
      </c>
      <c r="R44" s="282">
        <f>I44+M44+Q44+E44</f>
        <v>0</v>
      </c>
      <c r="S44" s="50"/>
    </row>
    <row r="45" spans="1:19">
      <c r="A45" s="274" t="s">
        <v>95</v>
      </c>
      <c r="B45" s="130"/>
      <c r="C45" s="130"/>
      <c r="D45" s="130"/>
      <c r="E45" s="170"/>
      <c r="F45" s="130"/>
      <c r="G45" s="130"/>
      <c r="H45" s="130"/>
      <c r="I45" s="170"/>
      <c r="J45" s="130"/>
      <c r="K45" s="130"/>
      <c r="L45" s="130"/>
      <c r="M45" s="170"/>
      <c r="N45" s="130"/>
      <c r="O45" s="130"/>
      <c r="P45" s="400"/>
      <c r="Q45" s="170"/>
      <c r="R45" s="170"/>
      <c r="S45" s="50"/>
    </row>
    <row r="46" spans="1:19">
      <c r="A46" s="274" t="s">
        <v>96</v>
      </c>
      <c r="B46" s="130"/>
      <c r="C46" s="130"/>
      <c r="D46" s="130"/>
      <c r="E46" s="170"/>
      <c r="F46" s="130"/>
      <c r="G46" s="130"/>
      <c r="H46" s="130"/>
      <c r="I46" s="170"/>
      <c r="J46" s="130"/>
      <c r="K46" s="130"/>
      <c r="L46" s="130"/>
      <c r="M46" s="170"/>
      <c r="N46" s="130"/>
      <c r="O46" s="130"/>
      <c r="P46" s="400"/>
      <c r="Q46" s="170"/>
      <c r="R46" s="170"/>
      <c r="S46" s="50"/>
    </row>
    <row r="47" spans="1:19">
      <c r="A47" s="274" t="s">
        <v>125</v>
      </c>
      <c r="B47" s="130"/>
      <c r="C47" s="130"/>
      <c r="D47" s="130"/>
      <c r="E47" s="170"/>
      <c r="F47" s="130"/>
      <c r="G47" s="130"/>
      <c r="H47" s="130"/>
      <c r="I47" s="170"/>
      <c r="J47" s="130"/>
      <c r="K47" s="130"/>
      <c r="L47" s="130"/>
      <c r="M47" s="170"/>
      <c r="N47" s="130"/>
      <c r="O47" s="130"/>
      <c r="P47" s="400"/>
      <c r="Q47" s="170"/>
      <c r="R47" s="170"/>
      <c r="S47" s="50"/>
    </row>
    <row r="48" spans="1:19">
      <c r="A48" s="274" t="s">
        <v>97</v>
      </c>
      <c r="B48" s="324"/>
      <c r="C48" s="324"/>
      <c r="D48" s="324"/>
      <c r="E48" s="171"/>
      <c r="F48" s="324"/>
      <c r="G48" s="324"/>
      <c r="H48" s="324"/>
      <c r="I48" s="171"/>
      <c r="J48" s="324"/>
      <c r="K48" s="324"/>
      <c r="L48" s="324"/>
      <c r="M48" s="171"/>
      <c r="N48" s="324"/>
      <c r="O48" s="324"/>
      <c r="P48" s="409"/>
      <c r="Q48" s="171"/>
      <c r="R48" s="171"/>
      <c r="S48" s="50"/>
    </row>
    <row r="49" spans="1:19" ht="13.8" thickBot="1">
      <c r="A49" s="275" t="s">
        <v>98</v>
      </c>
      <c r="B49" s="131"/>
      <c r="C49" s="131"/>
      <c r="D49" s="131"/>
      <c r="E49" s="282">
        <f t="shared" ref="E49:E50" si="20">SUM(B49:D49)</f>
        <v>0</v>
      </c>
      <c r="F49" s="131"/>
      <c r="G49" s="131"/>
      <c r="H49" s="131"/>
      <c r="I49" s="282">
        <f t="shared" ref="I49:I50" si="21">SUM(F49:H49)</f>
        <v>0</v>
      </c>
      <c r="J49" s="131"/>
      <c r="K49" s="131"/>
      <c r="L49" s="131"/>
      <c r="M49" s="282">
        <f t="shared" ref="M49:M50" si="22">SUM(J49:L49)</f>
        <v>0</v>
      </c>
      <c r="N49" s="131"/>
      <c r="O49" s="131"/>
      <c r="P49" s="404"/>
      <c r="Q49" s="282">
        <f>SUM(N49:P49)</f>
        <v>0</v>
      </c>
      <c r="R49" s="282">
        <f>I49+M49+Q49+E49</f>
        <v>0</v>
      </c>
      <c r="S49" s="50"/>
    </row>
    <row r="50" spans="1:19" ht="13.8" thickTop="1">
      <c r="A50" s="276" t="s">
        <v>126</v>
      </c>
      <c r="B50" s="132"/>
      <c r="C50" s="132"/>
      <c r="D50" s="132"/>
      <c r="E50" s="282">
        <f t="shared" si="20"/>
        <v>0</v>
      </c>
      <c r="F50" s="132"/>
      <c r="G50" s="132"/>
      <c r="H50" s="132"/>
      <c r="I50" s="282">
        <f t="shared" si="21"/>
        <v>0</v>
      </c>
      <c r="J50" s="132"/>
      <c r="K50" s="132"/>
      <c r="L50" s="132"/>
      <c r="M50" s="282">
        <f t="shared" si="22"/>
        <v>0</v>
      </c>
      <c r="N50" s="132"/>
      <c r="O50" s="132"/>
      <c r="P50" s="405"/>
      <c r="Q50" s="282">
        <f>SUM(N50:P50)</f>
        <v>0</v>
      </c>
      <c r="R50" s="282">
        <f>I50+M50+Q50+E50</f>
        <v>0</v>
      </c>
      <c r="S50" s="50"/>
    </row>
    <row r="51" spans="1:19">
      <c r="A51" s="274" t="s">
        <v>99</v>
      </c>
      <c r="B51" s="130"/>
      <c r="C51" s="130"/>
      <c r="D51" s="130"/>
      <c r="E51" s="172"/>
      <c r="F51" s="130"/>
      <c r="G51" s="130"/>
      <c r="H51" s="130"/>
      <c r="I51" s="172"/>
      <c r="J51" s="130"/>
      <c r="K51" s="130"/>
      <c r="L51" s="130"/>
      <c r="M51" s="172"/>
      <c r="N51" s="130"/>
      <c r="O51" s="130"/>
      <c r="P51" s="400"/>
      <c r="Q51" s="172"/>
      <c r="R51" s="172"/>
      <c r="S51" s="50"/>
    </row>
    <row r="52" spans="1:19">
      <c r="A52" s="274" t="s">
        <v>100</v>
      </c>
      <c r="B52" s="130"/>
      <c r="C52" s="130"/>
      <c r="D52" s="130"/>
      <c r="E52" s="282">
        <f t="shared" ref="E52:E56" si="23">SUM(B52:D52)</f>
        <v>0</v>
      </c>
      <c r="F52" s="130"/>
      <c r="G52" s="130"/>
      <c r="H52" s="130"/>
      <c r="I52" s="282">
        <f t="shared" ref="I52:I56" si="24">SUM(F52:H52)</f>
        <v>0</v>
      </c>
      <c r="J52" s="130"/>
      <c r="K52" s="130"/>
      <c r="L52" s="130"/>
      <c r="M52" s="282">
        <f t="shared" ref="M52:M56" si="25">SUM(J52:L52)</f>
        <v>0</v>
      </c>
      <c r="N52" s="130"/>
      <c r="O52" s="130"/>
      <c r="P52" s="400"/>
      <c r="Q52" s="282">
        <f>SUM(N52:P52)</f>
        <v>0</v>
      </c>
      <c r="R52" s="282">
        <f>I52+M52+Q52+E52</f>
        <v>0</v>
      </c>
      <c r="S52" s="50"/>
    </row>
    <row r="53" spans="1:19" ht="13.8" thickBot="1">
      <c r="A53" s="277" t="s">
        <v>101</v>
      </c>
      <c r="B53" s="133"/>
      <c r="C53" s="133"/>
      <c r="D53" s="133"/>
      <c r="E53" s="282">
        <f t="shared" si="23"/>
        <v>0</v>
      </c>
      <c r="F53" s="133"/>
      <c r="G53" s="133"/>
      <c r="H53" s="133"/>
      <c r="I53" s="282">
        <f t="shared" si="24"/>
        <v>0</v>
      </c>
      <c r="J53" s="133"/>
      <c r="K53" s="133"/>
      <c r="L53" s="133"/>
      <c r="M53" s="282">
        <f t="shared" si="25"/>
        <v>0</v>
      </c>
      <c r="N53" s="133"/>
      <c r="O53" s="133"/>
      <c r="P53" s="406"/>
      <c r="Q53" s="282">
        <f>SUM(N53:P53)</f>
        <v>0</v>
      </c>
      <c r="R53" s="282">
        <f>I53+M53+Q53+E53</f>
        <v>0</v>
      </c>
      <c r="S53" s="50"/>
    </row>
    <row r="54" spans="1:19" ht="13.8" thickTop="1">
      <c r="A54" s="273" t="s">
        <v>173</v>
      </c>
      <c r="B54" s="129"/>
      <c r="C54" s="129"/>
      <c r="D54" s="129"/>
      <c r="E54" s="282">
        <f t="shared" si="23"/>
        <v>0</v>
      </c>
      <c r="F54" s="129"/>
      <c r="G54" s="129"/>
      <c r="H54" s="129"/>
      <c r="I54" s="282">
        <f t="shared" si="24"/>
        <v>0</v>
      </c>
      <c r="J54" s="129"/>
      <c r="K54" s="129"/>
      <c r="L54" s="129"/>
      <c r="M54" s="282">
        <f t="shared" si="25"/>
        <v>0</v>
      </c>
      <c r="N54" s="129"/>
      <c r="O54" s="129"/>
      <c r="P54" s="403"/>
      <c r="Q54" s="282">
        <f>SUM(N54:P54)</f>
        <v>0</v>
      </c>
      <c r="R54" s="282">
        <f>I54+M54+Q54+E54</f>
        <v>0</v>
      </c>
      <c r="S54" s="50"/>
    </row>
    <row r="55" spans="1:19" ht="13.8" thickBot="1">
      <c r="A55" s="275" t="s">
        <v>102</v>
      </c>
      <c r="B55" s="131"/>
      <c r="C55" s="131"/>
      <c r="D55" s="131"/>
      <c r="E55" s="282">
        <f t="shared" si="23"/>
        <v>0</v>
      </c>
      <c r="F55" s="131"/>
      <c r="G55" s="131"/>
      <c r="H55" s="131"/>
      <c r="I55" s="282">
        <f t="shared" si="24"/>
        <v>0</v>
      </c>
      <c r="J55" s="131"/>
      <c r="K55" s="131"/>
      <c r="L55" s="131"/>
      <c r="M55" s="282">
        <f t="shared" si="25"/>
        <v>0</v>
      </c>
      <c r="N55" s="131"/>
      <c r="O55" s="131"/>
      <c r="P55" s="404"/>
      <c r="Q55" s="282">
        <f>SUM(N55:P55)</f>
        <v>0</v>
      </c>
      <c r="R55" s="282">
        <f>I55+M55+Q55+E55</f>
        <v>0</v>
      </c>
      <c r="S55" s="50"/>
    </row>
    <row r="56" spans="1:19" ht="14.4" thickTop="1" thickBot="1">
      <c r="A56" s="275" t="s">
        <v>103</v>
      </c>
      <c r="B56" s="131"/>
      <c r="C56" s="131"/>
      <c r="D56" s="131"/>
      <c r="E56" s="282">
        <f t="shared" si="23"/>
        <v>0</v>
      </c>
      <c r="F56" s="131"/>
      <c r="G56" s="131"/>
      <c r="H56" s="131"/>
      <c r="I56" s="282">
        <f t="shared" si="24"/>
        <v>0</v>
      </c>
      <c r="J56" s="131"/>
      <c r="K56" s="131"/>
      <c r="L56" s="131"/>
      <c r="M56" s="282">
        <f t="shared" si="25"/>
        <v>0</v>
      </c>
      <c r="N56" s="131"/>
      <c r="O56" s="131"/>
      <c r="P56" s="404"/>
      <c r="Q56" s="282">
        <f>SUM(N56:P56)</f>
        <v>0</v>
      </c>
      <c r="R56" s="282">
        <f>I56+M56+Q56+E56</f>
        <v>0</v>
      </c>
      <c r="S56" s="50"/>
    </row>
    <row r="57" spans="1:19" ht="13.8" thickTop="1">
      <c r="A57" s="278" t="s">
        <v>104</v>
      </c>
      <c r="B57" s="135"/>
      <c r="C57" s="135"/>
      <c r="D57" s="135"/>
      <c r="E57" s="128"/>
      <c r="F57" s="135"/>
      <c r="G57" s="135"/>
      <c r="H57" s="135"/>
      <c r="I57" s="128"/>
      <c r="J57" s="135"/>
      <c r="K57" s="135"/>
      <c r="L57" s="168"/>
      <c r="M57" s="128"/>
      <c r="N57" s="135"/>
      <c r="O57" s="135"/>
      <c r="P57" s="407"/>
      <c r="Q57" s="128"/>
      <c r="R57" s="128"/>
      <c r="S57" s="50"/>
    </row>
    <row r="58" spans="1:19">
      <c r="A58" s="279" t="s">
        <v>105</v>
      </c>
      <c r="B58" s="136"/>
      <c r="C58" s="136"/>
      <c r="D58" s="136"/>
      <c r="E58" s="282">
        <f t="shared" ref="E58:E60" si="26">SUM(B58:D58)</f>
        <v>0</v>
      </c>
      <c r="F58" s="136"/>
      <c r="G58" s="136"/>
      <c r="H58" s="136"/>
      <c r="I58" s="282">
        <f t="shared" ref="I58:I60" si="27">SUM(F58:H58)</f>
        <v>0</v>
      </c>
      <c r="J58" s="136"/>
      <c r="K58" s="136"/>
      <c r="L58" s="169"/>
      <c r="M58" s="282">
        <f t="shared" ref="M58:M60" si="28">SUM(J58:L58)</f>
        <v>0</v>
      </c>
      <c r="N58" s="136"/>
      <c r="O58" s="136"/>
      <c r="P58" s="408"/>
      <c r="Q58" s="282">
        <f>SUM(N58:P58)</f>
        <v>0</v>
      </c>
      <c r="R58" s="282">
        <f>I58+M58+Q58+E58</f>
        <v>0</v>
      </c>
      <c r="S58" s="50"/>
    </row>
    <row r="59" spans="1:19">
      <c r="A59" s="279" t="s">
        <v>106</v>
      </c>
      <c r="B59" s="136"/>
      <c r="C59" s="136"/>
      <c r="D59" s="136"/>
      <c r="E59" s="282">
        <f t="shared" si="26"/>
        <v>0</v>
      </c>
      <c r="F59" s="136"/>
      <c r="G59" s="136"/>
      <c r="H59" s="136"/>
      <c r="I59" s="282">
        <f t="shared" si="27"/>
        <v>0</v>
      </c>
      <c r="J59" s="136"/>
      <c r="K59" s="136"/>
      <c r="L59" s="169"/>
      <c r="M59" s="282">
        <f t="shared" si="28"/>
        <v>0</v>
      </c>
      <c r="N59" s="136"/>
      <c r="O59" s="308"/>
      <c r="P59" s="402"/>
      <c r="Q59" s="282">
        <f>SUM(N59:P59)</f>
        <v>0</v>
      </c>
      <c r="R59" s="282">
        <f>I59+M59+Q59+E59</f>
        <v>0</v>
      </c>
      <c r="S59" s="50"/>
    </row>
    <row r="60" spans="1:19">
      <c r="A60" s="279" t="s">
        <v>107</v>
      </c>
      <c r="B60" s="136"/>
      <c r="C60" s="136"/>
      <c r="D60" s="136"/>
      <c r="E60" s="282">
        <f t="shared" si="26"/>
        <v>0</v>
      </c>
      <c r="F60" s="136"/>
      <c r="G60" s="136"/>
      <c r="H60" s="136"/>
      <c r="I60" s="282">
        <f t="shared" si="27"/>
        <v>0</v>
      </c>
      <c r="J60" s="136"/>
      <c r="K60" s="136"/>
      <c r="L60" s="169"/>
      <c r="M60" s="282">
        <f t="shared" si="28"/>
        <v>0</v>
      </c>
      <c r="N60" s="136"/>
      <c r="O60" s="308"/>
      <c r="P60" s="402"/>
      <c r="Q60" s="282">
        <f>SUM(N60:P60)</f>
        <v>0</v>
      </c>
      <c r="R60" s="282">
        <f>I60+M60+Q60+E60</f>
        <v>0</v>
      </c>
      <c r="S60" s="50"/>
    </row>
    <row r="61" spans="1:19" ht="13.8" thickBot="1">
      <c r="A61" s="280" t="s">
        <v>108</v>
      </c>
      <c r="B61" s="287"/>
      <c r="C61" s="287"/>
      <c r="D61" s="287"/>
      <c r="E61" s="173"/>
      <c r="F61" s="287"/>
      <c r="G61" s="287"/>
      <c r="H61" s="287"/>
      <c r="I61" s="173"/>
      <c r="J61" s="287"/>
      <c r="K61" s="287"/>
      <c r="L61" s="289"/>
      <c r="M61" s="173"/>
      <c r="N61" s="287"/>
      <c r="O61" s="309"/>
      <c r="P61" s="401"/>
      <c r="Q61" s="173"/>
      <c r="R61" s="173"/>
      <c r="S61" s="50"/>
    </row>
    <row r="62" spans="1:19" ht="13.8" thickTop="1">
      <c r="A6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134"/>
      <c r="Q62" s="50"/>
      <c r="R62" s="50"/>
    </row>
  </sheetData>
  <mergeCells count="28">
    <mergeCell ref="B41:E41"/>
    <mergeCell ref="B39:E39"/>
    <mergeCell ref="N39:Q39"/>
    <mergeCell ref="B38:E38"/>
    <mergeCell ref="J40:M40"/>
    <mergeCell ref="B40:E40"/>
    <mergeCell ref="N40:Q40"/>
    <mergeCell ref="F38:I38"/>
    <mergeCell ref="N41:Q41"/>
    <mergeCell ref="F39:I39"/>
    <mergeCell ref="J38:M38"/>
    <mergeCell ref="N38:Q38"/>
    <mergeCell ref="J41:M41"/>
    <mergeCell ref="F40:I40"/>
    <mergeCell ref="F41:I41"/>
    <mergeCell ref="J39:M39"/>
    <mergeCell ref="B1:E1"/>
    <mergeCell ref="F36:I36"/>
    <mergeCell ref="N1:Q1"/>
    <mergeCell ref="B36:E36"/>
    <mergeCell ref="B37:E37"/>
    <mergeCell ref="J1:M1"/>
    <mergeCell ref="J37:M37"/>
    <mergeCell ref="N37:Q37"/>
    <mergeCell ref="F1:I1"/>
    <mergeCell ref="N36:Q36"/>
    <mergeCell ref="J36:M36"/>
    <mergeCell ref="F37:I37"/>
  </mergeCells>
  <phoneticPr fontId="0" type="noConversion"/>
  <pageMargins left="0.25" right="0.25" top="0.75" bottom="0.75" header="0.3" footer="0.3"/>
  <pageSetup paperSize="9" scale="56" fitToWidth="0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zoomScale="85" zoomScaleNormal="85" workbookViewId="0">
      <selection activeCell="P17" sqref="P17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29" t="s">
        <v>175</v>
      </c>
      <c r="B1" s="791" t="s">
        <v>225</v>
      </c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2"/>
      <c r="N1" s="792"/>
      <c r="O1" s="792"/>
      <c r="P1" s="792"/>
      <c r="Q1" s="792"/>
      <c r="R1" s="793"/>
    </row>
    <row r="2" spans="1:33" ht="15.75" customHeight="1" thickBot="1">
      <c r="A2" s="192" t="s">
        <v>0</v>
      </c>
      <c r="B2" s="193" t="s">
        <v>1</v>
      </c>
      <c r="C2" s="193" t="s">
        <v>2</v>
      </c>
      <c r="D2" s="193" t="s">
        <v>3</v>
      </c>
      <c r="E2" s="193" t="s">
        <v>127</v>
      </c>
      <c r="F2" s="193" t="s">
        <v>4</v>
      </c>
      <c r="G2" s="193" t="s">
        <v>5</v>
      </c>
      <c r="H2" s="193" t="s">
        <v>6</v>
      </c>
      <c r="I2" s="193" t="s">
        <v>180</v>
      </c>
      <c r="J2" s="193" t="s">
        <v>7</v>
      </c>
      <c r="K2" s="193" t="s">
        <v>8</v>
      </c>
      <c r="L2" s="193" t="s">
        <v>9</v>
      </c>
      <c r="M2" s="193" t="s">
        <v>191</v>
      </c>
      <c r="N2" s="193" t="s">
        <v>10</v>
      </c>
      <c r="O2" s="193" t="s">
        <v>11</v>
      </c>
      <c r="P2" s="193" t="s">
        <v>12</v>
      </c>
      <c r="Q2" s="193" t="s">
        <v>192</v>
      </c>
      <c r="R2" s="193" t="s">
        <v>13</v>
      </c>
    </row>
    <row r="3" spans="1:33" s="184" customFormat="1">
      <c r="A3" s="235" t="s">
        <v>227</v>
      </c>
      <c r="B3" s="464">
        <v>270726.89</v>
      </c>
      <c r="C3" s="464">
        <v>318940.52</v>
      </c>
      <c r="D3" s="464">
        <v>268372.09000000003</v>
      </c>
      <c r="E3" s="465">
        <f>SUM(B3:D3)</f>
        <v>858039.5</v>
      </c>
      <c r="F3" s="464">
        <v>311537.67</v>
      </c>
      <c r="G3" s="464">
        <v>285230.5</v>
      </c>
      <c r="H3" s="464">
        <v>259436.25</v>
      </c>
      <c r="I3" s="465">
        <f>SUM(F3:H3)</f>
        <v>856204.41999999993</v>
      </c>
      <c r="J3" s="464">
        <v>302432.75</v>
      </c>
      <c r="K3" s="464">
        <v>206704.64000000001</v>
      </c>
      <c r="L3" s="464">
        <v>290575.63</v>
      </c>
      <c r="M3" s="465">
        <f>SUM(J3:L3)</f>
        <v>799713.02</v>
      </c>
      <c r="N3" s="464">
        <v>328730.03000000003</v>
      </c>
      <c r="O3" s="464">
        <v>226178.07</v>
      </c>
      <c r="P3" s="464">
        <v>219386.86</v>
      </c>
      <c r="Q3" s="464">
        <f>SUM(N3:P3)</f>
        <v>774294.96000000008</v>
      </c>
      <c r="R3" s="361">
        <f>SUM(Q3,M3,I3,E3)</f>
        <v>3288251.9</v>
      </c>
      <c r="T3" s="413">
        <f>R8*1.1</f>
        <v>747709.02965000004</v>
      </c>
    </row>
    <row r="4" spans="1:33" s="184" customFormat="1" ht="13.8" thickBot="1">
      <c r="A4" s="234"/>
      <c r="B4" s="466"/>
      <c r="C4" s="466"/>
      <c r="D4" s="466"/>
      <c r="E4" s="467"/>
      <c r="F4" s="466"/>
      <c r="G4" s="466"/>
      <c r="H4" s="466"/>
      <c r="I4" s="467"/>
      <c r="J4" s="466"/>
      <c r="K4" s="466"/>
      <c r="L4" s="466"/>
      <c r="M4" s="467"/>
      <c r="N4" s="466"/>
      <c r="O4" s="466"/>
      <c r="P4" s="466"/>
      <c r="Q4" s="466"/>
      <c r="R4" s="414"/>
      <c r="S4" s="190" t="s">
        <v>131</v>
      </c>
      <c r="T4" s="185" t="s">
        <v>132</v>
      </c>
      <c r="U4" s="186" t="s">
        <v>124</v>
      </c>
    </row>
    <row r="5" spans="1:33" s="178" customFormat="1" ht="13.8" thickBot="1">
      <c r="A5" s="195" t="s">
        <v>226</v>
      </c>
      <c r="B5" s="468" t="e">
        <f>B9/B4-1</f>
        <v>#DIV/0!</v>
      </c>
      <c r="C5" s="468" t="e">
        <f>C9/C4-1</f>
        <v>#DIV/0!</v>
      </c>
      <c r="D5" s="468" t="e">
        <f>D9/D4-1</f>
        <v>#DIV/0!</v>
      </c>
      <c r="E5" s="468">
        <f>E8/E3-1</f>
        <v>-0.20780397464219302</v>
      </c>
      <c r="F5" s="468" t="e">
        <f t="shared" ref="F5:P5" si="0">F9/F4-1</f>
        <v>#DIV/0!</v>
      </c>
      <c r="G5" s="468" t="e">
        <f t="shared" si="0"/>
        <v>#DIV/0!</v>
      </c>
      <c r="H5" s="468" t="e">
        <f t="shared" si="0"/>
        <v>#DIV/0!</v>
      </c>
      <c r="I5" s="468">
        <f>I8/I3-1</f>
        <v>-1</v>
      </c>
      <c r="J5" s="468" t="e">
        <f t="shared" si="0"/>
        <v>#DIV/0!</v>
      </c>
      <c r="K5" s="468" t="e">
        <f t="shared" si="0"/>
        <v>#DIV/0!</v>
      </c>
      <c r="L5" s="468" t="e">
        <f t="shared" si="0"/>
        <v>#DIV/0!</v>
      </c>
      <c r="M5" s="468">
        <f>M8/M3-1</f>
        <v>-1</v>
      </c>
      <c r="N5" s="468" t="e">
        <f t="shared" si="0"/>
        <v>#DIV/0!</v>
      </c>
      <c r="O5" s="468" t="e">
        <f t="shared" si="0"/>
        <v>#DIV/0!</v>
      </c>
      <c r="P5" s="468" t="e">
        <f t="shared" si="0"/>
        <v>#DIV/0!</v>
      </c>
      <c r="Q5" s="468">
        <f>Q8/Q3-1</f>
        <v>-1</v>
      </c>
      <c r="R5" s="196">
        <f>R8/R3-1</f>
        <v>-0.79328363453541983</v>
      </c>
      <c r="S5" s="191">
        <f>S6/R3</f>
        <v>1.0452969707095736</v>
      </c>
      <c r="T5" s="179">
        <f>T6/R3</f>
        <v>1.1003126007469197</v>
      </c>
      <c r="U5" s="179">
        <f>U6/R3</f>
        <v>1.1553282307842656</v>
      </c>
    </row>
    <row r="6" spans="1:33" ht="15.75" customHeight="1">
      <c r="A6" s="201" t="s">
        <v>36</v>
      </c>
      <c r="B6" s="469">
        <f>Target!B22</f>
        <v>252000</v>
      </c>
      <c r="C6" s="469">
        <f>Target!C22</f>
        <v>280000</v>
      </c>
      <c r="D6" s="469">
        <f>Target!D22</f>
        <v>308000</v>
      </c>
      <c r="E6" s="469">
        <f>SUM(B6:D6)</f>
        <v>840000</v>
      </c>
      <c r="F6" s="469">
        <f>Target!E22</f>
        <v>277530.60000000003</v>
      </c>
      <c r="G6" s="469">
        <f>Target!F22</f>
        <v>308367.33333333337</v>
      </c>
      <c r="H6" s="469">
        <f>Target!G22</f>
        <v>339204.06666666677</v>
      </c>
      <c r="I6" s="469">
        <f>SUM(F6:H6)</f>
        <v>925102.00000000012</v>
      </c>
      <c r="J6" s="469">
        <f>Target!H22</f>
        <v>278099.09999999998</v>
      </c>
      <c r="K6" s="469">
        <f>Target!I22</f>
        <v>308999</v>
      </c>
      <c r="L6" s="469">
        <f>Target!J22</f>
        <v>339898.9</v>
      </c>
      <c r="M6" s="469">
        <f>SUM(J6:L6)</f>
        <v>926997</v>
      </c>
      <c r="N6" s="469">
        <f>Target!K22</f>
        <v>277801.8</v>
      </c>
      <c r="O6" s="469">
        <f>Target!L22</f>
        <v>308668.66666666669</v>
      </c>
      <c r="P6" s="469">
        <f>Target!M22</f>
        <v>339535.53333333338</v>
      </c>
      <c r="Q6" s="469">
        <f>SUM(N6:P6)</f>
        <v>926006</v>
      </c>
      <c r="R6" s="202">
        <f>B6+C6+D6+F6+G6+H6+J6+K6+L6+N6+O6+P6</f>
        <v>3618105</v>
      </c>
      <c r="S6" s="198">
        <f>DH!R6*0.95</f>
        <v>3437199.75</v>
      </c>
      <c r="T6" s="182">
        <f>R6</f>
        <v>3618105</v>
      </c>
      <c r="U6" s="180">
        <f>Target!H26</f>
        <v>3799010.25</v>
      </c>
    </row>
    <row r="7" spans="1:33" ht="15.75" customHeight="1">
      <c r="A7" s="203" t="s">
        <v>35</v>
      </c>
      <c r="B7" s="432">
        <f>B6</f>
        <v>252000</v>
      </c>
      <c r="C7" s="432">
        <f>C6+B7</f>
        <v>532000</v>
      </c>
      <c r="D7" s="432">
        <f>D6+C7</f>
        <v>840000</v>
      </c>
      <c r="E7" s="470"/>
      <c r="F7" s="432">
        <f>F6+D7</f>
        <v>1117530.6000000001</v>
      </c>
      <c r="G7" s="432">
        <f>G6+F7</f>
        <v>1425897.9333333336</v>
      </c>
      <c r="H7" s="432">
        <f>H6+G7</f>
        <v>1765102.0000000005</v>
      </c>
      <c r="I7" s="432"/>
      <c r="J7" s="432">
        <f>J6+H7</f>
        <v>2043201.1000000006</v>
      </c>
      <c r="K7" s="432">
        <f>K6+J7</f>
        <v>2352200.1000000006</v>
      </c>
      <c r="L7" s="432">
        <f>L6+K7</f>
        <v>2692099.0000000005</v>
      </c>
      <c r="M7" s="432"/>
      <c r="N7" s="432">
        <f>N6+L7</f>
        <v>2969900.8000000003</v>
      </c>
      <c r="O7" s="432">
        <f>O6+N7</f>
        <v>3278569.4666666668</v>
      </c>
      <c r="P7" s="432">
        <f>P6+O7</f>
        <v>3618105</v>
      </c>
      <c r="Q7" s="432"/>
      <c r="R7" s="204"/>
      <c r="S7" s="199"/>
      <c r="T7" s="80"/>
      <c r="U7" s="140"/>
      <c r="V7" s="232">
        <f>T6/T19</f>
        <v>0.37379064537198092</v>
      </c>
    </row>
    <row r="8" spans="1:33" s="138" customFormat="1" ht="15.75" customHeight="1">
      <c r="A8" s="205" t="s">
        <v>37</v>
      </c>
      <c r="B8" s="175">
        <f>TOMEK!B6+RCKIK!B6+'1'!N6+BARTEK!B6+PIOTR!B6+KRZYSZTOF!B6+'0'!N6</f>
        <v>314148.58879999997</v>
      </c>
      <c r="C8" s="175">
        <f>TOMEK!C6+RCKIK!C6+'1'!O6+BARTEK!C6+PIOTR!C6+KRZYSZTOF!C6+'0'!O6</f>
        <v>258323.56059999997</v>
      </c>
      <c r="D8" s="175">
        <f>TOMEK!D6+RCKIK!D6+'1'!P6+BARTEK!D6+PIOTR!D6+KRZYSZTOF!D6+'0'!P6</f>
        <v>107263.33209999999</v>
      </c>
      <c r="E8" s="471">
        <f>SUM(B8:D8)</f>
        <v>679735.48149999999</v>
      </c>
      <c r="F8" s="175">
        <f>TOMEK!F6+RCKIK!F6+'1'!J6+BARTEK!F6+PIOTR!F6+KRZYSZTOF!F6++'0'!J6</f>
        <v>0</v>
      </c>
      <c r="G8" s="175">
        <f>TOMEK!G6+RCKIK!G6+'1'!K6+BARTEK!G6+PIOTR!G6+KRZYSZTOF!G6+'0'!K6</f>
        <v>0</v>
      </c>
      <c r="H8" s="175">
        <f>TOMEK!H6+RCKIK!H6+'1'!L6+BARTEK!H6+PIOTR!H6+KRZYSZTOF!H6+'0'!L6</f>
        <v>0</v>
      </c>
      <c r="I8" s="175">
        <f>SUM(F8:H8)</f>
        <v>0</v>
      </c>
      <c r="J8" s="175">
        <f>TOMEK!J6+RCKIK!J6+'0'!F6+BARTEK!J6+PIOTR!J6+KRZYSZTOF!J6+'1'!F6</f>
        <v>0</v>
      </c>
      <c r="K8" s="175">
        <f>TOMEK!K6+RCKIK!K6+'0'!G6+BARTEK!K6+PIOTR!K6+KRZYSZTOF!K6+'1'!G6+SUMIF(VIII!A:A,$A$1,VIII!I:I)</f>
        <v>0</v>
      </c>
      <c r="L8" s="175">
        <f>TOMEK!L6+RCKIK!L6+'0'!H6+BARTEK!L6+PIOTR!L6+KRZYSZTOF!L6+'1'!H6</f>
        <v>0</v>
      </c>
      <c r="M8" s="175">
        <f>SUM(J8:L8)</f>
        <v>0</v>
      </c>
      <c r="N8" s="175">
        <f>TOMEK!N6+RCKIK!N6+'0'!B6+BARTEK!N6+PIOTR!N6+KRZYSZTOF!N6+'1'!B6</f>
        <v>0</v>
      </c>
      <c r="O8" s="175">
        <f>TOMEK!O6+RCKIK!O6+'0'!C6+BARTEK!O6+PIOTR!O6+KRZYSZTOF!O6+'1'!C6</f>
        <v>0</v>
      </c>
      <c r="P8" s="175">
        <f>TOMEK!P6+RCKIK!P6+'0'!D6+BARTEK!P6+PIOTR!P6+KRZYSZTOF!P6+'1'!D6</f>
        <v>0</v>
      </c>
      <c r="Q8" s="175">
        <f>SUM(N8:P8)</f>
        <v>0</v>
      </c>
      <c r="R8" s="206">
        <f>B8+C8+D8+F8+G8+H8+J8+K8+L8+N8+O8+P8</f>
        <v>679735.48149999999</v>
      </c>
      <c r="S8" s="366"/>
      <c r="T8" s="251">
        <v>2</v>
      </c>
      <c r="U8" s="252">
        <v>3</v>
      </c>
      <c r="V8" s="253"/>
      <c r="W8" s="253">
        <v>4</v>
      </c>
      <c r="X8" s="253">
        <v>5</v>
      </c>
      <c r="Y8" s="253">
        <v>6</v>
      </c>
      <c r="Z8" s="253"/>
      <c r="AA8" s="253">
        <v>7</v>
      </c>
      <c r="AB8" s="253">
        <v>8</v>
      </c>
      <c r="AC8" s="253">
        <v>9</v>
      </c>
      <c r="AD8" s="253"/>
      <c r="AE8" s="253">
        <v>10</v>
      </c>
      <c r="AF8" s="253">
        <v>11</v>
      </c>
      <c r="AG8" s="253">
        <v>12</v>
      </c>
    </row>
    <row r="9" spans="1:33" ht="15.75" customHeight="1" thickBot="1">
      <c r="A9" s="203" t="s">
        <v>38</v>
      </c>
      <c r="B9" s="429">
        <f>B8</f>
        <v>314148.58879999997</v>
      </c>
      <c r="C9" s="429">
        <f>C8+B9</f>
        <v>572472.14939999999</v>
      </c>
      <c r="D9" s="429">
        <f>D8+C9</f>
        <v>679735.48149999999</v>
      </c>
      <c r="E9" s="468"/>
      <c r="F9" s="429">
        <f>F8+D9</f>
        <v>679735.48149999999</v>
      </c>
      <c r="G9" s="429">
        <f>G8+F9</f>
        <v>679735.48149999999</v>
      </c>
      <c r="H9" s="429">
        <f>H8+G9</f>
        <v>679735.48149999999</v>
      </c>
      <c r="I9" s="472"/>
      <c r="J9" s="429">
        <f>J8+H9</f>
        <v>679735.48149999999</v>
      </c>
      <c r="K9" s="429">
        <f>K8+J9</f>
        <v>679735.48149999999</v>
      </c>
      <c r="L9" s="429">
        <f>L8+K9</f>
        <v>679735.48149999999</v>
      </c>
      <c r="M9" s="468"/>
      <c r="N9" s="429">
        <f>N8+L9</f>
        <v>679735.48149999999</v>
      </c>
      <c r="O9" s="429">
        <f>O8+N9</f>
        <v>679735.48149999999</v>
      </c>
      <c r="P9" s="429">
        <f>P8+O9</f>
        <v>679735.48149999999</v>
      </c>
      <c r="Q9" s="429"/>
      <c r="R9" s="207"/>
      <c r="S9" s="364"/>
      <c r="T9" s="80"/>
      <c r="U9" s="80"/>
    </row>
    <row r="10" spans="1:33" ht="15.75" customHeight="1">
      <c r="A10" s="208" t="s">
        <v>39</v>
      </c>
      <c r="B10" s="73">
        <f>B8/B6</f>
        <v>1.246621384126984</v>
      </c>
      <c r="C10" s="73">
        <f>C8/C6</f>
        <v>0.92258414499999986</v>
      </c>
      <c r="D10" s="73">
        <f>D8/D6</f>
        <v>0.34825757175324673</v>
      </c>
      <c r="E10" s="60">
        <f>D7*0.95</f>
        <v>798000</v>
      </c>
      <c r="F10" s="73">
        <f>F8/F6</f>
        <v>0</v>
      </c>
      <c r="G10" s="73">
        <f>G8/G6</f>
        <v>0</v>
      </c>
      <c r="H10" s="73">
        <f>H8/H6</f>
        <v>0</v>
      </c>
      <c r="I10" s="473"/>
      <c r="J10" s="73">
        <f>J8/J6</f>
        <v>0</v>
      </c>
      <c r="K10" s="73">
        <f>K8/K6</f>
        <v>0</v>
      </c>
      <c r="L10" s="73">
        <f>L8/L6</f>
        <v>0</v>
      </c>
      <c r="M10" s="473">
        <f>L4-L9</f>
        <v>-679735.48149999999</v>
      </c>
      <c r="N10" s="73">
        <f>N8/N6</f>
        <v>0</v>
      </c>
      <c r="O10" s="73">
        <f>O8/O6</f>
        <v>0</v>
      </c>
      <c r="P10" s="73">
        <f>P8/P6</f>
        <v>0</v>
      </c>
      <c r="Q10" s="473">
        <f>P4-P9</f>
        <v>-679735.48149999999</v>
      </c>
      <c r="R10" s="207"/>
      <c r="S10" s="368"/>
      <c r="T10" s="367"/>
      <c r="U10" s="367"/>
      <c r="X10">
        <v>2019</v>
      </c>
      <c r="Y10" s="141">
        <f>R3/12</f>
        <v>274020.99166666664</v>
      </c>
    </row>
    <row r="11" spans="1:33" ht="15.75" customHeight="1">
      <c r="A11" s="203" t="s">
        <v>48</v>
      </c>
      <c r="B11" s="428">
        <f>B9-B7</f>
        <v>62148.588799999969</v>
      </c>
      <c r="C11" s="428">
        <f>C9-C7</f>
        <v>40472.149399999995</v>
      </c>
      <c r="D11" s="428">
        <f>D9-D7</f>
        <v>-160264.51850000001</v>
      </c>
      <c r="E11" s="428">
        <f>E10-D9</f>
        <v>118264.51850000001</v>
      </c>
      <c r="F11" s="428">
        <f>F9-F7</f>
        <v>-437795.1185000001</v>
      </c>
      <c r="G11" s="428">
        <f>G9-G7</f>
        <v>-746162.45183333359</v>
      </c>
      <c r="H11" s="428">
        <f>H9-H7</f>
        <v>-1085366.5185000005</v>
      </c>
      <c r="I11" s="428">
        <f>H7*0.9-H9</f>
        <v>908856.31850000052</v>
      </c>
      <c r="J11" s="428">
        <f>J9-J7</f>
        <v>-1363465.6185000006</v>
      </c>
      <c r="K11" s="428">
        <f>K9-K7</f>
        <v>-1672464.6185000006</v>
      </c>
      <c r="L11" s="428">
        <f>L9-L7</f>
        <v>-2012363.5185000005</v>
      </c>
      <c r="M11" s="428">
        <f>J7*0.9-J9</f>
        <v>1159145.5085000005</v>
      </c>
      <c r="N11" s="428">
        <f>N9-N7</f>
        <v>-2290165.3185000001</v>
      </c>
      <c r="O11" s="428">
        <f>O9-O7</f>
        <v>-2598833.985166667</v>
      </c>
      <c r="P11" s="428">
        <f>P9-P7</f>
        <v>-2938369.5185000002</v>
      </c>
      <c r="Q11" s="428"/>
      <c r="R11" s="209"/>
      <c r="S11" s="368"/>
      <c r="T11" s="367"/>
      <c r="U11" s="367"/>
      <c r="X11">
        <v>2020</v>
      </c>
      <c r="Y11" s="167">
        <f>D9/3</f>
        <v>226578.49383333334</v>
      </c>
      <c r="Z11" s="300">
        <f>1-Y10/Y11</f>
        <v>-0.20938658842101354</v>
      </c>
    </row>
    <row r="12" spans="1:33" s="139" customFormat="1" ht="15.75" customHeight="1" thickBot="1">
      <c r="A12" s="210" t="s">
        <v>40</v>
      </c>
      <c r="B12" s="211">
        <f>B9/B7</f>
        <v>1.246621384126984</v>
      </c>
      <c r="C12" s="211">
        <f>C9/C7</f>
        <v>1.0760754687969925</v>
      </c>
      <c r="D12" s="211">
        <f>D9/D7</f>
        <v>0.80920890654761901</v>
      </c>
      <c r="E12" s="211"/>
      <c r="F12" s="211">
        <f>F9/F7</f>
        <v>0.6082477576005525</v>
      </c>
      <c r="G12" s="211">
        <f>G9/G7</f>
        <v>0.47670696871758322</v>
      </c>
      <c r="H12" s="211">
        <f>H9/H7</f>
        <v>0.38509699807716485</v>
      </c>
      <c r="I12" s="211"/>
      <c r="J12" s="211">
        <f>J9/J7</f>
        <v>0.33268163447053734</v>
      </c>
      <c r="K12" s="211">
        <f>K9/K7</f>
        <v>0.2889785956135279</v>
      </c>
      <c r="L12" s="211">
        <f>L9/L7</f>
        <v>0.25249275063807086</v>
      </c>
      <c r="M12" s="337"/>
      <c r="N12" s="211">
        <f>N9/N7</f>
        <v>0.22887481006099594</v>
      </c>
      <c r="O12" s="211">
        <f>O9/O7</f>
        <v>0.20732685044831137</v>
      </c>
      <c r="P12" s="211">
        <f>P9/P7</f>
        <v>0.18787057907385218</v>
      </c>
      <c r="Q12" s="211"/>
      <c r="R12" s="212"/>
      <c r="S12" s="200"/>
      <c r="T12" s="181"/>
      <c r="U12" s="181"/>
      <c r="X12" s="139" t="s">
        <v>80</v>
      </c>
      <c r="Y12" s="336">
        <f>F8</f>
        <v>0</v>
      </c>
      <c r="Z12" s="300" t="e">
        <f>1-Y11/Y12</f>
        <v>#DIV/0!</v>
      </c>
    </row>
    <row r="13" spans="1:33" s="189" customFormat="1" ht="15.75" customHeight="1">
      <c r="A13" s="225" t="s">
        <v>133</v>
      </c>
      <c r="B13" s="415">
        <f>Target!C8</f>
        <v>252000</v>
      </c>
      <c r="C13" s="416">
        <f>Target!D8</f>
        <v>280000</v>
      </c>
      <c r="D13" s="417">
        <f>Target!E8</f>
        <v>308000</v>
      </c>
      <c r="E13" s="291">
        <f>SUM(B13:D13)</f>
        <v>840000</v>
      </c>
      <c r="F13" s="415">
        <f>Target!F8</f>
        <v>277530.60000000003</v>
      </c>
      <c r="G13" s="415">
        <f>Target!G8</f>
        <v>308367.33333333337</v>
      </c>
      <c r="H13" s="415">
        <f>Target!H8</f>
        <v>339204.06666666677</v>
      </c>
      <c r="I13" s="291">
        <f>SUM(F13:H13)</f>
        <v>925102.00000000012</v>
      </c>
      <c r="J13" s="415">
        <f>Target!I8</f>
        <v>278099.09999999998</v>
      </c>
      <c r="K13" s="415">
        <f>Target!J8</f>
        <v>308999</v>
      </c>
      <c r="L13" s="415">
        <f>Target!K8</f>
        <v>339898.9</v>
      </c>
      <c r="M13" s="291">
        <f>SUM(J13:L13)</f>
        <v>926997</v>
      </c>
      <c r="N13" s="418">
        <f>Target!L8</f>
        <v>277801.8</v>
      </c>
      <c r="O13" s="418">
        <f>Target!M8</f>
        <v>308668.66666666669</v>
      </c>
      <c r="P13" s="418">
        <f>Target!N8</f>
        <v>339535.53333333338</v>
      </c>
      <c r="Q13" s="291">
        <f>SUM(N13:P13)</f>
        <v>926006</v>
      </c>
      <c r="R13" s="226"/>
      <c r="S13" s="213"/>
      <c r="T13" s="188"/>
      <c r="U13" s="188"/>
      <c r="Z13" s="300" t="e">
        <f>1-Y10/Y12</f>
        <v>#DIV/0!</v>
      </c>
    </row>
    <row r="14" spans="1:33" s="189" customFormat="1" ht="15.75" customHeight="1" thickBot="1">
      <c r="A14" s="227" t="s">
        <v>134</v>
      </c>
      <c r="B14" s="228">
        <f>B8/B13</f>
        <v>1.246621384126984</v>
      </c>
      <c r="C14" s="228">
        <f>(B8+C8)/C13</f>
        <v>2.0445433907142858</v>
      </c>
      <c r="D14" s="228">
        <f>(D8+C8+B8)/D13</f>
        <v>2.2069333814935064</v>
      </c>
      <c r="E14" s="228"/>
      <c r="F14" s="228">
        <f>F8/F13</f>
        <v>0</v>
      </c>
      <c r="G14" s="228">
        <f>(F8+G8)/G13</f>
        <v>0</v>
      </c>
      <c r="H14" s="228">
        <f>(H8+G8+F8)/H13</f>
        <v>0</v>
      </c>
      <c r="I14" s="474"/>
      <c r="J14" s="228">
        <f>J8/J13</f>
        <v>0</v>
      </c>
      <c r="K14" s="228">
        <f>(J8+K8)/K13</f>
        <v>0</v>
      </c>
      <c r="L14" s="228">
        <f>(L8+K8+J8)/L13</f>
        <v>0</v>
      </c>
      <c r="M14" s="474"/>
      <c r="N14" s="228">
        <f>N8/N13</f>
        <v>0</v>
      </c>
      <c r="O14" s="228">
        <f>(N8+O8)/O13</f>
        <v>0</v>
      </c>
      <c r="P14" s="228">
        <f>(P8+O8+N8)/P13</f>
        <v>0</v>
      </c>
      <c r="Q14" s="475"/>
      <c r="R14" s="229"/>
      <c r="S14" s="213"/>
      <c r="T14" s="188"/>
      <c r="U14" s="188"/>
    </row>
    <row r="15" spans="1:33" ht="12" customHeight="1" thickBot="1">
      <c r="A15" s="214"/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15"/>
      <c r="S15" s="367"/>
      <c r="T15" s="367"/>
      <c r="U15" s="367"/>
    </row>
    <row r="16" spans="1:33" s="184" customFormat="1">
      <c r="A16" s="235" t="s">
        <v>228</v>
      </c>
      <c r="B16" s="464">
        <v>735313.24</v>
      </c>
      <c r="C16" s="464">
        <v>864042.09</v>
      </c>
      <c r="D16" s="464">
        <v>682276.62</v>
      </c>
      <c r="E16" s="464">
        <f>SUM(B16:D16)</f>
        <v>2281631.9500000002</v>
      </c>
      <c r="F16" s="464">
        <v>902392.31</v>
      </c>
      <c r="G16" s="464">
        <v>770807.84</v>
      </c>
      <c r="H16" s="464">
        <v>668332.32999999996</v>
      </c>
      <c r="I16" s="464">
        <f>SUM(F16:H16)</f>
        <v>2341532.48</v>
      </c>
      <c r="J16" s="464">
        <v>815918.61</v>
      </c>
      <c r="K16" s="464">
        <v>552755.37</v>
      </c>
      <c r="L16" s="464">
        <v>781695.28</v>
      </c>
      <c r="M16" s="464">
        <f>SUM(J16:L16)</f>
        <v>2150369.2599999998</v>
      </c>
      <c r="N16" s="464">
        <v>823654.56</v>
      </c>
      <c r="O16" s="464">
        <v>574341.15</v>
      </c>
      <c r="P16" s="464">
        <v>569291.05000000005</v>
      </c>
      <c r="Q16" s="464">
        <f>SUM(N16:P16)</f>
        <v>1967286.76</v>
      </c>
      <c r="R16" s="361">
        <f>SUM(Q16,M16,I16,E16)</f>
        <v>8740820.4499999993</v>
      </c>
      <c r="S16" s="190"/>
      <c r="T16" s="185"/>
      <c r="U16" s="185"/>
    </row>
    <row r="17" spans="1:23" s="184" customFormat="1">
      <c r="A17" s="234"/>
      <c r="B17" s="419"/>
      <c r="C17" s="419"/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288"/>
      <c r="S17" s="190" t="s">
        <v>131</v>
      </c>
      <c r="T17" s="185" t="s">
        <v>132</v>
      </c>
      <c r="U17" s="186" t="s">
        <v>124</v>
      </c>
    </row>
    <row r="18" spans="1:23" s="177" customFormat="1" ht="13.8" thickBot="1">
      <c r="A18" s="195" t="s">
        <v>229</v>
      </c>
      <c r="B18" s="468" t="e">
        <f>B22/B17-1</f>
        <v>#DIV/0!</v>
      </c>
      <c r="C18" s="468" t="e">
        <f>C22/C17-1</f>
        <v>#DIV/0!</v>
      </c>
      <c r="D18" s="468" t="e">
        <f>D22/D17-1</f>
        <v>#DIV/0!</v>
      </c>
      <c r="E18" s="468"/>
      <c r="F18" s="468" t="e">
        <f>F22/F17-1</f>
        <v>#DIV/0!</v>
      </c>
      <c r="G18" s="468" t="e">
        <f>G22/G17-1</f>
        <v>#DIV/0!</v>
      </c>
      <c r="H18" s="468" t="e">
        <f>H22/H17-1</f>
        <v>#DIV/0!</v>
      </c>
      <c r="I18" s="468"/>
      <c r="J18" s="468" t="e">
        <f>J22/J17-1</f>
        <v>#DIV/0!</v>
      </c>
      <c r="K18" s="468" t="e">
        <f>K22/K17-1</f>
        <v>#DIV/0!</v>
      </c>
      <c r="L18" s="468" t="e">
        <f>L22/L17-1</f>
        <v>#DIV/0!</v>
      </c>
      <c r="M18" s="468"/>
      <c r="N18" s="468" t="e">
        <f>N22/N17-1</f>
        <v>#DIV/0!</v>
      </c>
      <c r="O18" s="468" t="e">
        <f>O22/O17-1</f>
        <v>#DIV/0!</v>
      </c>
      <c r="P18" s="468" t="e">
        <f>P22/P17-1</f>
        <v>#DIV/0!</v>
      </c>
      <c r="Q18" s="468">
        <f>Q21/Q16</f>
        <v>0</v>
      </c>
      <c r="R18" s="197">
        <f>R21/R16</f>
        <v>0.2066421197680591</v>
      </c>
      <c r="S18" s="191">
        <f>S19/R16</f>
        <v>1.0520203576376927</v>
      </c>
      <c r="T18" s="179">
        <f>T19/R16</f>
        <v>1.1073898501449395</v>
      </c>
      <c r="U18" s="179">
        <f>U19/R16</f>
        <v>1.1627593426521865</v>
      </c>
    </row>
    <row r="19" spans="1:23" ht="15.75" customHeight="1">
      <c r="A19" s="194" t="s">
        <v>41</v>
      </c>
      <c r="B19" s="476">
        <f>Target!B23</f>
        <v>681081.08108108107</v>
      </c>
      <c r="C19" s="476">
        <f>Target!C23</f>
        <v>756756.7567567568</v>
      </c>
      <c r="D19" s="476">
        <f>Target!D23</f>
        <v>832432.43243243243</v>
      </c>
      <c r="E19" s="476"/>
      <c r="F19" s="476">
        <f>Target!E23</f>
        <v>730343.68421052641</v>
      </c>
      <c r="G19" s="476">
        <f>Target!F23</f>
        <v>811492.98245614045</v>
      </c>
      <c r="H19" s="476">
        <f>Target!G23</f>
        <v>892642.28070175473</v>
      </c>
      <c r="I19" s="476"/>
      <c r="J19" s="476">
        <f>Target!H23</f>
        <v>751619.18918918911</v>
      </c>
      <c r="K19" s="476">
        <f>Target!I23</f>
        <v>835132.43243243243</v>
      </c>
      <c r="L19" s="476">
        <f>Target!J23</f>
        <v>918645.67567567562</v>
      </c>
      <c r="M19" s="476"/>
      <c r="N19" s="476">
        <f>Target!K23</f>
        <v>740804.8</v>
      </c>
      <c r="O19" s="476">
        <f>Target!L23</f>
        <v>823116.4444444445</v>
      </c>
      <c r="P19" s="476">
        <f>Target!M23</f>
        <v>905428.08888888895</v>
      </c>
      <c r="Q19" s="477"/>
      <c r="R19" s="246">
        <f>B19+C19+D19+F19+G19+H19+J19+K19+L19+N19+O19+P19</f>
        <v>9679495.8482693229</v>
      </c>
      <c r="S19" s="182">
        <f>DH!R19*0.95</f>
        <v>9195521.0558558572</v>
      </c>
      <c r="T19" s="182">
        <f>Target!F27</f>
        <v>9679495.8482693229</v>
      </c>
      <c r="U19" s="180">
        <f>Target!H27</f>
        <v>10163470.640682789</v>
      </c>
    </row>
    <row r="20" spans="1:23" ht="15.75" customHeight="1">
      <c r="A20" s="7" t="s">
        <v>42</v>
      </c>
      <c r="B20" s="426">
        <f>B19</f>
        <v>681081.08108108107</v>
      </c>
      <c r="C20" s="426">
        <f>C19+B20</f>
        <v>1437837.8378378379</v>
      </c>
      <c r="D20" s="426">
        <f>D19+C20</f>
        <v>2270270.2702702703</v>
      </c>
      <c r="E20" s="426"/>
      <c r="F20" s="426">
        <f>F19+D20</f>
        <v>3000613.9544807966</v>
      </c>
      <c r="G20" s="426">
        <f>G19+F20</f>
        <v>3812106.9369369373</v>
      </c>
      <c r="H20" s="426">
        <f>H19+G20</f>
        <v>4704749.2176386919</v>
      </c>
      <c r="I20" s="426"/>
      <c r="J20" s="426">
        <f>J19+H20</f>
        <v>5456368.406827881</v>
      </c>
      <c r="K20" s="426">
        <f>K19+J20</f>
        <v>6291500.8392603137</v>
      </c>
      <c r="L20" s="426">
        <f>L19+K20</f>
        <v>7210146.5149359889</v>
      </c>
      <c r="M20" s="426"/>
      <c r="N20" s="426">
        <f>N19+L20</f>
        <v>7950951.3149359887</v>
      </c>
      <c r="O20" s="426">
        <f>O19+N20</f>
        <v>8774067.7593804337</v>
      </c>
      <c r="P20" s="426">
        <f>P19+O20</f>
        <v>9679495.8482693229</v>
      </c>
      <c r="Q20" s="270"/>
      <c r="R20" s="248"/>
    </row>
    <row r="21" spans="1:23" ht="15.75" customHeight="1">
      <c r="A21" s="28" t="s">
        <v>43</v>
      </c>
      <c r="B21" s="175">
        <f>TOMEK!B11+RCKIK!B11+'1'!N13+BARTEK!B11+PIOTR!B11+KRZYSZTOF!B11+'0'!N13</f>
        <v>805792.78130000003</v>
      </c>
      <c r="C21" s="175">
        <f>TOMEK!C11+RCKIK!C11+'1'!O13+BARTEK!C11+PIOTR!C11+KRZYSZTOF!C11+'0'!O13</f>
        <v>714991.98839999991</v>
      </c>
      <c r="D21" s="175">
        <f>TOMEK!D11+RCKIK!D11+'1'!P13+BARTEK!D11+PIOTR!D11+KRZYSZTOF!D11+'0'!P13</f>
        <v>285436.89659999998</v>
      </c>
      <c r="E21" s="175">
        <f>SUM(B21:D21)</f>
        <v>1806221.6663000002</v>
      </c>
      <c r="F21" s="175">
        <f>TOMEK!F11+RCKIK!F11+'1'!J13+BARTEK!F11+PIOTR!F11+KRZYSZTOF!F11+'0'!J13</f>
        <v>0</v>
      </c>
      <c r="G21" s="175">
        <f>TOMEK!G11+RCKIK!G11+'1'!K13+BARTEK!G11+PIOTR!G11+KRZYSZTOF!G11+'0'!K13</f>
        <v>0</v>
      </c>
      <c r="H21" s="175">
        <f>TOMEK!H11+RCKIK!H11+'1'!L13+BARTEK!H11+PIOTR!H11+KRZYSZTOF!H11+'0'!L13</f>
        <v>0</v>
      </c>
      <c r="I21" s="175">
        <f>SUM(F21:H21)</f>
        <v>0</v>
      </c>
      <c r="J21" s="175">
        <f>TOMEK!J11+RCKIK!J11+'0'!F13+BARTEK!J11+PIOTR!J11+KRZYSZTOF!J11+'1'!F13</f>
        <v>0</v>
      </c>
      <c r="K21" s="175">
        <f>TOMEK!K11+RCKIK!K11+'0'!G13+BARTEK!K11+PIOTR!K11+KRZYSZTOF!K11+'1'!G13+SUMIF(VIII!A:A,$A$1,VIII!G:G)</f>
        <v>0</v>
      </c>
      <c r="L21" s="175">
        <f>TOMEK!L11+RCKIK!L11+'0'!H13+BARTEK!L11+PIOTR!L11+KRZYSZTOF!L11+'1'!H13</f>
        <v>0</v>
      </c>
      <c r="M21" s="175">
        <f>SUM(J21:L21)</f>
        <v>0</v>
      </c>
      <c r="N21" s="175">
        <f>TOMEK!N11+RCKIK!N11+'0'!B13+BARTEK!N11+PIOTR!N11+KRZYSZTOF!N11+'1'!B13</f>
        <v>0</v>
      </c>
      <c r="O21" s="175">
        <f>TOMEK!O11+RCKIK!O11+'0'!C13+BARTEK!O11+PIOTR!O11+KRZYSZTOF!O11+'1'!C13</f>
        <v>0</v>
      </c>
      <c r="P21" s="175">
        <f>TOMEK!P11+RCKIK!P11+'0'!D13+BARTEK!P11+PIOTR!P11+KRZYSZTOF!P11+'1'!D13</f>
        <v>0</v>
      </c>
      <c r="Q21" s="175">
        <f>SUM(N21:P21)</f>
        <v>0</v>
      </c>
      <c r="R21" s="187">
        <f>B21+C21+D21+F21+G21+H21+J21+K21+L21+N21+O21+P21</f>
        <v>1806221.6663000002</v>
      </c>
    </row>
    <row r="22" spans="1:23" ht="15.75" customHeight="1">
      <c r="A22" s="7" t="s">
        <v>44</v>
      </c>
      <c r="B22" s="429">
        <f>B21</f>
        <v>805792.78130000003</v>
      </c>
      <c r="C22" s="429">
        <f>C21+B22</f>
        <v>1520784.7697000001</v>
      </c>
      <c r="D22" s="429">
        <f>D21+C22</f>
        <v>1806221.6663000002</v>
      </c>
      <c r="E22" s="429"/>
      <c r="F22" s="429">
        <f>F21+D22</f>
        <v>1806221.6663000002</v>
      </c>
      <c r="G22" s="429">
        <f>G21+F22</f>
        <v>1806221.6663000002</v>
      </c>
      <c r="H22" s="429">
        <f>H21+G22</f>
        <v>1806221.6663000002</v>
      </c>
      <c r="I22" s="429"/>
      <c r="J22" s="429">
        <f>J21+H22</f>
        <v>1806221.6663000002</v>
      </c>
      <c r="K22" s="429">
        <f>K21+J22</f>
        <v>1806221.6663000002</v>
      </c>
      <c r="L22" s="429">
        <f>L21+K22</f>
        <v>1806221.6663000002</v>
      </c>
      <c r="M22" s="429"/>
      <c r="N22" s="429">
        <f>N21+L22</f>
        <v>1806221.6663000002</v>
      </c>
      <c r="O22" s="429">
        <f>O21+N22</f>
        <v>1806221.6663000002</v>
      </c>
      <c r="P22" s="429">
        <f>P21+O22</f>
        <v>1806221.6663000002</v>
      </c>
      <c r="Q22" s="429"/>
      <c r="R22" s="8"/>
    </row>
    <row r="23" spans="1:23" ht="15.75" customHeight="1">
      <c r="A23" s="23" t="s">
        <v>45</v>
      </c>
      <c r="B23" s="73">
        <f t="shared" ref="B23:D24" si="1">B21/B19</f>
        <v>1.183108448734127</v>
      </c>
      <c r="C23" s="73">
        <f t="shared" si="1"/>
        <v>0.94481084181428554</v>
      </c>
      <c r="D23" s="73">
        <f t="shared" si="1"/>
        <v>0.34289497318831169</v>
      </c>
      <c r="E23" s="73"/>
      <c r="F23" s="73">
        <f t="shared" ref="F23:H24" si="2">F21/F19</f>
        <v>0</v>
      </c>
      <c r="G23" s="73">
        <f t="shared" si="2"/>
        <v>0</v>
      </c>
      <c r="H23" s="73">
        <f t="shared" si="2"/>
        <v>0</v>
      </c>
      <c r="I23" s="473">
        <f>G17-G22</f>
        <v>-1806221.6663000002</v>
      </c>
      <c r="J23" s="73">
        <f t="shared" ref="J23:L24" si="3">J21/J19</f>
        <v>0</v>
      </c>
      <c r="K23" s="73">
        <f t="shared" si="3"/>
        <v>0</v>
      </c>
      <c r="L23" s="73">
        <f t="shared" si="3"/>
        <v>0</v>
      </c>
      <c r="M23" s="73"/>
      <c r="N23" s="73">
        <f t="shared" ref="N23:P24" si="4">N21/N19</f>
        <v>0</v>
      </c>
      <c r="O23" s="73">
        <f t="shared" si="4"/>
        <v>0</v>
      </c>
      <c r="P23" s="73">
        <f t="shared" si="4"/>
        <v>0</v>
      </c>
      <c r="Q23" s="473">
        <f>P17-P22</f>
        <v>-1806221.6663000002</v>
      </c>
      <c r="R23" s="8"/>
      <c r="T23" s="167"/>
    </row>
    <row r="24" spans="1:23" s="139" customFormat="1" ht="15.75" customHeight="1">
      <c r="A24" s="43" t="s">
        <v>46</v>
      </c>
      <c r="B24" s="306">
        <f t="shared" si="1"/>
        <v>1.183108448734127</v>
      </c>
      <c r="C24" s="306">
        <f t="shared" si="1"/>
        <v>1.0576886556184211</v>
      </c>
      <c r="D24" s="306">
        <f t="shared" si="1"/>
        <v>0.79559763872738098</v>
      </c>
      <c r="E24" s="306"/>
      <c r="F24" s="306">
        <f t="shared" si="2"/>
        <v>0.6019506986571137</v>
      </c>
      <c r="G24" s="306">
        <f>G22/G20</f>
        <v>0.47381190931420086</v>
      </c>
      <c r="H24" s="306">
        <f t="shared" si="2"/>
        <v>0.38391454735318298</v>
      </c>
      <c r="I24" s="306"/>
      <c r="J24" s="306">
        <f t="shared" si="3"/>
        <v>0.33103000597242788</v>
      </c>
      <c r="K24" s="306">
        <f t="shared" si="3"/>
        <v>0.2870891560609497</v>
      </c>
      <c r="L24" s="306">
        <f t="shared" si="3"/>
        <v>0.25051109052477216</v>
      </c>
      <c r="M24" s="306"/>
      <c r="N24" s="306">
        <f t="shared" si="4"/>
        <v>0.22717051013845149</v>
      </c>
      <c r="O24" s="306">
        <f t="shared" si="4"/>
        <v>0.20585909703842353</v>
      </c>
      <c r="P24" s="306">
        <f t="shared" si="4"/>
        <v>0.1866028659563865</v>
      </c>
      <c r="Q24" s="306"/>
      <c r="R24" s="183"/>
    </row>
    <row r="25" spans="1:23" ht="15.75" customHeight="1">
      <c r="A25" s="216" t="s">
        <v>47</v>
      </c>
      <c r="B25" s="478">
        <f>B22-B20</f>
        <v>124711.70021891897</v>
      </c>
      <c r="C25" s="478">
        <f>C22-C20</f>
        <v>82946.931862162193</v>
      </c>
      <c r="D25" s="478">
        <f>D22-D20</f>
        <v>-464048.60397027014</v>
      </c>
      <c r="E25" s="478"/>
      <c r="F25" s="478">
        <f>F22-F20</f>
        <v>-1194392.2881807964</v>
      </c>
      <c r="G25" s="478">
        <f>G22-G20</f>
        <v>-2005885.2706369371</v>
      </c>
      <c r="H25" s="478">
        <f>H22-H20</f>
        <v>-2898527.5513386917</v>
      </c>
      <c r="I25" s="478"/>
      <c r="J25" s="478">
        <f>J22-J20</f>
        <v>-3650146.7405278808</v>
      </c>
      <c r="K25" s="478">
        <f>K22-K20</f>
        <v>-4485279.172960313</v>
      </c>
      <c r="L25" s="478">
        <f>L22-L20</f>
        <v>-5403924.8486359883</v>
      </c>
      <c r="M25" s="478"/>
      <c r="N25" s="478">
        <f>N22-N20</f>
        <v>-6144729.6486359891</v>
      </c>
      <c r="O25" s="478">
        <f>O22-O20</f>
        <v>-6967846.0930804331</v>
      </c>
      <c r="P25" s="478">
        <f>P22-P20</f>
        <v>-7873274.1819693223</v>
      </c>
      <c r="Q25" s="478"/>
      <c r="R25" s="217"/>
    </row>
    <row r="26" spans="1:23" ht="15.75" customHeight="1" thickBot="1">
      <c r="A26" s="214"/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18"/>
      <c r="V26" s="232"/>
      <c r="W26" s="232"/>
    </row>
    <row r="27" spans="1:23" ht="15.75" customHeight="1">
      <c r="A27" s="92" t="s">
        <v>188</v>
      </c>
      <c r="B27" s="423">
        <f t="shared" ref="B27:D28" si="5">B8/B21</f>
        <v>0.3898627489479099</v>
      </c>
      <c r="C27" s="423">
        <f t="shared" si="5"/>
        <v>0.36129574147826915</v>
      </c>
      <c r="D27" s="423">
        <f t="shared" si="5"/>
        <v>0.37578649914455381</v>
      </c>
      <c r="E27" s="423"/>
      <c r="F27" s="423" t="e">
        <f t="shared" ref="F27:H28" si="6">F8/F21</f>
        <v>#DIV/0!</v>
      </c>
      <c r="G27" s="423" t="e">
        <f t="shared" si="6"/>
        <v>#DIV/0!</v>
      </c>
      <c r="H27" s="423" t="e">
        <f t="shared" si="6"/>
        <v>#DIV/0!</v>
      </c>
      <c r="I27" s="423"/>
      <c r="J27" s="423" t="e">
        <f t="shared" ref="J27:L28" si="7">J8/J21</f>
        <v>#DIV/0!</v>
      </c>
      <c r="K27" s="423" t="e">
        <f t="shared" si="7"/>
        <v>#DIV/0!</v>
      </c>
      <c r="L27" s="423" t="e">
        <f t="shared" si="7"/>
        <v>#DIV/0!</v>
      </c>
      <c r="M27" s="423"/>
      <c r="N27" s="423" t="e">
        <f>N8/N21</f>
        <v>#DIV/0!</v>
      </c>
      <c r="O27" s="423" t="e">
        <f>O8/O21</f>
        <v>#DIV/0!</v>
      </c>
      <c r="P27" s="423" t="e">
        <f>P8/P21</f>
        <v>#DIV/0!</v>
      </c>
      <c r="Q27" s="423"/>
      <c r="R27" s="222"/>
    </row>
    <row r="28" spans="1:23" ht="15.75" customHeight="1" thickBot="1">
      <c r="A28" s="92" t="s">
        <v>189</v>
      </c>
      <c r="B28" s="424">
        <f t="shared" si="5"/>
        <v>0.3898627489479099</v>
      </c>
      <c r="C28" s="424">
        <f t="shared" si="5"/>
        <v>0.3764320637646375</v>
      </c>
      <c r="D28" s="424">
        <f t="shared" si="5"/>
        <v>0.37633004529971181</v>
      </c>
      <c r="E28" s="424"/>
      <c r="F28" s="424">
        <f t="shared" si="6"/>
        <v>0.37633004529971181</v>
      </c>
      <c r="G28" s="424">
        <f t="shared" si="6"/>
        <v>0.37633004529971181</v>
      </c>
      <c r="H28" s="424">
        <f t="shared" si="6"/>
        <v>0.37633004529971181</v>
      </c>
      <c r="I28" s="424"/>
      <c r="J28" s="424">
        <f t="shared" si="7"/>
        <v>0.37633004529971181</v>
      </c>
      <c r="K28" s="424">
        <f t="shared" si="7"/>
        <v>0.37633004529971181</v>
      </c>
      <c r="L28" s="424">
        <f t="shared" si="7"/>
        <v>0.37633004529971181</v>
      </c>
      <c r="M28" s="424"/>
      <c r="N28" s="424">
        <f>N9/N22</f>
        <v>0.37633004529971181</v>
      </c>
      <c r="O28" s="424">
        <f>O9/O22</f>
        <v>0.37633004529971181</v>
      </c>
      <c r="P28" s="424" t="s">
        <v>156</v>
      </c>
      <c r="Q28" s="424"/>
      <c r="R28" s="224"/>
    </row>
    <row r="29" spans="1:23" s="52" customFormat="1" ht="15.75" customHeight="1">
      <c r="A29" s="219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1"/>
      <c r="T29" s="51"/>
    </row>
    <row r="30" spans="1:23" ht="33.6" customHeight="1">
      <c r="A30" s="41"/>
      <c r="B30" s="794"/>
      <c r="C30" s="795"/>
      <c r="D30" s="795"/>
      <c r="E30" s="795"/>
      <c r="F30" s="795"/>
      <c r="G30" s="795"/>
      <c r="H30" s="795"/>
      <c r="I30" s="795"/>
      <c r="J30" s="795"/>
      <c r="K30" s="795"/>
      <c r="L30" s="795"/>
      <c r="M30" s="795"/>
      <c r="N30" s="795"/>
      <c r="O30" s="795"/>
      <c r="P30" s="795"/>
      <c r="Q30" s="795"/>
      <c r="R30" s="796"/>
    </row>
    <row r="39" spans="1:18" ht="13.8" thickBot="1"/>
    <row r="40" spans="1:18" ht="13.8" thickBot="1">
      <c r="A40" s="272" t="s">
        <v>91</v>
      </c>
      <c r="B40" s="283" t="s">
        <v>1</v>
      </c>
      <c r="C40" s="283" t="s">
        <v>2</v>
      </c>
      <c r="D40" s="283" t="s">
        <v>3</v>
      </c>
      <c r="E40" s="281" t="s">
        <v>93</v>
      </c>
      <c r="F40" s="283" t="s">
        <v>4</v>
      </c>
      <c r="G40" s="283" t="s">
        <v>5</v>
      </c>
      <c r="H40" s="283" t="s">
        <v>6</v>
      </c>
      <c r="I40" s="281" t="s">
        <v>93</v>
      </c>
      <c r="J40" s="283" t="s">
        <v>7</v>
      </c>
      <c r="K40" s="283" t="s">
        <v>8</v>
      </c>
      <c r="L40" s="283" t="s">
        <v>9</v>
      </c>
      <c r="M40" s="281" t="s">
        <v>93</v>
      </c>
      <c r="N40" s="283" t="s">
        <v>92</v>
      </c>
      <c r="O40" s="283" t="s">
        <v>11</v>
      </c>
      <c r="P40" s="283" t="s">
        <v>12</v>
      </c>
      <c r="Q40" s="281" t="s">
        <v>93</v>
      </c>
      <c r="R40" s="281" t="s">
        <v>93</v>
      </c>
    </row>
    <row r="41" spans="1:18" ht="14.4" thickTop="1" thickBot="1">
      <c r="A41" s="273" t="s">
        <v>94</v>
      </c>
      <c r="B41" s="129">
        <f>TOMEK!B44+BARTEK!B39+PIOTR!B44+KRZYSZTOF!B44</f>
        <v>0</v>
      </c>
      <c r="C41" s="129">
        <f>TOMEK!C44+BARTEK!C39+PIOTR!C44+KRZYSZTOF!C44</f>
        <v>0</v>
      </c>
      <c r="D41" s="129">
        <f>TOMEK!D44+BARTEK!D39+PIOTR!D44+KRZYSZTOF!D44</f>
        <v>0</v>
      </c>
      <c r="E41" s="282">
        <f>SUM(B41:D41)</f>
        <v>0</v>
      </c>
      <c r="F41" s="129">
        <f>TOMEK!F44+BARTEK!F39+PIOTR!F44+KRZYSZTOF!F44</f>
        <v>0</v>
      </c>
      <c r="G41" s="129">
        <f>TOMEK!G44+BARTEK!G39+PIOTR!G44+KRZYSZTOF!G44</f>
        <v>0</v>
      </c>
      <c r="H41" s="129">
        <f>TOMEK!H44+BARTEK!H39+PIOTR!H44+KRZYSZTOF!H44</f>
        <v>0</v>
      </c>
      <c r="I41" s="282">
        <f>SUM(F41:H41)</f>
        <v>0</v>
      </c>
      <c r="J41" s="129">
        <f>TOMEK!J44+BARTEK!J39+PIOTR!J44+KRZYSZTOF!J44</f>
        <v>0</v>
      </c>
      <c r="K41" s="129">
        <f>TOMEK!K44+BARTEK!K39+PIOTR!K44+KRZYSZTOF!K44</f>
        <v>0</v>
      </c>
      <c r="L41" s="129">
        <f>TOMEK!L44+BARTEK!L39+PIOTR!L44+KRZYSZTOF!L44</f>
        <v>0</v>
      </c>
      <c r="M41" s="282">
        <f>SUM(J41:L41)</f>
        <v>0</v>
      </c>
      <c r="N41" s="129">
        <f>TOMEK!N44+BARTEK!N39+PIOTR!N44+KRZYSZTOF!N44</f>
        <v>0</v>
      </c>
      <c r="O41" s="129">
        <f>TOMEK!O44+BARTEK!O39+PIOTR!O44+KRZYSZTOF!O44</f>
        <v>0</v>
      </c>
      <c r="P41" s="129">
        <f>TOMEK!P44+BARTEK!P39+PIOTR!P44+KRZYSZTOF!P44</f>
        <v>0</v>
      </c>
      <c r="Q41" s="282">
        <f>SUM(N41:P41)</f>
        <v>0</v>
      </c>
      <c r="R41" s="282">
        <f>I41+M41+Q41+E41</f>
        <v>0</v>
      </c>
    </row>
    <row r="42" spans="1:18" ht="14.4" thickTop="1" thickBot="1">
      <c r="A42" s="274" t="s">
        <v>95</v>
      </c>
      <c r="B42" s="129">
        <f>TOMEK!B45+BARTEK!B40+PIOTR!B45+KRZYSZTOF!B45</f>
        <v>0</v>
      </c>
      <c r="C42" s="129">
        <f>TOMEK!C45+BARTEK!C40+PIOTR!C45+KRZYSZTOF!C45</f>
        <v>0</v>
      </c>
      <c r="D42" s="129">
        <f>TOMEK!D45+BARTEK!D40+PIOTR!D45+KRZYSZTOF!D45</f>
        <v>0</v>
      </c>
      <c r="E42" s="170"/>
      <c r="F42" s="129">
        <f>TOMEK!F45+BARTEK!F40+PIOTR!F45+KRZYSZTOF!F45</f>
        <v>0</v>
      </c>
      <c r="G42" s="129">
        <f>TOMEK!G45+BARTEK!G40+PIOTR!G45+KRZYSZTOF!G45</f>
        <v>0</v>
      </c>
      <c r="H42" s="129">
        <f>TOMEK!H45+BARTEK!H40+PIOTR!H45+KRZYSZTOF!H45</f>
        <v>0</v>
      </c>
      <c r="I42" s="170"/>
      <c r="J42" s="129">
        <f>TOMEK!J45+BARTEK!J40+PIOTR!J45+KRZYSZTOF!J45</f>
        <v>0</v>
      </c>
      <c r="K42" s="129">
        <f>TOMEK!K45+BARTEK!K40+PIOTR!K45+KRZYSZTOF!K45</f>
        <v>0</v>
      </c>
      <c r="L42" s="129">
        <f>TOMEK!L45+BARTEK!L40+PIOTR!L45+KRZYSZTOF!L45</f>
        <v>0</v>
      </c>
      <c r="M42" s="170"/>
      <c r="N42" s="129">
        <f>TOMEK!N45+BARTEK!N40+PIOTR!N45+KRZYSZTOF!N45</f>
        <v>0</v>
      </c>
      <c r="O42" s="129">
        <f>TOMEK!O45+BARTEK!O40+PIOTR!O45+KRZYSZTOF!O45</f>
        <v>0</v>
      </c>
      <c r="P42" s="129">
        <f>TOMEK!P45+BARTEK!P40+PIOTR!P45+KRZYSZTOF!P45</f>
        <v>0</v>
      </c>
      <c r="Q42" s="170"/>
      <c r="R42" s="170"/>
    </row>
    <row r="43" spans="1:18" ht="14.4" thickTop="1" thickBot="1">
      <c r="A43" s="274" t="s">
        <v>96</v>
      </c>
      <c r="B43" s="129">
        <f>TOMEK!B46+BARTEK!B41+PIOTR!B46+KRZYSZTOF!B46</f>
        <v>0</v>
      </c>
      <c r="C43" s="129">
        <f>TOMEK!C46+BARTEK!C41+PIOTR!C46+KRZYSZTOF!C46</f>
        <v>0</v>
      </c>
      <c r="D43" s="129">
        <f>TOMEK!D46+BARTEK!D41+PIOTR!D46+KRZYSZTOF!D46</f>
        <v>0</v>
      </c>
      <c r="E43" s="170"/>
      <c r="F43" s="129">
        <f>TOMEK!F46+BARTEK!F41+PIOTR!F46+KRZYSZTOF!F46</f>
        <v>0</v>
      </c>
      <c r="G43" s="129">
        <f>TOMEK!G46+BARTEK!G41+PIOTR!G46+KRZYSZTOF!G46</f>
        <v>0</v>
      </c>
      <c r="H43" s="129">
        <f>TOMEK!H46+BARTEK!H41+PIOTR!H46+KRZYSZTOF!H46</f>
        <v>0</v>
      </c>
      <c r="I43" s="170"/>
      <c r="J43" s="129">
        <f>TOMEK!J46+BARTEK!J41+PIOTR!J46+KRZYSZTOF!J46</f>
        <v>0</v>
      </c>
      <c r="K43" s="129">
        <f>TOMEK!K46+BARTEK!K41+PIOTR!K46+KRZYSZTOF!K46</f>
        <v>0</v>
      </c>
      <c r="L43" s="129">
        <f>TOMEK!L46+BARTEK!L41+PIOTR!L46+KRZYSZTOF!L46</f>
        <v>0</v>
      </c>
      <c r="M43" s="170"/>
      <c r="N43" s="129">
        <f>TOMEK!N46+BARTEK!N41+PIOTR!N46+KRZYSZTOF!N46</f>
        <v>0</v>
      </c>
      <c r="O43" s="129">
        <f>TOMEK!O46+BARTEK!O41+PIOTR!O46+KRZYSZTOF!O46</f>
        <v>0</v>
      </c>
      <c r="P43" s="129">
        <f>TOMEK!P46+BARTEK!P41+PIOTR!P46+KRZYSZTOF!P46</f>
        <v>0</v>
      </c>
      <c r="Q43" s="170"/>
      <c r="R43" s="170"/>
    </row>
    <row r="44" spans="1:18" ht="14.4" thickTop="1" thickBot="1">
      <c r="A44" s="274" t="s">
        <v>125</v>
      </c>
      <c r="B44" s="129">
        <f>TOMEK!B47+BARTEK!B42+PIOTR!B47+KRZYSZTOF!B47</f>
        <v>0</v>
      </c>
      <c r="C44" s="129">
        <f>TOMEK!C47+BARTEK!C42+PIOTR!C47+KRZYSZTOF!C47</f>
        <v>0</v>
      </c>
      <c r="D44" s="129">
        <f>TOMEK!D47+BARTEK!D42+PIOTR!D47+KRZYSZTOF!D47</f>
        <v>0</v>
      </c>
      <c r="E44" s="170"/>
      <c r="F44" s="129">
        <f>TOMEK!F47+BARTEK!F42+PIOTR!F47+KRZYSZTOF!F47</f>
        <v>0</v>
      </c>
      <c r="G44" s="129">
        <f>TOMEK!G47+BARTEK!G42+PIOTR!G47+KRZYSZTOF!G47</f>
        <v>0</v>
      </c>
      <c r="H44" s="129">
        <f>TOMEK!H47+BARTEK!H42+PIOTR!H47+KRZYSZTOF!H47</f>
        <v>0</v>
      </c>
      <c r="I44" s="170"/>
      <c r="J44" s="129">
        <f>TOMEK!J47+BARTEK!J42+PIOTR!J47+KRZYSZTOF!J47</f>
        <v>0</v>
      </c>
      <c r="K44" s="129">
        <f>TOMEK!K47+BARTEK!K42+PIOTR!K47+KRZYSZTOF!K47</f>
        <v>0</v>
      </c>
      <c r="L44" s="129">
        <f>TOMEK!L47+BARTEK!L42+PIOTR!L47+KRZYSZTOF!L47</f>
        <v>0</v>
      </c>
      <c r="M44" s="170"/>
      <c r="N44" s="129">
        <f>TOMEK!N47+BARTEK!N42+PIOTR!N47+KRZYSZTOF!N47</f>
        <v>0</v>
      </c>
      <c r="O44" s="129">
        <f>TOMEK!O47+BARTEK!O42+PIOTR!O47+KRZYSZTOF!O47</f>
        <v>0</v>
      </c>
      <c r="P44" s="129">
        <f>TOMEK!P47+BARTEK!P42+PIOTR!P47+KRZYSZTOF!P47</f>
        <v>0</v>
      </c>
      <c r="Q44" s="170"/>
      <c r="R44" s="170"/>
    </row>
    <row r="45" spans="1:18" ht="14.4" thickTop="1" thickBot="1">
      <c r="A45" s="274" t="s">
        <v>97</v>
      </c>
      <c r="B45" s="129">
        <f>TOMEK!B48+BARTEK!B43+PIOTR!B48+KRZYSZTOF!B48</f>
        <v>0</v>
      </c>
      <c r="C45" s="129">
        <f>TOMEK!C48+BARTEK!C43+PIOTR!C48+KRZYSZTOF!C48</f>
        <v>0</v>
      </c>
      <c r="D45" s="129">
        <f>TOMEK!D48+BARTEK!D43+PIOTR!D48+KRZYSZTOF!D48</f>
        <v>0</v>
      </c>
      <c r="E45" s="171"/>
      <c r="F45" s="129">
        <f>TOMEK!F48+BARTEK!F43+PIOTR!F48+KRZYSZTOF!F48</f>
        <v>0</v>
      </c>
      <c r="G45" s="129">
        <f>TOMEK!G48+BARTEK!G43+PIOTR!G48+KRZYSZTOF!G48</f>
        <v>0</v>
      </c>
      <c r="H45" s="129">
        <f>TOMEK!H48+BARTEK!H43+PIOTR!H48+KRZYSZTOF!H48</f>
        <v>0</v>
      </c>
      <c r="I45" s="171"/>
      <c r="J45" s="129">
        <f>TOMEK!J48+BARTEK!J43+PIOTR!J48+KRZYSZTOF!J48</f>
        <v>0</v>
      </c>
      <c r="K45" s="129">
        <f>TOMEK!K48+BARTEK!K43+PIOTR!K48+KRZYSZTOF!K48</f>
        <v>0</v>
      </c>
      <c r="L45" s="129">
        <f>TOMEK!L48+BARTEK!L43+PIOTR!L48+KRZYSZTOF!L48</f>
        <v>0</v>
      </c>
      <c r="M45" s="171"/>
      <c r="N45" s="129">
        <f>TOMEK!N48+BARTEK!N43+PIOTR!N48+KRZYSZTOF!N48</f>
        <v>0</v>
      </c>
      <c r="O45" s="129">
        <f>TOMEK!O48+BARTEK!O43+PIOTR!O48+KRZYSZTOF!O48</f>
        <v>0</v>
      </c>
      <c r="P45" s="129">
        <f>TOMEK!P48+BARTEK!P43+PIOTR!P48+KRZYSZTOF!P48</f>
        <v>0</v>
      </c>
      <c r="Q45" s="171"/>
      <c r="R45" s="171"/>
    </row>
    <row r="46" spans="1:18" ht="14.4" thickTop="1" thickBot="1">
      <c r="A46" s="275" t="s">
        <v>98</v>
      </c>
      <c r="B46" s="129">
        <f>TOMEK!B49+BARTEK!B44+PIOTR!B49+KRZYSZTOF!B49</f>
        <v>0</v>
      </c>
      <c r="C46" s="129">
        <f>TOMEK!C49+BARTEK!C44+PIOTR!C49+KRZYSZTOF!C49</f>
        <v>0</v>
      </c>
      <c r="D46" s="129">
        <f>TOMEK!D49+BARTEK!D44+PIOTR!D49+KRZYSZTOF!D49</f>
        <v>0</v>
      </c>
      <c r="E46" s="282">
        <f>SUM(B46:D46)</f>
        <v>0</v>
      </c>
      <c r="F46" s="129">
        <f>TOMEK!F49+BARTEK!F44+PIOTR!F49+KRZYSZTOF!F49</f>
        <v>0</v>
      </c>
      <c r="G46" s="129">
        <f>TOMEK!G49+BARTEK!G44+PIOTR!G49+KRZYSZTOF!G49</f>
        <v>0</v>
      </c>
      <c r="H46" s="129">
        <f>TOMEK!H49+BARTEK!H44+PIOTR!H49+KRZYSZTOF!H49</f>
        <v>0</v>
      </c>
      <c r="I46" s="282">
        <f>SUM(F46:H46)</f>
        <v>0</v>
      </c>
      <c r="J46" s="129">
        <f>TOMEK!J49+BARTEK!J44+PIOTR!J49+KRZYSZTOF!J49</f>
        <v>0</v>
      </c>
      <c r="K46" s="129">
        <f>TOMEK!K49+BARTEK!K44+PIOTR!K49+KRZYSZTOF!K49</f>
        <v>0</v>
      </c>
      <c r="L46" s="129">
        <f>TOMEK!L49+BARTEK!L44+PIOTR!L49+KRZYSZTOF!L49</f>
        <v>0</v>
      </c>
      <c r="M46" s="282">
        <f>SUM(J46:L46)</f>
        <v>0</v>
      </c>
      <c r="N46" s="129">
        <f>TOMEK!N49+BARTEK!N44+PIOTR!N49+KRZYSZTOF!N49</f>
        <v>0</v>
      </c>
      <c r="O46" s="129">
        <f>TOMEK!O49+BARTEK!O44+PIOTR!O49+KRZYSZTOF!O49</f>
        <v>0</v>
      </c>
      <c r="P46" s="129">
        <f>TOMEK!P49+BARTEK!P44+PIOTR!P49+KRZYSZTOF!P49</f>
        <v>0</v>
      </c>
      <c r="Q46" s="282">
        <f>SUM(N46:P46)</f>
        <v>0</v>
      </c>
      <c r="R46" s="282">
        <f>I46+M46+Q46+E46</f>
        <v>0</v>
      </c>
    </row>
    <row r="47" spans="1:18" ht="14.4" thickTop="1" thickBot="1">
      <c r="A47" s="276" t="s">
        <v>126</v>
      </c>
      <c r="B47" s="129">
        <f>TOMEK!B50+BARTEK!B45+PIOTR!B50+KRZYSZTOF!B50</f>
        <v>0</v>
      </c>
      <c r="C47" s="129">
        <f>TOMEK!C50+BARTEK!C45+PIOTR!C50+KRZYSZTOF!C50</f>
        <v>0</v>
      </c>
      <c r="D47" s="129">
        <f>TOMEK!D50+BARTEK!D45+PIOTR!D50+KRZYSZTOF!D50</f>
        <v>0</v>
      </c>
      <c r="E47" s="282">
        <f>SUM(B47:D47)</f>
        <v>0</v>
      </c>
      <c r="F47" s="129">
        <f>TOMEK!F50+BARTEK!F45+PIOTR!F50+KRZYSZTOF!F50</f>
        <v>0</v>
      </c>
      <c r="G47" s="129">
        <f>TOMEK!G50+BARTEK!G45+PIOTR!G50+KRZYSZTOF!G50</f>
        <v>0</v>
      </c>
      <c r="H47" s="129">
        <f>TOMEK!H50+BARTEK!H45+PIOTR!H50+KRZYSZTOF!H50</f>
        <v>0</v>
      </c>
      <c r="I47" s="282">
        <f>SUM(F47:H47)</f>
        <v>0</v>
      </c>
      <c r="J47" s="129">
        <f>TOMEK!J50+BARTEK!J45+PIOTR!J50+KRZYSZTOF!J50</f>
        <v>0</v>
      </c>
      <c r="K47" s="129">
        <f>TOMEK!K50+BARTEK!K45+PIOTR!K50+KRZYSZTOF!K50</f>
        <v>0</v>
      </c>
      <c r="L47" s="129">
        <f>TOMEK!L50+BARTEK!L45+PIOTR!L50+KRZYSZTOF!L50</f>
        <v>0</v>
      </c>
      <c r="M47" s="282">
        <f>SUM(J47:L47)</f>
        <v>0</v>
      </c>
      <c r="N47" s="129">
        <f>TOMEK!N50+BARTEK!N45+PIOTR!N50+KRZYSZTOF!N50</f>
        <v>0</v>
      </c>
      <c r="O47" s="129">
        <f>TOMEK!O50+BARTEK!O45+PIOTR!O50+KRZYSZTOF!O50</f>
        <v>0</v>
      </c>
      <c r="P47" s="129">
        <f>TOMEK!P50+BARTEK!P45+PIOTR!P50+KRZYSZTOF!P50</f>
        <v>0</v>
      </c>
      <c r="Q47" s="282">
        <f>SUM(N47:P47)</f>
        <v>0</v>
      </c>
      <c r="R47" s="282">
        <f>I47+M47+Q47+E47</f>
        <v>0</v>
      </c>
    </row>
    <row r="48" spans="1:18" ht="14.4" thickTop="1" thickBot="1">
      <c r="A48" s="274" t="s">
        <v>99</v>
      </c>
      <c r="B48" s="129">
        <f>TOMEK!B51+BARTEK!B46+PIOTR!B51+KRZYSZTOF!B51</f>
        <v>0</v>
      </c>
      <c r="C48" s="129">
        <f>TOMEK!C51+BARTEK!C46+PIOTR!C51+KRZYSZTOF!C51</f>
        <v>0</v>
      </c>
      <c r="D48" s="129">
        <f>TOMEK!D51+BARTEK!D46+PIOTR!D51+KRZYSZTOF!D51</f>
        <v>0</v>
      </c>
      <c r="E48" s="172"/>
      <c r="F48" s="129">
        <f>TOMEK!F51+BARTEK!F46+PIOTR!F51+KRZYSZTOF!F51</f>
        <v>0</v>
      </c>
      <c r="G48" s="129">
        <f>TOMEK!G51+BARTEK!G46+PIOTR!G51+KRZYSZTOF!G51</f>
        <v>0</v>
      </c>
      <c r="H48" s="129">
        <f>TOMEK!H51+BARTEK!H46+PIOTR!H51+KRZYSZTOF!H51</f>
        <v>0</v>
      </c>
      <c r="I48" s="172"/>
      <c r="J48" s="129">
        <f>TOMEK!J51+BARTEK!J46+PIOTR!J51+KRZYSZTOF!J51</f>
        <v>0</v>
      </c>
      <c r="K48" s="129">
        <f>TOMEK!K51+BARTEK!K46+PIOTR!K51+KRZYSZTOF!K51</f>
        <v>0</v>
      </c>
      <c r="L48" s="129">
        <f>TOMEK!L51+BARTEK!L46+PIOTR!L51+KRZYSZTOF!L51</f>
        <v>0</v>
      </c>
      <c r="M48" s="172"/>
      <c r="N48" s="129">
        <f>TOMEK!N51+BARTEK!N46+PIOTR!N51+KRZYSZTOF!N51</f>
        <v>0</v>
      </c>
      <c r="O48" s="129">
        <f>TOMEK!O51+BARTEK!O46+PIOTR!O51+KRZYSZTOF!O51</f>
        <v>0</v>
      </c>
      <c r="P48" s="129">
        <f>TOMEK!P51+BARTEK!P46+PIOTR!P51+KRZYSZTOF!P51</f>
        <v>0</v>
      </c>
      <c r="Q48" s="172"/>
      <c r="R48" s="172"/>
    </row>
    <row r="49" spans="1:19" ht="14.4" thickTop="1" thickBot="1">
      <c r="A49" s="274" t="s">
        <v>100</v>
      </c>
      <c r="B49" s="129">
        <f>TOMEK!B52+BARTEK!B47+PIOTR!B52+KRZYSZTOF!B52</f>
        <v>0</v>
      </c>
      <c r="C49" s="129">
        <f>TOMEK!C52+BARTEK!C47+PIOTR!C52+KRZYSZTOF!C52</f>
        <v>0</v>
      </c>
      <c r="D49" s="129">
        <f>TOMEK!D52+BARTEK!D47+PIOTR!D52+KRZYSZTOF!D52</f>
        <v>0</v>
      </c>
      <c r="E49" s="282">
        <f t="shared" ref="E49:E53" si="8">SUM(E46:E48)</f>
        <v>0</v>
      </c>
      <c r="F49" s="129">
        <f>TOMEK!F52+BARTEK!F47+PIOTR!F52+KRZYSZTOF!F52</f>
        <v>0</v>
      </c>
      <c r="G49" s="129">
        <f>TOMEK!G52+BARTEK!G47+PIOTR!G52+KRZYSZTOF!G52</f>
        <v>0</v>
      </c>
      <c r="H49" s="129">
        <f>TOMEK!H52+BARTEK!H47+PIOTR!H52+KRZYSZTOF!H52</f>
        <v>0</v>
      </c>
      <c r="I49" s="282">
        <f t="shared" ref="I49:I53" si="9">SUM(I46:I48)</f>
        <v>0</v>
      </c>
      <c r="J49" s="129">
        <f>TOMEK!J52+BARTEK!J47+PIOTR!J52+KRZYSZTOF!J52</f>
        <v>0</v>
      </c>
      <c r="K49" s="129">
        <f>TOMEK!K52+BARTEK!K47+PIOTR!K52+KRZYSZTOF!K52</f>
        <v>0</v>
      </c>
      <c r="L49" s="129">
        <f>TOMEK!L52+BARTEK!L47+PIOTR!L52+KRZYSZTOF!L52</f>
        <v>0</v>
      </c>
      <c r="M49" s="282">
        <f t="shared" ref="M49:M53" si="10">SUM(M46:M48)</f>
        <v>0</v>
      </c>
      <c r="N49" s="129">
        <f>TOMEK!N52+BARTEK!N47+PIOTR!N52+KRZYSZTOF!N52</f>
        <v>0</v>
      </c>
      <c r="O49" s="129">
        <f>TOMEK!O52+BARTEK!O47+PIOTR!O52+KRZYSZTOF!O52</f>
        <v>0</v>
      </c>
      <c r="P49" s="129">
        <f>TOMEK!P52+BARTEK!P47+PIOTR!P52+KRZYSZTOF!P52</f>
        <v>0</v>
      </c>
      <c r="Q49" s="282">
        <f t="shared" ref="Q49:Q53" si="11">SUM(Q46:Q48)</f>
        <v>0</v>
      </c>
      <c r="R49" s="282">
        <f>I49+M49+Q49+E49</f>
        <v>0</v>
      </c>
    </row>
    <row r="50" spans="1:19" ht="14.4" thickTop="1" thickBot="1">
      <c r="A50" s="277" t="s">
        <v>101</v>
      </c>
      <c r="B50" s="129">
        <f>TOMEK!B53+BARTEK!B48+PIOTR!B53+KRZYSZTOF!B53</f>
        <v>0</v>
      </c>
      <c r="C50" s="129">
        <f>TOMEK!C53+BARTEK!C48+PIOTR!C53+KRZYSZTOF!C53</f>
        <v>0</v>
      </c>
      <c r="D50" s="129">
        <f>TOMEK!D53+BARTEK!D48+PIOTR!D53+KRZYSZTOF!D53</f>
        <v>0</v>
      </c>
      <c r="E50" s="282">
        <f t="shared" si="8"/>
        <v>0</v>
      </c>
      <c r="F50" s="129">
        <f>TOMEK!F53+BARTEK!F48+PIOTR!F53+KRZYSZTOF!F53</f>
        <v>0</v>
      </c>
      <c r="G50" s="129">
        <f>TOMEK!G53+BARTEK!G48+PIOTR!G53+KRZYSZTOF!G53</f>
        <v>0</v>
      </c>
      <c r="H50" s="129">
        <f>TOMEK!H53+BARTEK!H48+PIOTR!H53+KRZYSZTOF!H53</f>
        <v>0</v>
      </c>
      <c r="I50" s="282">
        <f t="shared" si="9"/>
        <v>0</v>
      </c>
      <c r="J50" s="129">
        <f>TOMEK!J53+BARTEK!J48+PIOTR!J53+KRZYSZTOF!J53</f>
        <v>0</v>
      </c>
      <c r="K50" s="129">
        <f>TOMEK!K53+BARTEK!K48+PIOTR!K53+KRZYSZTOF!K53</f>
        <v>0</v>
      </c>
      <c r="L50" s="129">
        <f>TOMEK!L53+BARTEK!L48+PIOTR!L53+KRZYSZTOF!L53</f>
        <v>0</v>
      </c>
      <c r="M50" s="282">
        <f t="shared" si="10"/>
        <v>0</v>
      </c>
      <c r="N50" s="129">
        <f>TOMEK!N53+BARTEK!N48+PIOTR!N53+KRZYSZTOF!N53</f>
        <v>0</v>
      </c>
      <c r="O50" s="129">
        <f>TOMEK!O53+BARTEK!O48+PIOTR!O53+KRZYSZTOF!O53</f>
        <v>0</v>
      </c>
      <c r="P50" s="129">
        <f>TOMEK!P53+BARTEK!P48+PIOTR!P53+KRZYSZTOF!P53</f>
        <v>0</v>
      </c>
      <c r="Q50" s="282">
        <f t="shared" si="11"/>
        <v>0</v>
      </c>
      <c r="R50" s="282">
        <f>I50+M50+Q50+E50</f>
        <v>0</v>
      </c>
    </row>
    <row r="51" spans="1:19" ht="14.4" thickTop="1" thickBot="1">
      <c r="A51" s="273" t="s">
        <v>173</v>
      </c>
      <c r="B51" s="129">
        <f>TOMEK!B54+BARTEK!B49+PIOTR!B54+KRZYSZTOF!B54</f>
        <v>0</v>
      </c>
      <c r="C51" s="129">
        <f>TOMEK!C54+BARTEK!C49+PIOTR!C54+KRZYSZTOF!C54</f>
        <v>0</v>
      </c>
      <c r="D51" s="129">
        <f>TOMEK!D54+BARTEK!D49+PIOTR!D54+KRZYSZTOF!D54</f>
        <v>0</v>
      </c>
      <c r="E51" s="282">
        <f t="shared" si="8"/>
        <v>0</v>
      </c>
      <c r="F51" s="129">
        <f>TOMEK!F54+BARTEK!F49+PIOTR!F54+KRZYSZTOF!F54</f>
        <v>0</v>
      </c>
      <c r="G51" s="129">
        <f>TOMEK!G54+BARTEK!G49+PIOTR!G54+KRZYSZTOF!G54</f>
        <v>0</v>
      </c>
      <c r="H51" s="129">
        <f>TOMEK!H54+BARTEK!H49+PIOTR!H54+KRZYSZTOF!H54</f>
        <v>0</v>
      </c>
      <c r="I51" s="282">
        <f t="shared" si="9"/>
        <v>0</v>
      </c>
      <c r="J51" s="129">
        <f>TOMEK!J54+BARTEK!J49+PIOTR!J54+KRZYSZTOF!J54</f>
        <v>0</v>
      </c>
      <c r="K51" s="129">
        <f>TOMEK!K54+BARTEK!K49+PIOTR!K54+KRZYSZTOF!K54</f>
        <v>0</v>
      </c>
      <c r="L51" s="129">
        <f>TOMEK!L54+BARTEK!L49+PIOTR!L54+KRZYSZTOF!L54</f>
        <v>0</v>
      </c>
      <c r="M51" s="282">
        <f t="shared" si="10"/>
        <v>0</v>
      </c>
      <c r="N51" s="129">
        <f>TOMEK!N54+BARTEK!N49+PIOTR!N54+KRZYSZTOF!N54</f>
        <v>0</v>
      </c>
      <c r="O51" s="129">
        <f>TOMEK!O54+BARTEK!O49+PIOTR!O54+KRZYSZTOF!O54</f>
        <v>0</v>
      </c>
      <c r="P51" s="129">
        <f>TOMEK!P54+BARTEK!P49+PIOTR!P54+KRZYSZTOF!P54</f>
        <v>0</v>
      </c>
      <c r="Q51" s="282">
        <f t="shared" si="11"/>
        <v>0</v>
      </c>
      <c r="R51" s="282">
        <f>I51+M51+Q51+E51</f>
        <v>0</v>
      </c>
    </row>
    <row r="52" spans="1:19" ht="14.4" thickTop="1" thickBot="1">
      <c r="A52" s="275" t="s">
        <v>102</v>
      </c>
      <c r="B52" s="129">
        <f>TOMEK!B55+BARTEK!B50+PIOTR!B55+KRZYSZTOF!B55</f>
        <v>0</v>
      </c>
      <c r="C52" s="129">
        <f>TOMEK!C55+BARTEK!C50+PIOTR!C55+KRZYSZTOF!C55</f>
        <v>0</v>
      </c>
      <c r="D52" s="129">
        <f>TOMEK!D55+BARTEK!D50+PIOTR!D55+KRZYSZTOF!D55</f>
        <v>0</v>
      </c>
      <c r="E52" s="282">
        <f t="shared" si="8"/>
        <v>0</v>
      </c>
      <c r="F52" s="129">
        <f>TOMEK!F55+BARTEK!F50+PIOTR!F55+KRZYSZTOF!F55</f>
        <v>0</v>
      </c>
      <c r="G52" s="129">
        <f>TOMEK!G55+BARTEK!G50+PIOTR!G55+KRZYSZTOF!G55</f>
        <v>0</v>
      </c>
      <c r="H52" s="129">
        <f>TOMEK!H55+BARTEK!H50+PIOTR!H55+KRZYSZTOF!H55</f>
        <v>0</v>
      </c>
      <c r="I52" s="282">
        <f t="shared" si="9"/>
        <v>0</v>
      </c>
      <c r="J52" s="129">
        <f>TOMEK!J55+BARTEK!J50+PIOTR!J55+KRZYSZTOF!J55</f>
        <v>0</v>
      </c>
      <c r="K52" s="129">
        <f>TOMEK!K55+BARTEK!K50+PIOTR!K55+KRZYSZTOF!K55</f>
        <v>0</v>
      </c>
      <c r="L52" s="129">
        <f>TOMEK!L55+BARTEK!L50+PIOTR!L55+KRZYSZTOF!L55</f>
        <v>0</v>
      </c>
      <c r="M52" s="282">
        <f t="shared" si="10"/>
        <v>0</v>
      </c>
      <c r="N52" s="129">
        <f>TOMEK!N55+BARTEK!N50+PIOTR!N55+KRZYSZTOF!N55</f>
        <v>0</v>
      </c>
      <c r="O52" s="129">
        <f>TOMEK!O55+BARTEK!O50+PIOTR!O55+KRZYSZTOF!O55</f>
        <v>0</v>
      </c>
      <c r="P52" s="129">
        <f>TOMEK!P55+BARTEK!P50+PIOTR!P55+KRZYSZTOF!P55</f>
        <v>0</v>
      </c>
      <c r="Q52" s="282">
        <f t="shared" si="11"/>
        <v>0</v>
      </c>
      <c r="R52" s="282">
        <f>I52+M52+Q52+E52</f>
        <v>0</v>
      </c>
    </row>
    <row r="53" spans="1:19" ht="14.4" thickTop="1" thickBot="1">
      <c r="A53" s="275" t="s">
        <v>103</v>
      </c>
      <c r="B53" s="129">
        <f>TOMEK!B56+BARTEK!B51+PIOTR!B56+KRZYSZTOF!B56</f>
        <v>0</v>
      </c>
      <c r="C53" s="129">
        <f>TOMEK!C56+BARTEK!C51+PIOTR!C56+KRZYSZTOF!C56</f>
        <v>0</v>
      </c>
      <c r="D53" s="129">
        <f>TOMEK!D56+BARTEK!D51+PIOTR!D56+KRZYSZTOF!D56</f>
        <v>0</v>
      </c>
      <c r="E53" s="282">
        <f t="shared" si="8"/>
        <v>0</v>
      </c>
      <c r="F53" s="129">
        <f>TOMEK!F56+BARTEK!F51+PIOTR!F56+KRZYSZTOF!F56</f>
        <v>0</v>
      </c>
      <c r="G53" s="129">
        <f>TOMEK!G56+BARTEK!G51+PIOTR!G56+KRZYSZTOF!G56</f>
        <v>0</v>
      </c>
      <c r="H53" s="129">
        <f>TOMEK!H56+BARTEK!H51+PIOTR!H56+KRZYSZTOF!H56</f>
        <v>0</v>
      </c>
      <c r="I53" s="282">
        <f t="shared" si="9"/>
        <v>0</v>
      </c>
      <c r="J53" s="129">
        <f>TOMEK!J56+BARTEK!J51+PIOTR!J56+KRZYSZTOF!J56</f>
        <v>0</v>
      </c>
      <c r="K53" s="129">
        <f>TOMEK!K56+BARTEK!K51+PIOTR!K56+KRZYSZTOF!K56</f>
        <v>0</v>
      </c>
      <c r="L53" s="129">
        <f>TOMEK!L56+BARTEK!L51+PIOTR!L56+KRZYSZTOF!L56</f>
        <v>0</v>
      </c>
      <c r="M53" s="282">
        <f t="shared" si="10"/>
        <v>0</v>
      </c>
      <c r="N53" s="129">
        <f>TOMEK!N56+BARTEK!N51+PIOTR!N56+KRZYSZTOF!N56</f>
        <v>0</v>
      </c>
      <c r="O53" s="129">
        <f>TOMEK!O56+BARTEK!O51+PIOTR!O56+KRZYSZTOF!O56</f>
        <v>0</v>
      </c>
      <c r="P53" s="129">
        <f>TOMEK!P56+BARTEK!P51+PIOTR!P56+KRZYSZTOF!P56</f>
        <v>0</v>
      </c>
      <c r="Q53" s="282">
        <f t="shared" si="11"/>
        <v>0</v>
      </c>
      <c r="R53" s="282">
        <f>I53+M53+Q53+E53</f>
        <v>0</v>
      </c>
    </row>
    <row r="54" spans="1:19" ht="14.4" thickTop="1" thickBot="1">
      <c r="A54" s="278" t="s">
        <v>104</v>
      </c>
      <c r="B54" s="129">
        <f>TOMEK!B57+BARTEK!B52+PIOTR!B57+KRZYSZTOF!B57</f>
        <v>0</v>
      </c>
      <c r="C54" s="129">
        <f>TOMEK!C57+BARTEK!C52+PIOTR!C57+KRZYSZTOF!C57</f>
        <v>0</v>
      </c>
      <c r="D54" s="129">
        <f>TOMEK!D57+BARTEK!D52+PIOTR!D57+KRZYSZTOF!D57</f>
        <v>0</v>
      </c>
      <c r="E54" s="128"/>
      <c r="F54" s="129">
        <f>TOMEK!F57+BARTEK!F52+PIOTR!F57+KRZYSZTOF!F57</f>
        <v>0</v>
      </c>
      <c r="G54" s="129">
        <f>TOMEK!G57+BARTEK!G52+PIOTR!G57+KRZYSZTOF!G57</f>
        <v>0</v>
      </c>
      <c r="H54" s="129">
        <f>TOMEK!H57+BARTEK!H52+PIOTR!H57+KRZYSZTOF!H57</f>
        <v>0</v>
      </c>
      <c r="I54" s="128"/>
      <c r="J54" s="129">
        <f>TOMEK!J57+BARTEK!J52+PIOTR!J57+KRZYSZTOF!J57</f>
        <v>0</v>
      </c>
      <c r="K54" s="129">
        <f>TOMEK!K57+BARTEK!K52+PIOTR!K57+KRZYSZTOF!K57</f>
        <v>0</v>
      </c>
      <c r="L54" s="129">
        <f>TOMEK!L57+BARTEK!L52+PIOTR!L57+KRZYSZTOF!L57</f>
        <v>0</v>
      </c>
      <c r="M54" s="128"/>
      <c r="N54" s="129">
        <f>TOMEK!N57+BARTEK!N52+PIOTR!N57+KRZYSZTOF!N57</f>
        <v>0</v>
      </c>
      <c r="O54" s="129">
        <f>TOMEK!O57+BARTEK!O52+PIOTR!O57+KRZYSZTOF!O57</f>
        <v>0</v>
      </c>
      <c r="P54" s="129">
        <f>TOMEK!P57+BARTEK!P52+PIOTR!P57+KRZYSZTOF!P57</f>
        <v>0</v>
      </c>
      <c r="Q54" s="128"/>
      <c r="R54" s="128"/>
    </row>
    <row r="55" spans="1:19" ht="14.4" thickTop="1" thickBot="1">
      <c r="A55" s="279" t="s">
        <v>105</v>
      </c>
      <c r="B55" s="129">
        <f>TOMEK!B58+BARTEK!B53+PIOTR!B58+KRZYSZTOF!B58</f>
        <v>0</v>
      </c>
      <c r="C55" s="129">
        <f>TOMEK!C58+BARTEK!C53+PIOTR!C58+KRZYSZTOF!C58</f>
        <v>0</v>
      </c>
      <c r="D55" s="129">
        <f>TOMEK!D58+BARTEK!D53+PIOTR!D58+KRZYSZTOF!D58</f>
        <v>0</v>
      </c>
      <c r="E55" s="282">
        <f t="shared" ref="E55:E57" si="12">SUM(B55:D55)</f>
        <v>0</v>
      </c>
      <c r="F55" s="129">
        <f>TOMEK!F58+BARTEK!F53+PIOTR!F58+KRZYSZTOF!F58</f>
        <v>0</v>
      </c>
      <c r="G55" s="129">
        <f>TOMEK!G58+BARTEK!G53+PIOTR!G58+KRZYSZTOF!G58</f>
        <v>0</v>
      </c>
      <c r="H55" s="129">
        <f>TOMEK!H58+BARTEK!H53+PIOTR!H58+KRZYSZTOF!H58</f>
        <v>0</v>
      </c>
      <c r="I55" s="282">
        <f t="shared" ref="I55:I57" si="13">SUM(F55:H55)</f>
        <v>0</v>
      </c>
      <c r="J55" s="129">
        <f>TOMEK!J58+BARTEK!J53+PIOTR!J58+KRZYSZTOF!J58</f>
        <v>0</v>
      </c>
      <c r="K55" s="129">
        <f>TOMEK!K58+BARTEK!K53+PIOTR!K58+KRZYSZTOF!K58</f>
        <v>0</v>
      </c>
      <c r="L55" s="129">
        <f>TOMEK!L58+BARTEK!L53+PIOTR!L58+KRZYSZTOF!L58</f>
        <v>0</v>
      </c>
      <c r="M55" s="282">
        <f t="shared" ref="M55:M57" si="14">SUM(J55:L55)</f>
        <v>0</v>
      </c>
      <c r="N55" s="129">
        <f>TOMEK!N58+BARTEK!N53+PIOTR!N58+KRZYSZTOF!N58</f>
        <v>0</v>
      </c>
      <c r="O55" s="129">
        <f>TOMEK!O58+BARTEK!O53+PIOTR!O58+KRZYSZTOF!O58</f>
        <v>0</v>
      </c>
      <c r="P55" s="129">
        <f>TOMEK!P58+BARTEK!P53+PIOTR!P58+KRZYSZTOF!P58</f>
        <v>0</v>
      </c>
      <c r="Q55" s="282">
        <f t="shared" ref="Q55:Q57" si="15">SUM(N55:P55)</f>
        <v>0</v>
      </c>
      <c r="R55" s="282">
        <f>I55+M55+Q55+E55</f>
        <v>0</v>
      </c>
    </row>
    <row r="56" spans="1:19" ht="14.4" thickTop="1" thickBot="1">
      <c r="A56" s="279" t="s">
        <v>106</v>
      </c>
      <c r="B56" s="129">
        <f>TOMEK!B59+BARTEK!B54+PIOTR!B59+KRZYSZTOF!B59</f>
        <v>0</v>
      </c>
      <c r="C56" s="129">
        <f>TOMEK!C59+BARTEK!C54+PIOTR!C59+KRZYSZTOF!C59</f>
        <v>0</v>
      </c>
      <c r="D56" s="129">
        <f>TOMEK!D59+BARTEK!D54+PIOTR!D59+KRZYSZTOF!D59</f>
        <v>0</v>
      </c>
      <c r="E56" s="282">
        <f t="shared" si="12"/>
        <v>0</v>
      </c>
      <c r="F56" s="129">
        <f>TOMEK!F59+BARTEK!F54+PIOTR!F59+KRZYSZTOF!F59</f>
        <v>0</v>
      </c>
      <c r="G56" s="129">
        <f>TOMEK!G59+BARTEK!G54+PIOTR!G59+KRZYSZTOF!G59</f>
        <v>0</v>
      </c>
      <c r="H56" s="129">
        <f>TOMEK!H59+BARTEK!H54+PIOTR!H59+KRZYSZTOF!H59</f>
        <v>0</v>
      </c>
      <c r="I56" s="282">
        <f t="shared" si="13"/>
        <v>0</v>
      </c>
      <c r="J56" s="129">
        <f>TOMEK!J59+BARTEK!J54+PIOTR!J59+KRZYSZTOF!J59</f>
        <v>0</v>
      </c>
      <c r="K56" s="129">
        <f>TOMEK!K59+BARTEK!K54+PIOTR!K59+KRZYSZTOF!K59</f>
        <v>0</v>
      </c>
      <c r="L56" s="129">
        <f>TOMEK!L59+BARTEK!L54+PIOTR!L59+KRZYSZTOF!L59</f>
        <v>0</v>
      </c>
      <c r="M56" s="282">
        <f t="shared" si="14"/>
        <v>0</v>
      </c>
      <c r="N56" s="129">
        <f>TOMEK!N59+BARTEK!N54+PIOTR!N59+KRZYSZTOF!N59</f>
        <v>0</v>
      </c>
      <c r="O56" s="129">
        <f>TOMEK!O59+BARTEK!O54+PIOTR!O59+KRZYSZTOF!O59</f>
        <v>0</v>
      </c>
      <c r="P56" s="129">
        <f>TOMEK!P59+BARTEK!P54+PIOTR!P59+KRZYSZTOF!P59</f>
        <v>0</v>
      </c>
      <c r="Q56" s="282">
        <f t="shared" si="15"/>
        <v>0</v>
      </c>
      <c r="R56" s="282">
        <f>I56+M56+Q56+E56</f>
        <v>0</v>
      </c>
      <c r="S56" s="300" t="e">
        <f>R56/(R56+R57)</f>
        <v>#DIV/0!</v>
      </c>
    </row>
    <row r="57" spans="1:19" ht="14.4" thickTop="1" thickBot="1">
      <c r="A57" s="279" t="s">
        <v>107</v>
      </c>
      <c r="B57" s="129">
        <f>TOMEK!B60+BARTEK!B55+PIOTR!B60+KRZYSZTOF!B60</f>
        <v>0</v>
      </c>
      <c r="C57" s="129">
        <f>TOMEK!C60+BARTEK!C55+PIOTR!C60+KRZYSZTOF!C60</f>
        <v>0</v>
      </c>
      <c r="D57" s="129">
        <f>TOMEK!D60+BARTEK!D55+PIOTR!D60+KRZYSZTOF!D60</f>
        <v>0</v>
      </c>
      <c r="E57" s="282">
        <f t="shared" si="12"/>
        <v>0</v>
      </c>
      <c r="F57" s="129">
        <f>TOMEK!F60+BARTEK!F55+PIOTR!F60+KRZYSZTOF!F60</f>
        <v>0</v>
      </c>
      <c r="G57" s="129">
        <f>TOMEK!G60+BARTEK!G55+PIOTR!G60+KRZYSZTOF!G60</f>
        <v>0</v>
      </c>
      <c r="H57" s="129">
        <f>TOMEK!H60+BARTEK!H55+PIOTR!H60+KRZYSZTOF!H60</f>
        <v>0</v>
      </c>
      <c r="I57" s="282">
        <f t="shared" si="13"/>
        <v>0</v>
      </c>
      <c r="J57" s="129">
        <f>TOMEK!J60+BARTEK!J55+PIOTR!J60+KRZYSZTOF!J60</f>
        <v>0</v>
      </c>
      <c r="K57" s="129">
        <f>TOMEK!K60+BARTEK!K55+PIOTR!K60+KRZYSZTOF!K60</f>
        <v>0</v>
      </c>
      <c r="L57" s="129">
        <f>TOMEK!L60+BARTEK!L55+PIOTR!L60+KRZYSZTOF!L60</f>
        <v>0</v>
      </c>
      <c r="M57" s="282">
        <f t="shared" si="14"/>
        <v>0</v>
      </c>
      <c r="N57" s="129">
        <f>TOMEK!N60+BARTEK!N55+PIOTR!N60+KRZYSZTOF!N60</f>
        <v>0</v>
      </c>
      <c r="O57" s="129">
        <f>TOMEK!O60+BARTEK!O55+PIOTR!O60+KRZYSZTOF!O60</f>
        <v>0</v>
      </c>
      <c r="P57" s="129">
        <f>TOMEK!P60+BARTEK!P55+PIOTR!P60+KRZYSZTOF!P60</f>
        <v>0</v>
      </c>
      <c r="Q57" s="282">
        <f t="shared" si="15"/>
        <v>0</v>
      </c>
      <c r="R57" s="282">
        <f>I57+M57+Q57+E57</f>
        <v>0</v>
      </c>
      <c r="S57" s="300" t="e">
        <f>R57/(R56+R57)</f>
        <v>#DIV/0!</v>
      </c>
    </row>
    <row r="58" spans="1:19" ht="14.4" thickTop="1" thickBot="1">
      <c r="A58" s="280" t="s">
        <v>108</v>
      </c>
      <c r="B58" s="129">
        <f>TOMEK!B61+BARTEK!B56+PIOTR!B61+KRZYSZTOF!B61</f>
        <v>0</v>
      </c>
      <c r="C58" s="129">
        <f>TOMEK!C61+BARTEK!C56+PIOTR!C61+KRZYSZTOF!C61</f>
        <v>0</v>
      </c>
      <c r="D58" s="129">
        <f>TOMEK!D61+BARTEK!D56+PIOTR!D61+KRZYSZTOF!D61</f>
        <v>0</v>
      </c>
      <c r="E58" s="173"/>
      <c r="F58" s="129">
        <f>TOMEK!F61+BARTEK!F56+PIOTR!F61+KRZYSZTOF!F61</f>
        <v>0</v>
      </c>
      <c r="G58" s="129">
        <f>TOMEK!G61+BARTEK!G56+PIOTR!G61+KRZYSZTOF!G61</f>
        <v>0</v>
      </c>
      <c r="H58" s="129">
        <f>TOMEK!H61+BARTEK!H56+PIOTR!H61+KRZYSZTOF!H61</f>
        <v>0</v>
      </c>
      <c r="I58" s="173"/>
      <c r="J58" s="129">
        <f>TOMEK!J61+BARTEK!J56+PIOTR!J61+KRZYSZTOF!J61</f>
        <v>0</v>
      </c>
      <c r="K58" s="129">
        <f>TOMEK!K61+BARTEK!K56+PIOTR!K61+KRZYSZTOF!K61</f>
        <v>0</v>
      </c>
      <c r="L58" s="129">
        <f>TOMEK!L61+BARTEK!L56+PIOTR!L61+KRZYSZTOF!L61</f>
        <v>0</v>
      </c>
      <c r="M58" s="173"/>
      <c r="N58" s="129">
        <f>TOMEK!N61+BARTEK!N56+PIOTR!N61+KRZYSZTOF!N61</f>
        <v>0</v>
      </c>
      <c r="O58" s="129">
        <f>TOMEK!O61+BARTEK!O56+PIOTR!O61+KRZYSZTOF!O61</f>
        <v>0</v>
      </c>
      <c r="P58" s="129">
        <f>TOMEK!P61+BARTEK!P56+PIOTR!P61+KRZYSZTOF!P61</f>
        <v>0</v>
      </c>
      <c r="Q58" s="173"/>
      <c r="R58" s="173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zoomScale="90" zoomScaleNormal="90" workbookViewId="0">
      <pane xSplit="1" topLeftCell="B1" activePane="topRight" state="frozen"/>
      <selection pane="topRight" activeCell="D8" sqref="D8"/>
    </sheetView>
  </sheetViews>
  <sheetFormatPr defaultRowHeight="13.2"/>
  <cols>
    <col min="1" max="1" width="36" customWidth="1"/>
    <col min="2" max="2" width="12.88671875" style="338" customWidth="1"/>
    <col min="3" max="3" width="11.44140625" customWidth="1"/>
    <col min="4" max="4" width="11.6640625" style="338" bestFit="1" customWidth="1"/>
    <col min="5" max="5" width="11.5546875" customWidth="1"/>
    <col min="6" max="8" width="11.6640625" style="338" bestFit="1" customWidth="1"/>
    <col min="9" max="9" width="12.21875" customWidth="1"/>
    <col min="10" max="12" width="11.6640625" style="338" bestFit="1" customWidth="1"/>
    <col min="13" max="13" width="11.88671875" customWidth="1"/>
    <col min="14" max="14" width="11.6640625" style="410" bestFit="1" customWidth="1"/>
    <col min="15" max="15" width="13" style="410" customWidth="1"/>
    <col min="16" max="16" width="13.44140625" style="338" customWidth="1"/>
    <col min="17" max="17" width="11.6640625" bestFit="1" customWidth="1"/>
    <col min="18" max="18" width="13" bestFit="1" customWidth="1"/>
    <col min="19" max="19" width="11.44140625" customWidth="1"/>
    <col min="20" max="20" width="10.6640625" customWidth="1"/>
  </cols>
  <sheetData>
    <row r="1" spans="1:21">
      <c r="A1" s="239">
        <v>2026</v>
      </c>
      <c r="B1" s="797" t="s">
        <v>196</v>
      </c>
      <c r="C1" s="798"/>
      <c r="D1" s="798"/>
      <c r="E1" s="798"/>
      <c r="F1" s="798"/>
      <c r="G1" s="798"/>
      <c r="H1" s="798"/>
      <c r="I1" s="798"/>
      <c r="J1" s="798"/>
      <c r="K1" s="798"/>
      <c r="L1" s="798"/>
      <c r="M1" s="798"/>
      <c r="N1" s="798"/>
      <c r="O1" s="798"/>
      <c r="P1" s="798"/>
      <c r="Q1" s="798"/>
      <c r="R1" s="799"/>
    </row>
    <row r="2" spans="1:21" ht="13.8" thickBot="1">
      <c r="A2" s="240" t="s">
        <v>0</v>
      </c>
      <c r="B2" s="748" t="s">
        <v>1</v>
      </c>
      <c r="C2" s="749" t="s">
        <v>2</v>
      </c>
      <c r="D2" s="748" t="s">
        <v>3</v>
      </c>
      <c r="E2" s="578" t="s">
        <v>127</v>
      </c>
      <c r="F2" s="748" t="s">
        <v>4</v>
      </c>
      <c r="G2" s="748" t="s">
        <v>5</v>
      </c>
      <c r="H2" s="748" t="s">
        <v>6</v>
      </c>
      <c r="I2" s="578" t="s">
        <v>180</v>
      </c>
      <c r="J2" s="748" t="s">
        <v>7</v>
      </c>
      <c r="K2" s="748" t="s">
        <v>8</v>
      </c>
      <c r="L2" s="748" t="s">
        <v>9</v>
      </c>
      <c r="M2" s="578" t="s">
        <v>191</v>
      </c>
      <c r="N2" s="750" t="s">
        <v>10</v>
      </c>
      <c r="O2" s="750" t="s">
        <v>11</v>
      </c>
      <c r="P2" s="748" t="s">
        <v>12</v>
      </c>
      <c r="Q2" s="578" t="s">
        <v>192</v>
      </c>
      <c r="R2" s="749" t="s">
        <v>13</v>
      </c>
      <c r="S2" s="508"/>
      <c r="T2" s="611" t="s">
        <v>193</v>
      </c>
    </row>
    <row r="3" spans="1:21">
      <c r="A3" s="506" t="s">
        <v>216</v>
      </c>
      <c r="B3" s="509">
        <f>DH!B3</f>
        <v>270726.89</v>
      </c>
      <c r="C3" s="510">
        <f>DH!C3</f>
        <v>318940.52</v>
      </c>
      <c r="D3" s="509">
        <f>DH!D3</f>
        <v>268372.09000000003</v>
      </c>
      <c r="E3" s="563">
        <f>DH!E3</f>
        <v>858039.5</v>
      </c>
      <c r="F3" s="509">
        <f>DH!F3</f>
        <v>311537.67</v>
      </c>
      <c r="G3" s="509">
        <f>DH!G3</f>
        <v>285230.5</v>
      </c>
      <c r="H3" s="509">
        <f>DH!H3</f>
        <v>259436.25</v>
      </c>
      <c r="I3" s="563">
        <f>DH!I3</f>
        <v>856204.41999999993</v>
      </c>
      <c r="J3" s="509">
        <f>DH!J3</f>
        <v>302432.75</v>
      </c>
      <c r="K3" s="509">
        <f>DH!K3</f>
        <v>206704.64000000001</v>
      </c>
      <c r="L3" s="509">
        <f>DH!L3</f>
        <v>290575.63</v>
      </c>
      <c r="M3" s="563">
        <f>DH!M3</f>
        <v>799713.02</v>
      </c>
      <c r="N3" s="509">
        <f>DH!N3</f>
        <v>328730.03000000003</v>
      </c>
      <c r="O3" s="509">
        <f>DH!O3</f>
        <v>226178.07</v>
      </c>
      <c r="P3" s="509">
        <f>DH!P3</f>
        <v>219386.86</v>
      </c>
      <c r="Q3" s="563">
        <f>DH!Q3</f>
        <v>774294.96000000008</v>
      </c>
      <c r="R3" s="510">
        <f>DH!R3</f>
        <v>3288251.9</v>
      </c>
      <c r="S3" s="511">
        <f>R6-R3</f>
        <v>329853.10000000009</v>
      </c>
      <c r="T3" s="603">
        <f>SUM(Q3,M3,I3,E3)/12</f>
        <v>274020.99166666664</v>
      </c>
      <c r="U3" s="708">
        <f>T3/T6</f>
        <v>0.9088326347632254</v>
      </c>
    </row>
    <row r="4" spans="1:21">
      <c r="A4" s="507" t="s">
        <v>218</v>
      </c>
      <c r="B4" s="512">
        <f>B3</f>
        <v>270726.89</v>
      </c>
      <c r="C4" s="513">
        <f>C3+B4</f>
        <v>589667.41</v>
      </c>
      <c r="D4" s="512">
        <f>D3+C4</f>
        <v>858039.5</v>
      </c>
      <c r="E4" s="564"/>
      <c r="F4" s="512">
        <f>F3+D4</f>
        <v>1169577.17</v>
      </c>
      <c r="G4" s="512">
        <f>G3+F4</f>
        <v>1454807.67</v>
      </c>
      <c r="H4" s="512">
        <f>H3+G4</f>
        <v>1714243.92</v>
      </c>
      <c r="I4" s="576">
        <f>I3+E3</f>
        <v>1714243.92</v>
      </c>
      <c r="J4" s="512">
        <f>J3+H4</f>
        <v>2016676.67</v>
      </c>
      <c r="K4" s="512">
        <f>K3+J4</f>
        <v>2223381.31</v>
      </c>
      <c r="L4" s="512">
        <f>L3+K4</f>
        <v>2513956.94</v>
      </c>
      <c r="M4" s="564"/>
      <c r="N4" s="512">
        <f>N3+L4</f>
        <v>2842686.9699999997</v>
      </c>
      <c r="O4" s="512">
        <f>O3+N4</f>
        <v>3068865.0399999996</v>
      </c>
      <c r="P4" s="512">
        <f>P3+O4</f>
        <v>3288251.8999999994</v>
      </c>
      <c r="Q4" s="576">
        <f>Q3+M3</f>
        <v>1574007.98</v>
      </c>
      <c r="R4" s="514"/>
      <c r="S4" s="508"/>
    </row>
    <row r="5" spans="1:21" ht="13.8" thickBot="1">
      <c r="A5" s="241" t="s">
        <v>220</v>
      </c>
      <c r="B5" s="515">
        <f>B9/B4-1</f>
        <v>0.16038930894526193</v>
      </c>
      <c r="C5" s="516">
        <f>C9/C4-1</f>
        <v>-2.9160947863813624E-2</v>
      </c>
      <c r="D5" s="515">
        <f>D9/D4-1</f>
        <v>-0.20780397464219302</v>
      </c>
      <c r="E5" s="565">
        <f>E8/E3-1</f>
        <v>-0.20780397464219302</v>
      </c>
      <c r="F5" s="515">
        <f>F9/F4-1</f>
        <v>-0.41881946832118822</v>
      </c>
      <c r="G5" s="515">
        <f>G9/G4-1</f>
        <v>-0.53276608618649912</v>
      </c>
      <c r="H5" s="515">
        <f>H9/H4-1</f>
        <v>-0.60347796858454072</v>
      </c>
      <c r="I5" s="565">
        <f>I8/I3-1</f>
        <v>-1</v>
      </c>
      <c r="J5" s="515">
        <f>J9/J4-1</f>
        <v>-0.66294275546907577</v>
      </c>
      <c r="K5" s="515">
        <f>K9/K4-1</f>
        <v>-0.6942784944522179</v>
      </c>
      <c r="L5" s="515">
        <f>L9/L4-1</f>
        <v>-0.7296153045883117</v>
      </c>
      <c r="M5" s="565">
        <f>M8/M3-1</f>
        <v>-1</v>
      </c>
      <c r="N5" s="610">
        <f>N9/N4-1</f>
        <v>-0.76088275329872146</v>
      </c>
      <c r="O5" s="610">
        <f>O9/O4-1</f>
        <v>-0.77850590604662107</v>
      </c>
      <c r="P5" s="610">
        <f>P9/P4-1</f>
        <v>-0.79328363453541983</v>
      </c>
      <c r="Q5" s="565">
        <f>Q8/Q3-1</f>
        <v>-1</v>
      </c>
      <c r="R5" s="517">
        <f>R6/R3-1</f>
        <v>0.10031260074691972</v>
      </c>
      <c r="S5" s="508"/>
    </row>
    <row r="6" spans="1:21">
      <c r="A6" s="242" t="s">
        <v>36</v>
      </c>
      <c r="B6" s="518">
        <f>DH!B6</f>
        <v>252000</v>
      </c>
      <c r="C6" s="519">
        <f>DH!C6</f>
        <v>280000</v>
      </c>
      <c r="D6" s="518">
        <f>DH!D6</f>
        <v>308000</v>
      </c>
      <c r="E6" s="566">
        <f>SUM(B6:D6)</f>
        <v>840000</v>
      </c>
      <c r="F6" s="518">
        <f>DH!F6</f>
        <v>277530.60000000003</v>
      </c>
      <c r="G6" s="518">
        <f>DH!G6</f>
        <v>308367.33333333337</v>
      </c>
      <c r="H6" s="518">
        <f>DH!H6</f>
        <v>339204.06666666677</v>
      </c>
      <c r="I6" s="566">
        <f>SUM(F6:H6)</f>
        <v>925102.00000000012</v>
      </c>
      <c r="J6" s="518">
        <f>DH!J6</f>
        <v>278099.09999999998</v>
      </c>
      <c r="K6" s="518">
        <f>DH!K6</f>
        <v>308999</v>
      </c>
      <c r="L6" s="518">
        <f>DH!L6</f>
        <v>339898.9</v>
      </c>
      <c r="M6" s="566">
        <f>SUM(J6:L6)</f>
        <v>926997</v>
      </c>
      <c r="N6" s="520">
        <f>DH!N6</f>
        <v>277801.8</v>
      </c>
      <c r="O6" s="520">
        <f>DH!O6</f>
        <v>308668.66666666669</v>
      </c>
      <c r="P6" s="518">
        <f>DH!P6</f>
        <v>339535.53333333338</v>
      </c>
      <c r="Q6" s="566">
        <f>SUM(N6:P6)</f>
        <v>926006</v>
      </c>
      <c r="R6" s="521">
        <f>B6+C6+D6+F6+G6+H6+J6+K6+L6+N6+O6+P6</f>
        <v>3618105</v>
      </c>
      <c r="S6" s="508"/>
      <c r="T6" s="603">
        <f>SUM(Q6,M6,I6,E6)/12</f>
        <v>301508.75</v>
      </c>
      <c r="U6" s="708">
        <f>T6/T3</f>
        <v>1.1003126007469197</v>
      </c>
    </row>
    <row r="7" spans="1:21">
      <c r="A7" s="243" t="s">
        <v>35</v>
      </c>
      <c r="B7" s="522">
        <f>B6</f>
        <v>252000</v>
      </c>
      <c r="C7" s="523">
        <f>C6+B7</f>
        <v>532000</v>
      </c>
      <c r="D7" s="523">
        <f>D6+C7</f>
        <v>840000</v>
      </c>
      <c r="E7" s="758"/>
      <c r="F7" s="522">
        <f>F6+D7</f>
        <v>1117530.6000000001</v>
      </c>
      <c r="G7" s="522">
        <f>G6+F7</f>
        <v>1425897.9333333336</v>
      </c>
      <c r="H7" s="522">
        <f>H6+G7</f>
        <v>1765102.0000000005</v>
      </c>
      <c r="I7" s="567">
        <f>I6/I3-1</f>
        <v>8.0468610521772677E-2</v>
      </c>
      <c r="J7" s="522">
        <f>J6+H7</f>
        <v>2043201.1000000006</v>
      </c>
      <c r="K7" s="522">
        <f>K6+J7</f>
        <v>2352200.1000000006</v>
      </c>
      <c r="L7" s="522">
        <f>L6+K7</f>
        <v>2692099.0000000005</v>
      </c>
      <c r="M7" s="567">
        <f>M6/M3-1</f>
        <v>0.15916207041370911</v>
      </c>
      <c r="N7" s="524">
        <f>N6+L7</f>
        <v>2969900.8000000003</v>
      </c>
      <c r="O7" s="524">
        <f>O6+N7</f>
        <v>3278569.4666666668</v>
      </c>
      <c r="P7" s="522">
        <f>P6+O7</f>
        <v>3618105</v>
      </c>
      <c r="Q7" s="567">
        <f>Q6/Q3-1</f>
        <v>0.19593442788262494</v>
      </c>
      <c r="R7" s="677">
        <f>R8/R6</f>
        <v>0.18787057907385218</v>
      </c>
      <c r="S7" s="508"/>
    </row>
    <row r="8" spans="1:21">
      <c r="A8" s="411" t="s">
        <v>37</v>
      </c>
      <c r="B8" s="525">
        <f>DH!B8</f>
        <v>314148.58879999997</v>
      </c>
      <c r="C8" s="526">
        <f>DH!C8</f>
        <v>258323.56059999997</v>
      </c>
      <c r="D8" s="525">
        <f>DH!D8</f>
        <v>107263.33209999999</v>
      </c>
      <c r="E8" s="568">
        <f>SUM(B8:D8)</f>
        <v>679735.48149999999</v>
      </c>
      <c r="F8" s="525">
        <f>DH!F8</f>
        <v>0</v>
      </c>
      <c r="G8" s="525">
        <f>DH!G8</f>
        <v>0</v>
      </c>
      <c r="H8" s="525">
        <f>DH!H8</f>
        <v>0</v>
      </c>
      <c r="I8" s="568">
        <f>SUM(F8:H8)</f>
        <v>0</v>
      </c>
      <c r="J8" s="525">
        <f>DH!J8</f>
        <v>0</v>
      </c>
      <c r="K8" s="525">
        <f>DH!K8</f>
        <v>0</v>
      </c>
      <c r="L8" s="525">
        <f>DH!L8</f>
        <v>0</v>
      </c>
      <c r="M8" s="568">
        <f>SUM(J8:L8)</f>
        <v>0</v>
      </c>
      <c r="N8" s="525">
        <f>DH!N8</f>
        <v>0</v>
      </c>
      <c r="O8" s="525">
        <f>DH!O8</f>
        <v>0</v>
      </c>
      <c r="P8" s="525">
        <f>DH!P8</f>
        <v>0</v>
      </c>
      <c r="Q8" s="568">
        <f>SUM(N8:P8)</f>
        <v>0</v>
      </c>
      <c r="R8" s="527">
        <f>B8+C8+D8+F8+G8+H8+J8+K8+L8+N8+O8+P8</f>
        <v>679735.48149999999</v>
      </c>
      <c r="S8" s="528">
        <f>R8/R6</f>
        <v>0.18787057907385218</v>
      </c>
      <c r="T8" s="603">
        <f>SUM(Q8,M8,I8,E8)/12</f>
        <v>56644.623458333335</v>
      </c>
    </row>
    <row r="9" spans="1:21">
      <c r="A9" s="243" t="s">
        <v>38</v>
      </c>
      <c r="B9" s="529">
        <f>B8</f>
        <v>314148.58879999997</v>
      </c>
      <c r="C9" s="530">
        <f>C8+B9</f>
        <v>572472.14939999999</v>
      </c>
      <c r="D9" s="529">
        <f>D8+C9</f>
        <v>679735.48149999999</v>
      </c>
      <c r="E9" s="597">
        <f>E8-E3</f>
        <v>-178304.01850000001</v>
      </c>
      <c r="F9" s="529">
        <f>F8+D9</f>
        <v>679735.48149999999</v>
      </c>
      <c r="G9" s="529">
        <f>G8+F9</f>
        <v>679735.48149999999</v>
      </c>
      <c r="H9" s="529">
        <f>H8+G9</f>
        <v>679735.48149999999</v>
      </c>
      <c r="I9" s="598">
        <f>(E8+I8)-(E3+I3)</f>
        <v>-1034508.4384999999</v>
      </c>
      <c r="J9" s="529">
        <f>J8+H9</f>
        <v>679735.48149999999</v>
      </c>
      <c r="K9" s="529">
        <f>K8+J9</f>
        <v>679735.48149999999</v>
      </c>
      <c r="L9" s="529">
        <f>L8+K9</f>
        <v>679735.48149999999</v>
      </c>
      <c r="M9" s="598">
        <f>(E8+I8+M8)-(E3+I3+M3)</f>
        <v>-1834221.4584999999</v>
      </c>
      <c r="N9" s="531">
        <f>N8+L9</f>
        <v>679735.48149999999</v>
      </c>
      <c r="O9" s="531">
        <f>O8+N9</f>
        <v>679735.48149999999</v>
      </c>
      <c r="P9" s="531">
        <f>P8+O9</f>
        <v>679735.48149999999</v>
      </c>
      <c r="Q9" s="598">
        <f>(E8+I8+M8+Q8)-(E3+I3+M3+Q3)</f>
        <v>-2608516.4184999997</v>
      </c>
      <c r="R9" s="532"/>
      <c r="S9" s="508"/>
    </row>
    <row r="10" spans="1:21">
      <c r="A10" s="243" t="s">
        <v>39</v>
      </c>
      <c r="B10" s="533">
        <f>B8/B6</f>
        <v>1.246621384126984</v>
      </c>
      <c r="C10" s="534">
        <f>C8/C6</f>
        <v>0.92258414499999986</v>
      </c>
      <c r="D10" s="533">
        <f>D8/D6</f>
        <v>0.34825757175324673</v>
      </c>
      <c r="E10" s="567">
        <f>E6/E3-1</f>
        <v>-2.102409038278541E-2</v>
      </c>
      <c r="F10" s="533">
        <f>F8/F6</f>
        <v>0</v>
      </c>
      <c r="G10" s="533">
        <f>G8/G6</f>
        <v>0</v>
      </c>
      <c r="H10" s="533">
        <f>H8/H6</f>
        <v>0</v>
      </c>
      <c r="I10" s="567">
        <f>H7/I4-1</f>
        <v>2.96679366376289E-2</v>
      </c>
      <c r="J10" s="533">
        <f>J8/J6</f>
        <v>0</v>
      </c>
      <c r="K10" s="533">
        <f>K8/K6</f>
        <v>0</v>
      </c>
      <c r="L10" s="533">
        <f>L8/L6</f>
        <v>0</v>
      </c>
      <c r="M10" s="567">
        <f>L7/L4-1</f>
        <v>7.0861221672317232E-2</v>
      </c>
      <c r="N10" s="535">
        <f>N8/N6</f>
        <v>0</v>
      </c>
      <c r="O10" s="535">
        <f>O8/O6</f>
        <v>0</v>
      </c>
      <c r="P10" s="535">
        <f>P8/P6</f>
        <v>0</v>
      </c>
      <c r="Q10" s="567">
        <f>P7/P4-1</f>
        <v>0.10031260074691994</v>
      </c>
      <c r="R10" s="532"/>
      <c r="S10" s="508"/>
    </row>
    <row r="11" spans="1:21">
      <c r="A11" s="243" t="s">
        <v>48</v>
      </c>
      <c r="B11" s="536">
        <f>B9-B7</f>
        <v>62148.588799999969</v>
      </c>
      <c r="C11" s="537">
        <f>C9-C7</f>
        <v>40472.149399999995</v>
      </c>
      <c r="D11" s="536">
        <f>D9-D7</f>
        <v>-160264.51850000001</v>
      </c>
      <c r="E11" s="577"/>
      <c r="F11" s="536">
        <f>F9-F7</f>
        <v>-437795.1185000001</v>
      </c>
      <c r="G11" s="536">
        <f>G9-G7</f>
        <v>-746162.45183333359</v>
      </c>
      <c r="H11" s="536">
        <f>H9-H7</f>
        <v>-1085366.5185000005</v>
      </c>
      <c r="I11" s="720">
        <f>(E6+I6)-(E3+I3)</f>
        <v>50858.080000000075</v>
      </c>
      <c r="J11" s="536">
        <f>J9-J7</f>
        <v>-1363465.6185000006</v>
      </c>
      <c r="K11" s="536">
        <f>K9-K7</f>
        <v>-1672464.6185000006</v>
      </c>
      <c r="L11" s="536">
        <f>L9-L7</f>
        <v>-2012363.5185000005</v>
      </c>
      <c r="M11" s="577">
        <f>(E8+I8+M8)/3</f>
        <v>226578.49383333334</v>
      </c>
      <c r="N11" s="538">
        <f>N9-N7</f>
        <v>-2290165.3185000001</v>
      </c>
      <c r="O11" s="538">
        <f>O9-O7</f>
        <v>-2598833.985166667</v>
      </c>
      <c r="P11" s="538">
        <f>P9-P7</f>
        <v>-2938369.5185000002</v>
      </c>
      <c r="Q11" s="577"/>
      <c r="R11" s="539"/>
      <c r="S11" s="508"/>
    </row>
    <row r="12" spans="1:21" ht="13.8" thickBot="1">
      <c r="A12" s="244" t="s">
        <v>40</v>
      </c>
      <c r="B12" s="540">
        <f>B9/B7</f>
        <v>1.246621384126984</v>
      </c>
      <c r="C12" s="541">
        <f>C9/C7</f>
        <v>1.0760754687969925</v>
      </c>
      <c r="D12" s="540">
        <f>D9/D7</f>
        <v>0.80920890654761901</v>
      </c>
      <c r="E12" s="570"/>
      <c r="F12" s="540">
        <f>F9/F7</f>
        <v>0.6082477576005525</v>
      </c>
      <c r="G12" s="540">
        <f>G9/G7</f>
        <v>0.47670696871758322</v>
      </c>
      <c r="H12" s="540">
        <f>H9/H7</f>
        <v>0.38509699807716485</v>
      </c>
      <c r="I12" s="570"/>
      <c r="J12" s="540">
        <f>J9/J7</f>
        <v>0.33268163447053734</v>
      </c>
      <c r="K12" s="540">
        <f>K9/K7</f>
        <v>0.2889785956135279</v>
      </c>
      <c r="L12" s="540">
        <f>L9/L7</f>
        <v>0.25249275063807086</v>
      </c>
      <c r="M12" s="570"/>
      <c r="N12" s="542">
        <f>N9/N7</f>
        <v>0.22887481006099594</v>
      </c>
      <c r="O12" s="542">
        <f>O9/O7</f>
        <v>0.20732685044831137</v>
      </c>
      <c r="P12" s="542">
        <f>P9/P7</f>
        <v>0.18787057907385218</v>
      </c>
      <c r="Q12" s="570"/>
      <c r="R12" s="543"/>
      <c r="S12" s="508"/>
    </row>
    <row r="13" spans="1:21" hidden="1">
      <c r="A13" s="629" t="s">
        <v>133</v>
      </c>
      <c r="B13" s="630">
        <f>Target!C8</f>
        <v>252000</v>
      </c>
      <c r="C13" s="631">
        <f>Target!D8</f>
        <v>280000</v>
      </c>
      <c r="D13" s="632">
        <f>Target!E8</f>
        <v>308000</v>
      </c>
      <c r="E13" s="633">
        <f>SUM(B13:D13)</f>
        <v>840000</v>
      </c>
      <c r="F13" s="630">
        <f>Target!F8</f>
        <v>277530.60000000003</v>
      </c>
      <c r="G13" s="630">
        <f>Target!G8</f>
        <v>308367.33333333337</v>
      </c>
      <c r="H13" s="630">
        <f>Target!H8</f>
        <v>339204.06666666677</v>
      </c>
      <c r="I13" s="633">
        <f>SUM(F13:H13)</f>
        <v>925102.00000000012</v>
      </c>
      <c r="J13" s="630">
        <f>Target!I8</f>
        <v>278099.09999999998</v>
      </c>
      <c r="K13" s="630">
        <f>Target!J8</f>
        <v>308999</v>
      </c>
      <c r="L13" s="630">
        <f>Target!K8</f>
        <v>339898.9</v>
      </c>
      <c r="M13" s="633">
        <f>SUM(J13:L13)</f>
        <v>926997</v>
      </c>
      <c r="N13" s="630">
        <f>Target!L8</f>
        <v>277801.8</v>
      </c>
      <c r="O13" s="630">
        <f>Target!M8</f>
        <v>308668.66666666669</v>
      </c>
      <c r="P13" s="630">
        <f>Target!N8</f>
        <v>339535.53333333338</v>
      </c>
      <c r="Q13" s="633">
        <f>SUM(N13:P13)</f>
        <v>926006</v>
      </c>
      <c r="R13" s="544"/>
      <c r="S13" s="508"/>
    </row>
    <row r="14" spans="1:21" ht="13.8" hidden="1" thickBot="1">
      <c r="A14" s="634" t="s">
        <v>134</v>
      </c>
      <c r="B14" s="621">
        <f>B8/B13</f>
        <v>1.246621384126984</v>
      </c>
      <c r="C14" s="622">
        <f>(B8+C8)/(B13+C13)</f>
        <v>1.0760754687969925</v>
      </c>
      <c r="D14" s="621">
        <f>(D8+C8+B8)/(B13+C13+D13)</f>
        <v>0.80920890654761901</v>
      </c>
      <c r="E14" s="635">
        <f>E8-E13</f>
        <v>-160264.51850000001</v>
      </c>
      <c r="F14" s="621">
        <f>F8/F13</f>
        <v>0</v>
      </c>
      <c r="G14" s="621">
        <f>(F8+G8)/(F13+G13)</f>
        <v>0</v>
      </c>
      <c r="H14" s="621">
        <f>(H8+G8+F8)/(F13+G13+H13)</f>
        <v>0</v>
      </c>
      <c r="I14" s="635">
        <f>I8-I13</f>
        <v>-925102.00000000012</v>
      </c>
      <c r="J14" s="621">
        <f>J8/J13</f>
        <v>0</v>
      </c>
      <c r="K14" s="621">
        <f>(J8+K8)/(J13+K13)</f>
        <v>0</v>
      </c>
      <c r="L14" s="621">
        <f>(L8+K8+J8)/(J13+K13+L13)</f>
        <v>0</v>
      </c>
      <c r="M14" s="636">
        <f>M8-M13</f>
        <v>-926997</v>
      </c>
      <c r="N14" s="621">
        <f>N8/N13</f>
        <v>0</v>
      </c>
      <c r="O14" s="621">
        <f>(N8+O8)/(N13+O13)</f>
        <v>0</v>
      </c>
      <c r="P14" s="621">
        <f>(P8+O8+N8)/(N13+O13+P13)</f>
        <v>0</v>
      </c>
      <c r="Q14" s="637">
        <f>Q8-Q13</f>
        <v>-926006</v>
      </c>
      <c r="R14" s="545"/>
      <c r="S14" s="508"/>
    </row>
    <row r="15" spans="1:21" hidden="1">
      <c r="A15" s="612" t="s">
        <v>150</v>
      </c>
      <c r="B15" s="613">
        <f>B9/(Target!$D$26/12*REALIZACJE!B18)</f>
        <v>1.0967599615355492</v>
      </c>
      <c r="C15" s="614">
        <f>C9/(Target!$D$26/12*REALIZACJE!C18)</f>
        <v>0.99931140062488366</v>
      </c>
      <c r="D15" s="613">
        <f>D9/(Target!$D$26/12*REALIZACJE!D18)</f>
        <v>0.79103401715306187</v>
      </c>
      <c r="E15" s="615"/>
      <c r="F15" s="613">
        <f>F9/(Target!$D$26/12*REALIZACJE!F18)</f>
        <v>0.59327551286479641</v>
      </c>
      <c r="G15" s="613">
        <f>G9/(Target!$D$26/12*REALIZACJE!G18)</f>
        <v>0.4746204102918371</v>
      </c>
      <c r="H15" s="613">
        <f>H9/(Target!$D$26/12*REALIZACJE!H18)</f>
        <v>0.39551700857653094</v>
      </c>
      <c r="I15" s="615"/>
      <c r="J15" s="613">
        <f>J9/(Target!$D$26/12*REALIZACJE!J18)</f>
        <v>0.33901457877988367</v>
      </c>
      <c r="K15" s="613">
        <f>K9/(Target!$D$26/12*REALIZACJE!K18)</f>
        <v>0.2966377564323982</v>
      </c>
      <c r="L15" s="613">
        <f>L9/(Target!$D$26/12*REALIZACJE!L18)</f>
        <v>0.26367800571768729</v>
      </c>
      <c r="M15" s="615"/>
      <c r="N15" s="613">
        <f>N9/(Target!$D$26/12*REALIZACJE!N18)</f>
        <v>0.23731020514591855</v>
      </c>
      <c r="O15" s="613">
        <f>O9/(Target!$D$26/12*REALIZACJE!O18)</f>
        <v>0.21573655013265325</v>
      </c>
      <c r="P15" s="613">
        <f>P9/(Target!$D$26/12*REALIZACJE!P18)</f>
        <v>0.19775850428826547</v>
      </c>
      <c r="Q15" s="588"/>
      <c r="R15" s="589"/>
      <c r="S15" s="508"/>
    </row>
    <row r="16" spans="1:21" hidden="1">
      <c r="A16" s="616" t="s">
        <v>195</v>
      </c>
      <c r="B16" s="617">
        <f>B9/(Target!$F$26/12*REALIZACJE!B18)</f>
        <v>1.0419219634587717</v>
      </c>
      <c r="C16" s="617">
        <f>C9/(Target!$F$26/12*REALIZACJE!C18)</f>
        <v>0.94934583059363953</v>
      </c>
      <c r="D16" s="617">
        <f>D9/(Target!$F$26/12*REALIZACJE!D18)</f>
        <v>0.75148231629540874</v>
      </c>
      <c r="E16" s="618"/>
      <c r="F16" s="617">
        <f>F9/(Target!$F$26/12*REALIZACJE!F18)</f>
        <v>0.56361173722155655</v>
      </c>
      <c r="G16" s="617">
        <f>G9/(Target!$F$26/12*REALIZACJE!G18)</f>
        <v>0.45088938977724524</v>
      </c>
      <c r="H16" s="617">
        <f>H9/(Target!$F$26/12*REALIZACJE!H18)</f>
        <v>0.37574115814770437</v>
      </c>
      <c r="I16" s="619"/>
      <c r="J16" s="617">
        <f>J9/(Target!$F$26/12*REALIZACJE!J18)</f>
        <v>0.32206384984088948</v>
      </c>
      <c r="K16" s="617">
        <f>K9/(Target!$F$26/12*REALIZACJE!K18)</f>
        <v>0.28180586861077828</v>
      </c>
      <c r="L16" s="617">
        <f>L9/(Target!$F$26/12*REALIZACJE!L18)</f>
        <v>0.25049410543180295</v>
      </c>
      <c r="M16" s="618"/>
      <c r="N16" s="617">
        <f>N9/(Target!$F$26/12*REALIZACJE!N18)</f>
        <v>0.22544469488862262</v>
      </c>
      <c r="O16" s="617">
        <f>O9/(Target!$F$26/12*REALIZACJE!O18)</f>
        <v>0.20494972262602057</v>
      </c>
      <c r="P16" s="617">
        <f>P9/(Target!$F$26/12*REALIZACJE!P18)</f>
        <v>0.18787057907385218</v>
      </c>
      <c r="Q16" s="594"/>
      <c r="R16" s="595"/>
      <c r="S16" s="508"/>
    </row>
    <row r="17" spans="1:21" ht="13.8" hidden="1" thickBot="1">
      <c r="A17" s="620" t="s">
        <v>151</v>
      </c>
      <c r="B17" s="621">
        <f>B9/(Target!$H$26/12*REALIZACJE!B18)</f>
        <v>0.99230663186549695</v>
      </c>
      <c r="C17" s="622">
        <f>C9/(Target!$H$26/12*REALIZACJE!C18)</f>
        <v>0.90413888627965666</v>
      </c>
      <c r="D17" s="621">
        <f>D9/(Target!$H$26/12*REALIZACJE!D18)</f>
        <v>0.71569744409086555</v>
      </c>
      <c r="E17" s="623"/>
      <c r="F17" s="621">
        <f>F9/(Target!$H$26/12*REALIZACJE!F18)</f>
        <v>0.53677308306814908</v>
      </c>
      <c r="G17" s="621">
        <f>G9/(Target!$H$26/12*REALIZACJE!G18)</f>
        <v>0.42941846645451931</v>
      </c>
      <c r="H17" s="621">
        <f>H9/(Target!$H$26/12*REALIZACJE!H18)</f>
        <v>0.35784872204543278</v>
      </c>
      <c r="I17" s="623"/>
      <c r="J17" s="621">
        <f>J9/(Target!$H$26/12*REALIZACJE!J18)</f>
        <v>0.30672747603894235</v>
      </c>
      <c r="K17" s="621">
        <f>K9/(Target!$H$26/12*REALIZACJE!K18)</f>
        <v>0.26838654153407454</v>
      </c>
      <c r="L17" s="621">
        <f>L9/(Target!$H$26/12*REALIZACJE!L18)</f>
        <v>0.23856581469695518</v>
      </c>
      <c r="M17" s="623"/>
      <c r="N17" s="621">
        <f>N9/(Target!$H$26/12*REALIZACJE!N18)</f>
        <v>0.21470923322725965</v>
      </c>
      <c r="O17" s="621">
        <f>O9/(Target!$H$26/12*REALIZACJE!O18)</f>
        <v>0.19519021202478151</v>
      </c>
      <c r="P17" s="621">
        <f>P9/(Target!$H$26/12*REALIZACJE!P18)</f>
        <v>0.17892436102271639</v>
      </c>
      <c r="Q17" s="592"/>
      <c r="R17" s="593"/>
      <c r="S17" s="508"/>
    </row>
    <row r="18" spans="1:21" ht="13.8" thickBot="1">
      <c r="A18" s="653"/>
      <c r="B18" s="654">
        <v>1</v>
      </c>
      <c r="C18" s="655">
        <v>2</v>
      </c>
      <c r="D18" s="654">
        <v>3</v>
      </c>
      <c r="E18" s="656"/>
      <c r="F18" s="654">
        <v>4</v>
      </c>
      <c r="G18" s="654">
        <v>5</v>
      </c>
      <c r="H18" s="654">
        <v>6</v>
      </c>
      <c r="I18" s="656"/>
      <c r="J18" s="654">
        <v>7</v>
      </c>
      <c r="K18" s="654">
        <v>8</v>
      </c>
      <c r="L18" s="654">
        <v>9</v>
      </c>
      <c r="M18" s="656"/>
      <c r="N18" s="654">
        <v>10</v>
      </c>
      <c r="O18" s="654">
        <v>11</v>
      </c>
      <c r="P18" s="654">
        <v>12</v>
      </c>
      <c r="Q18" s="657"/>
      <c r="R18" s="658"/>
      <c r="S18" s="508"/>
    </row>
    <row r="19" spans="1:21">
      <c r="A19" s="743" t="s">
        <v>217</v>
      </c>
      <c r="B19" s="650">
        <f>DH!B16</f>
        <v>735313.24</v>
      </c>
      <c r="C19" s="650">
        <f>DH!C16</f>
        <v>864042.09</v>
      </c>
      <c r="D19" s="650">
        <f>DH!D16</f>
        <v>682276.62</v>
      </c>
      <c r="E19" s="651">
        <f>DH!E16</f>
        <v>2281631.9500000002</v>
      </c>
      <c r="F19" s="650">
        <f>DH!F16</f>
        <v>902392.31</v>
      </c>
      <c r="G19" s="650">
        <f>DH!G16</f>
        <v>770807.84</v>
      </c>
      <c r="H19" s="650">
        <f>DH!H16</f>
        <v>668332.32999999996</v>
      </c>
      <c r="I19" s="651">
        <f>DH!I16</f>
        <v>2341532.48</v>
      </c>
      <c r="J19" s="650">
        <f>DH!J16</f>
        <v>815918.61</v>
      </c>
      <c r="K19" s="650">
        <f>DH!K16</f>
        <v>552755.37</v>
      </c>
      <c r="L19" s="650">
        <f>DH!L16</f>
        <v>781695.28</v>
      </c>
      <c r="M19" s="651">
        <f>DH!M16</f>
        <v>2150369.2599999998</v>
      </c>
      <c r="N19" s="650">
        <f>DH!N16</f>
        <v>823654.56</v>
      </c>
      <c r="O19" s="650">
        <f>DH!O16</f>
        <v>574341.15</v>
      </c>
      <c r="P19" s="650">
        <f>DH!P16</f>
        <v>569291.05000000005</v>
      </c>
      <c r="Q19" s="651">
        <f>DH!Q16</f>
        <v>1967286.76</v>
      </c>
      <c r="R19" s="652">
        <f>DH!R16</f>
        <v>8740820.4499999993</v>
      </c>
      <c r="S19" s="511">
        <f>R22-R19</f>
        <v>938675.39826932363</v>
      </c>
      <c r="T19" s="603">
        <f>SUM(Q19,M19,I19,E19)/12</f>
        <v>728401.7041666666</v>
      </c>
      <c r="U19" s="708">
        <f>T19/T22</f>
        <v>0.90302435033977957</v>
      </c>
    </row>
    <row r="20" spans="1:21">
      <c r="A20" s="507" t="s">
        <v>219</v>
      </c>
      <c r="B20" s="522">
        <f>B19</f>
        <v>735313.24</v>
      </c>
      <c r="C20" s="523">
        <f>C19+B20</f>
        <v>1599355.33</v>
      </c>
      <c r="D20" s="523">
        <f>D19+C20</f>
        <v>2281631.9500000002</v>
      </c>
      <c r="E20" s="572"/>
      <c r="F20" s="512">
        <f>F19+D20</f>
        <v>3184024.2600000002</v>
      </c>
      <c r="G20" s="512">
        <f>G19+F20</f>
        <v>3954832.1</v>
      </c>
      <c r="H20" s="512">
        <f>H19+G20</f>
        <v>4623164.43</v>
      </c>
      <c r="I20" s="576">
        <f>I19+E19</f>
        <v>4623164.43</v>
      </c>
      <c r="J20" s="512">
        <f>J19+H20</f>
        <v>5439083.04</v>
      </c>
      <c r="K20" s="512">
        <f>K19+J20</f>
        <v>5991838.4100000001</v>
      </c>
      <c r="L20" s="512">
        <f>L19+K20</f>
        <v>6773533.6900000004</v>
      </c>
      <c r="M20" s="572"/>
      <c r="N20" s="512">
        <f>N19+L20</f>
        <v>7597188.25</v>
      </c>
      <c r="O20" s="512">
        <f>O19+N20</f>
        <v>8171529.4000000004</v>
      </c>
      <c r="P20" s="512">
        <f>P19+O20</f>
        <v>8740820.4500000011</v>
      </c>
      <c r="Q20" s="572"/>
      <c r="R20" s="725">
        <f>R3/R19</f>
        <v>0.37619487996690287</v>
      </c>
      <c r="S20" s="508"/>
    </row>
    <row r="21" spans="1:21" ht="13.8" thickBot="1">
      <c r="A21" s="241" t="s">
        <v>221</v>
      </c>
      <c r="B21" s="515">
        <f>B25/B20-1</f>
        <v>9.584968346279199E-2</v>
      </c>
      <c r="C21" s="516">
        <f>C25/C20-1</f>
        <v>-4.9126394132816054E-2</v>
      </c>
      <c r="D21" s="515">
        <f>D25/D20-1</f>
        <v>-0.20836414203438902</v>
      </c>
      <c r="E21" s="565">
        <f>E24/E19-1</f>
        <v>-0.20836414203438902</v>
      </c>
      <c r="F21" s="515">
        <f>F25/F20-1</f>
        <v>-0.43272364818602227</v>
      </c>
      <c r="G21" s="515">
        <f>G25/G20-1</f>
        <v>-0.54328739611979993</v>
      </c>
      <c r="H21" s="515">
        <f>H25/H20-1</f>
        <v>-0.60931052882754588</v>
      </c>
      <c r="I21" s="565">
        <f>I24/I19-1</f>
        <v>-1</v>
      </c>
      <c r="J21" s="515">
        <f>J25/J20-1</f>
        <v>-0.66791798304664241</v>
      </c>
      <c r="K21" s="515">
        <f>K25/K20-1</f>
        <v>-0.69855300782385421</v>
      </c>
      <c r="L21" s="515">
        <f>L25/L20-1</f>
        <v>-0.7333413032304561</v>
      </c>
      <c r="M21" s="565">
        <f>M24/M19-1</f>
        <v>-1</v>
      </c>
      <c r="N21" s="610">
        <f>N25/N20-1</f>
        <v>-0.76225129523412827</v>
      </c>
      <c r="O21" s="610">
        <f>O25/O20-1</f>
        <v>-0.77896161441945</v>
      </c>
      <c r="P21" s="610">
        <f>P25/P20-1</f>
        <v>-0.79335788023194098</v>
      </c>
      <c r="Q21" s="565">
        <f>Q24/Q19-1</f>
        <v>-1</v>
      </c>
      <c r="R21" s="517">
        <f>R22/R19-1</f>
        <v>0.10738985014493951</v>
      </c>
      <c r="S21" s="508"/>
    </row>
    <row r="22" spans="1:21">
      <c r="A22" s="245" t="s">
        <v>41</v>
      </c>
      <c r="B22" s="420">
        <f>DH!B19</f>
        <v>681081.08108108107</v>
      </c>
      <c r="C22" s="421">
        <f>DH!C19</f>
        <v>756756.7567567568</v>
      </c>
      <c r="D22" s="420">
        <f>DH!D19</f>
        <v>832432.43243243243</v>
      </c>
      <c r="E22" s="566">
        <f>SUM(B22:D22)</f>
        <v>2270270.2702702703</v>
      </c>
      <c r="F22" s="420">
        <f>DH!F19</f>
        <v>730343.68421052641</v>
      </c>
      <c r="G22" s="420">
        <f>DH!G19</f>
        <v>811492.98245614045</v>
      </c>
      <c r="H22" s="420">
        <f>DH!H19</f>
        <v>892642.28070175473</v>
      </c>
      <c r="I22" s="566">
        <f>SUM(F22:H22)</f>
        <v>2434478.9473684216</v>
      </c>
      <c r="J22" s="420">
        <f>DH!J19</f>
        <v>751619.18918918911</v>
      </c>
      <c r="K22" s="420">
        <f>DH!K19</f>
        <v>835132.43243243243</v>
      </c>
      <c r="L22" s="420">
        <f>DH!L19</f>
        <v>918645.67567567562</v>
      </c>
      <c r="M22" s="566">
        <f>SUM(J22:L22)</f>
        <v>2505397.297297297</v>
      </c>
      <c r="N22" s="422">
        <f>DH!N19</f>
        <v>740804.8</v>
      </c>
      <c r="O22" s="422">
        <f>DH!O19</f>
        <v>823116.4444444445</v>
      </c>
      <c r="P22" s="420">
        <f>DH!P19</f>
        <v>905428.08888888895</v>
      </c>
      <c r="Q22" s="566">
        <f>SUM(N22:P22)</f>
        <v>2469349.3333333335</v>
      </c>
      <c r="R22" s="549">
        <f>B22+C22+D22+F22+G22+H22+J22+K22+L22+N22+O22+P22</f>
        <v>9679495.8482693229</v>
      </c>
      <c r="S22" s="508"/>
      <c r="T22" s="603">
        <f>SUM(Q22,M22,I22,E22)/12</f>
        <v>806624.65402244357</v>
      </c>
      <c r="U22" s="708">
        <f>T22/T19</f>
        <v>1.1073898501449395</v>
      </c>
    </row>
    <row r="23" spans="1:21">
      <c r="A23" s="247" t="s">
        <v>42</v>
      </c>
      <c r="B23" s="522">
        <f>B22</f>
        <v>681081.08108108107</v>
      </c>
      <c r="C23" s="523">
        <f>C22+B23</f>
        <v>1437837.8378378379</v>
      </c>
      <c r="D23" s="522">
        <f>D22+C23</f>
        <v>2270270.2702702703</v>
      </c>
      <c r="E23" s="567">
        <f>E22/E19-1</f>
        <v>-4.9796286073789942E-3</v>
      </c>
      <c r="F23" s="522">
        <f>F22+D23</f>
        <v>3000613.9544807966</v>
      </c>
      <c r="G23" s="522">
        <f>G22+F23</f>
        <v>3812106.9369369373</v>
      </c>
      <c r="H23" s="522">
        <f>H22+G23</f>
        <v>4704749.2176386919</v>
      </c>
      <c r="I23" s="567">
        <f>I22/I19-1</f>
        <v>3.9694716243450001E-2</v>
      </c>
      <c r="J23" s="522">
        <f>J22+H23</f>
        <v>5456368.406827881</v>
      </c>
      <c r="K23" s="522">
        <f>K22+J23</f>
        <v>6291500.8392603137</v>
      </c>
      <c r="L23" s="522">
        <f>L22+K23</f>
        <v>7210146.5149359889</v>
      </c>
      <c r="M23" s="567">
        <f>M22/M19-1</f>
        <v>0.16510096377461103</v>
      </c>
      <c r="N23" s="550">
        <f>N22+L23</f>
        <v>7950951.3149359887</v>
      </c>
      <c r="O23" s="550">
        <f>O22+N23</f>
        <v>8774067.7593804337</v>
      </c>
      <c r="P23" s="522">
        <f>P22+O23</f>
        <v>9679495.8482693229</v>
      </c>
      <c r="Q23" s="567">
        <f>Q22/Q19-1</f>
        <v>0.25520558748300304</v>
      </c>
      <c r="R23" s="677">
        <f>R24/R22</f>
        <v>0.1866028659563865</v>
      </c>
      <c r="S23" s="508"/>
    </row>
    <row r="24" spans="1:21">
      <c r="A24" s="412" t="s">
        <v>43</v>
      </c>
      <c r="B24" s="525">
        <f>DH!B21</f>
        <v>805792.78130000003</v>
      </c>
      <c r="C24" s="526">
        <f>DH!C21</f>
        <v>714991.98839999991</v>
      </c>
      <c r="D24" s="525">
        <f>DH!D21</f>
        <v>285436.89659999998</v>
      </c>
      <c r="E24" s="568">
        <f>SUM(B24:D24)</f>
        <v>1806221.6663000002</v>
      </c>
      <c r="F24" s="525">
        <f>DH!F21</f>
        <v>0</v>
      </c>
      <c r="G24" s="525">
        <f>DH!G21</f>
        <v>0</v>
      </c>
      <c r="H24" s="525">
        <f>DH!H21</f>
        <v>0</v>
      </c>
      <c r="I24" s="568">
        <f>SUM(F24:H24)</f>
        <v>0</v>
      </c>
      <c r="J24" s="525">
        <f>DH!J21</f>
        <v>0</v>
      </c>
      <c r="K24" s="525">
        <f>DH!K21</f>
        <v>0</v>
      </c>
      <c r="L24" s="525">
        <f>DH!L21</f>
        <v>0</v>
      </c>
      <c r="M24" s="568">
        <f>SUM(J24:L24)</f>
        <v>0</v>
      </c>
      <c r="N24" s="525">
        <f>DH!N21</f>
        <v>0</v>
      </c>
      <c r="O24" s="525">
        <f>DH!O21</f>
        <v>0</v>
      </c>
      <c r="P24" s="525">
        <f>DH!P21</f>
        <v>0</v>
      </c>
      <c r="Q24" s="568">
        <f>SUM(N24:P24)</f>
        <v>0</v>
      </c>
      <c r="R24" s="551">
        <f>B24+C24+D24+F24+G24+H24+J24+K24+L24+N24+O24+P24</f>
        <v>1806221.6663000002</v>
      </c>
      <c r="S24" s="528">
        <f>R24/R22</f>
        <v>0.1866028659563865</v>
      </c>
    </row>
    <row r="25" spans="1:21">
      <c r="A25" s="247" t="s">
        <v>44</v>
      </c>
      <c r="B25" s="529">
        <f>B24</f>
        <v>805792.78130000003</v>
      </c>
      <c r="C25" s="530">
        <f>C24+B25</f>
        <v>1520784.7697000001</v>
      </c>
      <c r="D25" s="529">
        <f>D24+C25</f>
        <v>1806221.6663000002</v>
      </c>
      <c r="E25" s="573">
        <f>E24-E19</f>
        <v>-475410.28370000003</v>
      </c>
      <c r="F25" s="529">
        <f>F24+D25</f>
        <v>1806221.6663000002</v>
      </c>
      <c r="G25" s="529">
        <f>G24+F25</f>
        <v>1806221.6663000002</v>
      </c>
      <c r="H25" s="529">
        <f>H24+G25</f>
        <v>1806221.6663000002</v>
      </c>
      <c r="I25" s="598">
        <f>(E24+I24)-(E19+I19)</f>
        <v>-2816942.7636999995</v>
      </c>
      <c r="J25" s="529">
        <f>J24+H25</f>
        <v>1806221.6663000002</v>
      </c>
      <c r="K25" s="529">
        <f>K24+J25</f>
        <v>1806221.6663000002</v>
      </c>
      <c r="L25" s="529">
        <f>L24+K25</f>
        <v>1806221.6663000002</v>
      </c>
      <c r="M25" s="598">
        <f>(E24+I24+M24)-(E19+I19+M19)</f>
        <v>-4967312.0236999989</v>
      </c>
      <c r="N25" s="531">
        <f>N24+L25</f>
        <v>1806221.6663000002</v>
      </c>
      <c r="O25" s="531">
        <f>O24+N25</f>
        <v>1806221.6663000002</v>
      </c>
      <c r="P25" s="531">
        <f>P24+O25</f>
        <v>1806221.6663000002</v>
      </c>
      <c r="Q25" s="573"/>
      <c r="R25" s="552">
        <f>R24*1.1</f>
        <v>1986843.8329300003</v>
      </c>
      <c r="S25" s="508"/>
    </row>
    <row r="26" spans="1:21">
      <c r="A26" s="247" t="s">
        <v>45</v>
      </c>
      <c r="B26" s="533">
        <f t="shared" ref="B26:D27" si="0">B24/B22</f>
        <v>1.183108448734127</v>
      </c>
      <c r="C26" s="534">
        <f t="shared" si="0"/>
        <v>0.94481084181428554</v>
      </c>
      <c r="D26" s="533">
        <f t="shared" si="0"/>
        <v>0.34289497318831169</v>
      </c>
      <c r="E26" s="569"/>
      <c r="F26" s="533">
        <f t="shared" ref="F26:H27" si="1">F24/F22</f>
        <v>0</v>
      </c>
      <c r="G26" s="533">
        <f t="shared" si="1"/>
        <v>0</v>
      </c>
      <c r="H26" s="533">
        <f t="shared" si="1"/>
        <v>0</v>
      </c>
      <c r="I26" s="569"/>
      <c r="J26" s="533">
        <f t="shared" ref="J26:L27" si="2">J24/J22</f>
        <v>0</v>
      </c>
      <c r="K26" s="533">
        <f t="shared" si="2"/>
        <v>0</v>
      </c>
      <c r="L26" s="533">
        <f t="shared" si="2"/>
        <v>0</v>
      </c>
      <c r="M26" s="569"/>
      <c r="N26" s="535">
        <f t="shared" ref="N26:P27" si="3">N24/N22</f>
        <v>0</v>
      </c>
      <c r="O26" s="535">
        <f t="shared" si="3"/>
        <v>0</v>
      </c>
      <c r="P26" s="535">
        <f t="shared" si="3"/>
        <v>0</v>
      </c>
      <c r="Q26" s="569"/>
      <c r="R26" s="552"/>
      <c r="S26" s="508"/>
    </row>
    <row r="27" spans="1:21">
      <c r="A27" s="249" t="s">
        <v>46</v>
      </c>
      <c r="B27" s="546">
        <f t="shared" si="0"/>
        <v>1.183108448734127</v>
      </c>
      <c r="C27" s="547">
        <f t="shared" si="0"/>
        <v>1.0576886556184211</v>
      </c>
      <c r="D27" s="546">
        <f t="shared" si="0"/>
        <v>0.79559763872738098</v>
      </c>
      <c r="E27" s="571"/>
      <c r="F27" s="546">
        <f t="shared" si="1"/>
        <v>0.6019506986571137</v>
      </c>
      <c r="G27" s="546">
        <f>G25/G23</f>
        <v>0.47381190931420086</v>
      </c>
      <c r="H27" s="546">
        <f t="shared" si="1"/>
        <v>0.38391454735318298</v>
      </c>
      <c r="I27" s="571"/>
      <c r="J27" s="546">
        <f t="shared" si="2"/>
        <v>0.33103000597242788</v>
      </c>
      <c r="K27" s="546">
        <f t="shared" si="2"/>
        <v>0.2870891560609497</v>
      </c>
      <c r="L27" s="546">
        <f t="shared" si="2"/>
        <v>0.25051109052477216</v>
      </c>
      <c r="M27" s="571"/>
      <c r="N27" s="548">
        <f t="shared" si="3"/>
        <v>0.22717051013845149</v>
      </c>
      <c r="O27" s="548">
        <f t="shared" si="3"/>
        <v>0.20585909703842353</v>
      </c>
      <c r="P27" s="546">
        <f t="shared" si="3"/>
        <v>0.1866028659563865</v>
      </c>
      <c r="Q27" s="571"/>
      <c r="R27" s="553"/>
      <c r="S27" s="508"/>
    </row>
    <row r="28" spans="1:21" ht="13.8" thickBot="1">
      <c r="A28" s="250" t="s">
        <v>47</v>
      </c>
      <c r="B28" s="554">
        <f>B25-B23</f>
        <v>124711.70021891897</v>
      </c>
      <c r="C28" s="555">
        <f>C25-C23</f>
        <v>82946.931862162193</v>
      </c>
      <c r="D28" s="554">
        <f>D25-D23</f>
        <v>-464048.60397027014</v>
      </c>
      <c r="E28" s="574"/>
      <c r="F28" s="554">
        <f>F25-F23</f>
        <v>-1194392.2881807964</v>
      </c>
      <c r="G28" s="554">
        <f>G25-G23</f>
        <v>-2005885.2706369371</v>
      </c>
      <c r="H28" s="554">
        <f>H25-H23</f>
        <v>-2898527.5513386917</v>
      </c>
      <c r="I28" s="574"/>
      <c r="J28" s="554">
        <f>J25-J23</f>
        <v>-3650146.7405278808</v>
      </c>
      <c r="K28" s="554">
        <f>K25-K23</f>
        <v>-4485279.172960313</v>
      </c>
      <c r="L28" s="554">
        <f>L25-L23</f>
        <v>-5403924.8486359883</v>
      </c>
      <c r="M28" s="574"/>
      <c r="N28" s="556">
        <f>N25-N23</f>
        <v>-6144729.6486359891</v>
      </c>
      <c r="O28" s="556">
        <f>O25-O23</f>
        <v>-6967846.0930804331</v>
      </c>
      <c r="P28" s="556">
        <f>P25-P23</f>
        <v>-7873274.1819693223</v>
      </c>
      <c r="Q28" s="574"/>
      <c r="R28" s="557"/>
      <c r="S28" s="508"/>
    </row>
    <row r="29" spans="1:21" hidden="1">
      <c r="A29" s="612" t="s">
        <v>150</v>
      </c>
      <c r="B29" s="613">
        <f>B25/(Target!$D$27/12*B18)</f>
        <v>1.0515459990646532</v>
      </c>
      <c r="C29" s="614">
        <f>C25/(Target!$D$27/12*C18)</f>
        <v>0.99229924685879956</v>
      </c>
      <c r="D29" s="613">
        <f>D25/(Target!$D$27/12*D18)</f>
        <v>0.78569627771110107</v>
      </c>
      <c r="E29" s="615"/>
      <c r="F29" s="613">
        <f>F25/(Target!$D$27/12*F18)</f>
        <v>0.58927220828332583</v>
      </c>
      <c r="G29" s="613">
        <f>G25/(Target!$D$27/12*G18)</f>
        <v>0.47141776662666068</v>
      </c>
      <c r="H29" s="613">
        <f>H25/(Target!$D$27/12*H18)</f>
        <v>0.39284813885555053</v>
      </c>
      <c r="I29" s="615"/>
      <c r="J29" s="613">
        <f>J25/(Target!$D$27/12*J18)</f>
        <v>0.33672697616190045</v>
      </c>
      <c r="K29" s="613">
        <f>K25/(Target!$D$27/12*K18)</f>
        <v>0.29463610414166291</v>
      </c>
      <c r="L29" s="613">
        <f>L25/(Target!$D$27/12*L18)</f>
        <v>0.26189875923703371</v>
      </c>
      <c r="M29" s="615"/>
      <c r="N29" s="613">
        <f>N25/(Target!$D$27/12*N18)</f>
        <v>0.23570888331333034</v>
      </c>
      <c r="O29" s="613">
        <f>O25/(Target!$D$27/12*O18)</f>
        <v>0.21428080301211846</v>
      </c>
      <c r="P29" s="613">
        <f>P25/(Target!$D$27/12*P18)</f>
        <v>0.19642406942777527</v>
      </c>
      <c r="Q29" s="588"/>
      <c r="R29" s="589"/>
      <c r="S29" s="508"/>
    </row>
    <row r="30" spans="1:21" s="286" customFormat="1" ht="12" hidden="1">
      <c r="A30" s="624" t="s">
        <v>174</v>
      </c>
      <c r="B30" s="625">
        <f>B25/(Target!$F$27/12*REALIZACJE!B18)</f>
        <v>0.99896869911142039</v>
      </c>
      <c r="C30" s="625">
        <f>C25/(Target!$F$27/12*REALIZACJE!C18)</f>
        <v>0.94268428451585962</v>
      </c>
      <c r="D30" s="617">
        <f>D25/(Target!$F$27/12*REALIZACJE!D18)</f>
        <v>0.74641146382554602</v>
      </c>
      <c r="E30" s="618"/>
      <c r="F30" s="617">
        <f>F25/(Target!$F$27/12*REALIZACJE!F18)</f>
        <v>0.55980859786915949</v>
      </c>
      <c r="G30" s="617">
        <f>G25/(Target!$F$27/12*REALIZACJE!G18)</f>
        <v>0.4478468782953276</v>
      </c>
      <c r="H30" s="617">
        <f>H25/(Target!$F$27/12*REALIZACJE!H18)</f>
        <v>0.37320573191277301</v>
      </c>
      <c r="I30" s="619"/>
      <c r="J30" s="617">
        <f>J25/(Target!$F$27/12*REALIZACJE!J18)</f>
        <v>0.31989062735380547</v>
      </c>
      <c r="K30" s="617">
        <f>K25/(Target!$F$27/12*REALIZACJE!K18)</f>
        <v>0.27990429893457974</v>
      </c>
      <c r="L30" s="617">
        <f>L25/(Target!$F$27/12*REALIZACJE!L18)</f>
        <v>0.248803821275182</v>
      </c>
      <c r="M30" s="618"/>
      <c r="N30" s="617">
        <f>N25/(Target!$F$27/12*REALIZACJE!N18)</f>
        <v>0.2239234391476638</v>
      </c>
      <c r="O30" s="617">
        <f>O25/(Target!$F$27/12*REALIZACJE!O18)</f>
        <v>0.20356676286151257</v>
      </c>
      <c r="P30" s="617">
        <f>P25/(Target!$F$27/12*REALIZACJE!P18)</f>
        <v>0.1866028659563865</v>
      </c>
      <c r="Q30" s="590"/>
      <c r="R30" s="591"/>
      <c r="S30" s="558"/>
    </row>
    <row r="31" spans="1:21" hidden="1">
      <c r="A31" s="638" t="s">
        <v>151</v>
      </c>
      <c r="B31" s="639">
        <f>B25/(Target!$H$27/12*B18)</f>
        <v>0.95139876105849563</v>
      </c>
      <c r="C31" s="640">
        <f>C25/(Target!$H$27/12*C18)</f>
        <v>0.89779455668177111</v>
      </c>
      <c r="D31" s="639">
        <f>D25/(Target!$H$27/12*D18)</f>
        <v>0.71086806078623432</v>
      </c>
      <c r="E31" s="641"/>
      <c r="F31" s="639">
        <f>F25/(Target!$H$27/12*F18)</f>
        <v>0.53315104558967574</v>
      </c>
      <c r="G31" s="639">
        <f>G25/(Target!$H$27/12*G18)</f>
        <v>0.42652083647174061</v>
      </c>
      <c r="H31" s="639">
        <f>H25/(Target!$H$27/12*H18)</f>
        <v>0.35543403039311716</v>
      </c>
      <c r="I31" s="641"/>
      <c r="J31" s="639">
        <f>J25/(Target!$H$27/12*J18)</f>
        <v>0.30465774033695758</v>
      </c>
      <c r="K31" s="639">
        <f>K25/(Target!$H$27/12*K18)</f>
        <v>0.26657552279483787</v>
      </c>
      <c r="L31" s="639">
        <f>L25/(Target!$H$27/12*L18)</f>
        <v>0.2369560202620781</v>
      </c>
      <c r="M31" s="641"/>
      <c r="N31" s="639">
        <f>N25/(Target!$H$27/12*N18)</f>
        <v>0.2132604182358703</v>
      </c>
      <c r="O31" s="639">
        <f>O25/(Target!$H$27/12*O18)</f>
        <v>0.19387310748715481</v>
      </c>
      <c r="P31" s="639">
        <f>P25/(Target!$H$27/12*P18)</f>
        <v>0.17771701519655858</v>
      </c>
      <c r="Q31" s="642"/>
      <c r="R31" s="643"/>
      <c r="S31" s="508"/>
    </row>
    <row r="32" spans="1:21" ht="13.8" thickBot="1">
      <c r="A32" s="653"/>
      <c r="B32" s="659"/>
      <c r="C32" s="660"/>
      <c r="D32" s="659"/>
      <c r="E32" s="657"/>
      <c r="F32" s="659"/>
      <c r="G32" s="659"/>
      <c r="H32" s="659"/>
      <c r="I32" s="657"/>
      <c r="J32" s="659"/>
      <c r="K32" s="659"/>
      <c r="L32" s="659"/>
      <c r="M32" s="657"/>
      <c r="N32" s="661"/>
      <c r="O32" s="661"/>
      <c r="P32" s="659"/>
      <c r="Q32" s="657"/>
      <c r="R32" s="658"/>
      <c r="S32" s="508"/>
    </row>
    <row r="33" spans="1:19">
      <c r="A33" s="644" t="s">
        <v>188</v>
      </c>
      <c r="B33" s="645">
        <f>B8/B24</f>
        <v>0.3898627489479099</v>
      </c>
      <c r="C33" s="646">
        <f t="shared" ref="B33:D34" si="4">C8/C24</f>
        <v>0.36129574147826915</v>
      </c>
      <c r="D33" s="645">
        <f t="shared" si="4"/>
        <v>0.37578649914455381</v>
      </c>
      <c r="E33" s="647">
        <f>E6/E22</f>
        <v>0.37</v>
      </c>
      <c r="F33" s="645" t="e">
        <f t="shared" ref="F33:H34" si="5">F8/F24</f>
        <v>#DIV/0!</v>
      </c>
      <c r="G33" s="645" t="e">
        <f t="shared" si="5"/>
        <v>#DIV/0!</v>
      </c>
      <c r="H33" s="645" t="e">
        <f t="shared" si="5"/>
        <v>#DIV/0!</v>
      </c>
      <c r="I33" s="647">
        <f>I6/I22</f>
        <v>0.37999999999999995</v>
      </c>
      <c r="J33" s="645" t="e">
        <f t="shared" ref="J33:L34" si="6">J8/J24</f>
        <v>#DIV/0!</v>
      </c>
      <c r="K33" s="645" t="e">
        <f t="shared" si="6"/>
        <v>#DIV/0!</v>
      </c>
      <c r="L33" s="645" t="e">
        <f t="shared" si="6"/>
        <v>#DIV/0!</v>
      </c>
      <c r="M33" s="647">
        <f>M6/M22</f>
        <v>0.37000000000000005</v>
      </c>
      <c r="N33" s="648" t="e">
        <f t="shared" ref="N33:O34" si="7">N8/N24</f>
        <v>#DIV/0!</v>
      </c>
      <c r="O33" s="648" t="e">
        <f t="shared" si="7"/>
        <v>#DIV/0!</v>
      </c>
      <c r="P33" s="645" t="e">
        <f>P8/P24</f>
        <v>#DIV/0!</v>
      </c>
      <c r="Q33" s="647">
        <f>Q6/Q22</f>
        <v>0.375</v>
      </c>
      <c r="R33" s="649"/>
      <c r="S33" s="508"/>
    </row>
    <row r="34" spans="1:19" ht="13.8" thickBot="1">
      <c r="A34" s="223" t="s">
        <v>189</v>
      </c>
      <c r="B34" s="559">
        <f t="shared" si="4"/>
        <v>0.3898627489479099</v>
      </c>
      <c r="C34" s="560">
        <f t="shared" si="4"/>
        <v>0.3764320637646375</v>
      </c>
      <c r="D34" s="559">
        <f t="shared" si="4"/>
        <v>0.37633004529971181</v>
      </c>
      <c r="E34" s="575"/>
      <c r="F34" s="559">
        <f t="shared" si="5"/>
        <v>0.37633004529971181</v>
      </c>
      <c r="G34" s="559">
        <f t="shared" si="5"/>
        <v>0.37633004529971181</v>
      </c>
      <c r="H34" s="559">
        <f t="shared" si="5"/>
        <v>0.37633004529971181</v>
      </c>
      <c r="I34" s="575"/>
      <c r="J34" s="559">
        <f t="shared" si="6"/>
        <v>0.37633004529971181</v>
      </c>
      <c r="K34" s="559">
        <f t="shared" si="6"/>
        <v>0.37633004529971181</v>
      </c>
      <c r="L34" s="559">
        <f t="shared" si="6"/>
        <v>0.37633004529971181</v>
      </c>
      <c r="M34" s="575"/>
      <c r="N34" s="561">
        <f t="shared" si="7"/>
        <v>0.37633004529971181</v>
      </c>
      <c r="O34" s="561">
        <f t="shared" si="7"/>
        <v>0.37633004529971181</v>
      </c>
      <c r="P34" s="559">
        <f>P9/P25</f>
        <v>0.37633004529971181</v>
      </c>
      <c r="Q34" s="575"/>
      <c r="R34" s="562">
        <f>R6/R22</f>
        <v>0.37379064537198092</v>
      </c>
      <c r="S34" s="508"/>
    </row>
    <row r="35" spans="1:19">
      <c r="I35" s="486"/>
      <c r="Q35" s="486"/>
    </row>
    <row r="37" spans="1:19">
      <c r="F37" s="713"/>
      <c r="G37" s="687"/>
      <c r="I37" s="486"/>
    </row>
    <row r="38" spans="1:19">
      <c r="F38" s="713"/>
      <c r="G38" s="687"/>
      <c r="I38" s="486"/>
    </row>
    <row r="39" spans="1:19">
      <c r="F39" s="713"/>
      <c r="G39" s="687"/>
    </row>
    <row r="40" spans="1:19">
      <c r="G40" s="687"/>
    </row>
  </sheetData>
  <mergeCells count="1">
    <mergeCell ref="B1:R1"/>
  </mergeCells>
  <pageMargins left="0.25" right="0.25" top="0.75" bottom="0.75" header="0.3" footer="0.3"/>
  <pageSetup paperSize="9" scale="5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Normal="100" workbookViewId="0">
      <selection activeCell="B24" sqref="B24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22" s="2" customFormat="1" ht="12.75" customHeight="1">
      <c r="A1" s="806"/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8"/>
    </row>
    <row r="2" spans="1:22" ht="19.2" customHeight="1">
      <c r="A2" s="805" t="s">
        <v>27</v>
      </c>
      <c r="B2" s="805"/>
      <c r="C2" s="805"/>
      <c r="D2" s="805"/>
      <c r="E2" s="805"/>
      <c r="F2" s="805"/>
      <c r="G2" s="805"/>
      <c r="H2" s="805"/>
      <c r="I2" s="805"/>
      <c r="J2" s="805"/>
      <c r="K2" s="805"/>
      <c r="L2" s="805"/>
      <c r="M2" s="805"/>
      <c r="N2" s="805"/>
      <c r="O2" s="805"/>
      <c r="P2" s="805"/>
      <c r="R2" s="712" t="s">
        <v>213</v>
      </c>
    </row>
    <row r="3" spans="1:22" ht="12.75" customHeight="1">
      <c r="A3" s="37"/>
      <c r="B3" s="37" t="s">
        <v>28</v>
      </c>
      <c r="C3" s="37" t="s">
        <v>22</v>
      </c>
      <c r="D3" s="37" t="s">
        <v>14</v>
      </c>
      <c r="E3" s="37"/>
      <c r="F3" s="501" t="s">
        <v>15</v>
      </c>
      <c r="G3" s="501" t="s">
        <v>16</v>
      </c>
      <c r="H3" s="501" t="s">
        <v>17</v>
      </c>
      <c r="I3" s="502"/>
      <c r="J3" s="37" t="s">
        <v>29</v>
      </c>
      <c r="K3" s="37" t="s">
        <v>30</v>
      </c>
      <c r="L3" s="37" t="s">
        <v>18</v>
      </c>
      <c r="M3" s="502"/>
      <c r="N3" s="37" t="s">
        <v>19</v>
      </c>
      <c r="O3" s="37" t="s">
        <v>20</v>
      </c>
      <c r="P3" s="37" t="s">
        <v>21</v>
      </c>
      <c r="R3" s="3" t="s">
        <v>211</v>
      </c>
      <c r="S3" s="3" t="s">
        <v>210</v>
      </c>
      <c r="V3" s="4" t="s">
        <v>212</v>
      </c>
    </row>
    <row r="4" spans="1:22" ht="12.75" customHeight="1">
      <c r="A4" s="1" t="s">
        <v>31</v>
      </c>
      <c r="B4" s="53">
        <f>TOMEK!B31</f>
        <v>2811.7599999999998</v>
      </c>
      <c r="C4" s="53">
        <f>TOMEK!C31</f>
        <v>2811.7599999999998</v>
      </c>
      <c r="D4" s="53">
        <f>TOMEK!D31</f>
        <v>350</v>
      </c>
      <c r="E4" s="53"/>
      <c r="F4" s="53">
        <f>TOMEK!F31</f>
        <v>0</v>
      </c>
      <c r="G4" s="53">
        <f>TOMEK!G31</f>
        <v>0</v>
      </c>
      <c r="H4" s="53">
        <f>TOMEK!H31</f>
        <v>0</v>
      </c>
      <c r="I4" s="237"/>
      <c r="J4" s="53">
        <f>TOMEK!J31</f>
        <v>0</v>
      </c>
      <c r="K4" s="53">
        <f>TOMEK!K31</f>
        <v>0</v>
      </c>
      <c r="L4" s="53">
        <f>TOMEK!L31</f>
        <v>0</v>
      </c>
      <c r="M4" s="237"/>
      <c r="N4" s="53">
        <f>TOMEK!N31</f>
        <v>0</v>
      </c>
      <c r="O4" s="53">
        <f>TOMEK!O31</f>
        <v>0</v>
      </c>
      <c r="P4" s="53">
        <f>TOMEK!P31</f>
        <v>0</v>
      </c>
      <c r="Q4" s="603">
        <f>SUM(N4:P4,J4:L4,F4:H4,B4:D4)</f>
        <v>5973.5199999999995</v>
      </c>
      <c r="R4" s="603">
        <v>6800</v>
      </c>
      <c r="S4" s="603">
        <f>R4*15%</f>
        <v>1020</v>
      </c>
      <c r="T4" s="709">
        <f t="shared" ref="T4:T6" si="0">SUM(R4:S4)</f>
        <v>7820</v>
      </c>
      <c r="U4" s="710">
        <f>F4</f>
        <v>0</v>
      </c>
      <c r="V4" s="711">
        <f>SUM(T4:U4)</f>
        <v>7820</v>
      </c>
    </row>
    <row r="5" spans="1:22" ht="12.75" customHeight="1">
      <c r="A5" s="1" t="s">
        <v>24</v>
      </c>
      <c r="B5" s="53">
        <f>PIOTR!B31</f>
        <v>4363.1000000000004</v>
      </c>
      <c r="C5" s="53">
        <f>PIOTR!C31</f>
        <v>4363.1000000000004</v>
      </c>
      <c r="D5" s="53">
        <f>PIOTR!D31</f>
        <v>2356.5500000000002</v>
      </c>
      <c r="E5" s="53"/>
      <c r="F5" s="325">
        <f>PIOTR!F34</f>
        <v>0</v>
      </c>
      <c r="G5" s="325">
        <f>PIOTR!G34</f>
        <v>0</v>
      </c>
      <c r="H5" s="325">
        <f>PIOTR!H34</f>
        <v>0</v>
      </c>
      <c r="I5" s="237"/>
      <c r="J5" s="53">
        <f>PIOTR!J34</f>
        <v>0</v>
      </c>
      <c r="K5" s="53">
        <f>PIOTR!K34</f>
        <v>0</v>
      </c>
      <c r="L5" s="53">
        <f>PIOTR!L34</f>
        <v>0</v>
      </c>
      <c r="M5" s="237"/>
      <c r="N5" s="53">
        <f>PIOTR!N34</f>
        <v>0</v>
      </c>
      <c r="O5" s="53">
        <f>PIOTR!O34</f>
        <v>0</v>
      </c>
      <c r="P5" s="53">
        <f>PIOTR!P34</f>
        <v>0</v>
      </c>
      <c r="Q5" s="603">
        <f t="shared" ref="Q5:Q6" si="1">SUM(N5:P5,J5:L5,F5:H5,B5:D5)</f>
        <v>11082.75</v>
      </c>
      <c r="R5" s="603">
        <v>7500</v>
      </c>
      <c r="S5" s="603">
        <f t="shared" ref="S5:S6" si="2">R5*15%</f>
        <v>1125</v>
      </c>
      <c r="T5" s="709">
        <f t="shared" si="0"/>
        <v>8625</v>
      </c>
      <c r="U5" s="710">
        <f t="shared" ref="U5:U6" si="3">F5</f>
        <v>0</v>
      </c>
      <c r="V5" s="711">
        <f t="shared" ref="V5:V6" si="4">SUM(T5:U5)</f>
        <v>8625</v>
      </c>
    </row>
    <row r="6" spans="1:22" ht="12.75" customHeight="1">
      <c r="A6" s="1" t="s">
        <v>25</v>
      </c>
      <c r="B6" s="53">
        <f>KRZYSZTOF!B31</f>
        <v>3337.0399999999995</v>
      </c>
      <c r="C6" s="53">
        <f>KRZYSZTOF!C31</f>
        <v>3337.0399999999995</v>
      </c>
      <c r="D6" s="53">
        <f>KRZYSZTOF!D31</f>
        <v>350</v>
      </c>
      <c r="E6" s="53"/>
      <c r="F6" s="325">
        <f>KRZYSZTOF!F34</f>
        <v>0</v>
      </c>
      <c r="G6" s="325">
        <f>KRZYSZTOF!G34</f>
        <v>0</v>
      </c>
      <c r="H6" s="325">
        <f>KRZYSZTOF!H34</f>
        <v>0</v>
      </c>
      <c r="I6" s="237"/>
      <c r="J6" s="53">
        <f>KRZYSZTOF!J34</f>
        <v>0</v>
      </c>
      <c r="K6" s="53">
        <f>KRZYSZTOF!K34</f>
        <v>0</v>
      </c>
      <c r="L6" s="53">
        <f>KRZYSZTOF!L34</f>
        <v>0</v>
      </c>
      <c r="M6" s="237"/>
      <c r="N6" s="53">
        <f>KRZYSZTOF!N34</f>
        <v>0</v>
      </c>
      <c r="O6" s="53">
        <f>KRZYSZTOF!O34</f>
        <v>0</v>
      </c>
      <c r="P6" s="53">
        <f>KRZYSZTOF!P34</f>
        <v>0</v>
      </c>
      <c r="Q6" s="603">
        <f t="shared" si="1"/>
        <v>7024.079999999999</v>
      </c>
      <c r="R6" s="603">
        <v>6800</v>
      </c>
      <c r="S6" s="603">
        <f t="shared" si="2"/>
        <v>1020</v>
      </c>
      <c r="T6" s="709">
        <f t="shared" si="0"/>
        <v>7820</v>
      </c>
      <c r="U6" s="710">
        <f t="shared" si="3"/>
        <v>0</v>
      </c>
      <c r="V6" s="711">
        <f t="shared" si="4"/>
        <v>7820</v>
      </c>
    </row>
    <row r="7" spans="1:22" ht="12.75" customHeight="1">
      <c r="A7" s="1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22" ht="12.75" customHeight="1">
      <c r="A8" s="1"/>
      <c r="B8" s="53"/>
      <c r="C8" s="53"/>
      <c r="D8" s="53"/>
      <c r="E8" s="53"/>
      <c r="F8" s="53"/>
      <c r="G8" s="53"/>
      <c r="H8" s="53"/>
      <c r="I8" s="53"/>
      <c r="J8" s="740"/>
      <c r="K8" s="740"/>
      <c r="L8" s="53"/>
      <c r="M8" s="53"/>
      <c r="N8" s="53"/>
      <c r="O8" s="53"/>
      <c r="P8" s="741"/>
    </row>
    <row r="9" spans="1:22" ht="12.75" customHeight="1">
      <c r="B9" s="710">
        <f>SUM(B4:B6)</f>
        <v>10511.9</v>
      </c>
      <c r="C9" s="710">
        <f>SUM(C4:C6)</f>
        <v>10511.9</v>
      </c>
      <c r="D9" s="710">
        <f>SUM(D4:D6)</f>
        <v>3056.55</v>
      </c>
      <c r="F9" s="710">
        <f>SUM(F4:F6)</f>
        <v>0</v>
      </c>
      <c r="G9" s="710">
        <f>SUM(G4:G6)</f>
        <v>0</v>
      </c>
      <c r="H9" s="710">
        <f>SUM(H4:H6)</f>
        <v>0</v>
      </c>
    </row>
    <row r="10" spans="1:22" ht="18" customHeight="1">
      <c r="A10" s="805" t="s">
        <v>23</v>
      </c>
      <c r="B10" s="805"/>
      <c r="C10" s="805"/>
      <c r="D10" s="805"/>
      <c r="E10" s="805"/>
      <c r="F10" s="805"/>
      <c r="G10" s="805"/>
      <c r="H10" s="805"/>
      <c r="I10" s="805"/>
      <c r="J10" s="805"/>
      <c r="K10" s="805"/>
      <c r="L10" s="805"/>
      <c r="M10" s="805"/>
      <c r="N10" s="805"/>
      <c r="O10" s="805"/>
      <c r="P10" s="805"/>
    </row>
    <row r="11" spans="1:22" ht="12.75" customHeight="1">
      <c r="A11" s="37"/>
      <c r="B11" s="809" t="s">
        <v>70</v>
      </c>
      <c r="C11" s="810"/>
      <c r="D11" s="811"/>
      <c r="E11" s="503"/>
      <c r="F11" s="812" t="s">
        <v>71</v>
      </c>
      <c r="G11" s="813"/>
      <c r="H11" s="814"/>
      <c r="I11" s="504"/>
      <c r="J11" s="809" t="s">
        <v>72</v>
      </c>
      <c r="K11" s="810"/>
      <c r="L11" s="811"/>
      <c r="M11" s="504"/>
      <c r="N11" s="809" t="s">
        <v>73</v>
      </c>
      <c r="O11" s="810"/>
      <c r="P11" s="811"/>
    </row>
    <row r="12" spans="1:22" ht="12.75" customHeight="1">
      <c r="A12" s="1" t="s">
        <v>31</v>
      </c>
      <c r="B12" s="800">
        <f>TOMEK!B41</f>
        <v>0</v>
      </c>
      <c r="C12" s="803"/>
      <c r="D12" s="804"/>
      <c r="E12" s="738"/>
      <c r="F12" s="815">
        <f>TOMEK!F41</f>
        <v>0</v>
      </c>
      <c r="G12" s="816"/>
      <c r="H12" s="817"/>
      <c r="I12" s="739"/>
      <c r="J12" s="800">
        <f>TOMEK!J41</f>
        <v>0</v>
      </c>
      <c r="K12" s="801"/>
      <c r="L12" s="802"/>
      <c r="M12" s="739"/>
      <c r="N12" s="800">
        <f>TOMEK!N41</f>
        <v>0</v>
      </c>
      <c r="O12" s="801"/>
      <c r="P12" s="802"/>
      <c r="Q12" s="603">
        <f>SUM(B12:P12)</f>
        <v>0</v>
      </c>
    </row>
    <row r="13" spans="1:22" ht="12.75" customHeight="1">
      <c r="A13" s="1" t="s">
        <v>24</v>
      </c>
      <c r="B13" s="800">
        <f>PIOTR!B41</f>
        <v>0</v>
      </c>
      <c r="C13" s="803"/>
      <c r="D13" s="804"/>
      <c r="E13" s="738"/>
      <c r="F13" s="815">
        <f>PIOTR!F41</f>
        <v>0</v>
      </c>
      <c r="G13" s="816"/>
      <c r="H13" s="817"/>
      <c r="I13" s="739"/>
      <c r="J13" s="800">
        <f>PIOTR!J41</f>
        <v>0</v>
      </c>
      <c r="K13" s="801"/>
      <c r="L13" s="802"/>
      <c r="M13" s="739"/>
      <c r="N13" s="800">
        <f>PIOTR!N41</f>
        <v>0</v>
      </c>
      <c r="O13" s="801"/>
      <c r="P13" s="802"/>
      <c r="Q13" s="603">
        <f t="shared" ref="Q13:Q14" si="5">SUM(B13:P13)</f>
        <v>0</v>
      </c>
    </row>
    <row r="14" spans="1:22" ht="12.75" customHeight="1">
      <c r="A14" s="1" t="s">
        <v>25</v>
      </c>
      <c r="B14" s="800">
        <f>KRZYSZTOF!B41</f>
        <v>0</v>
      </c>
      <c r="C14" s="803"/>
      <c r="D14" s="804"/>
      <c r="E14" s="738"/>
      <c r="F14" s="815">
        <f>KRZYSZTOF!F41</f>
        <v>0</v>
      </c>
      <c r="G14" s="816"/>
      <c r="H14" s="817"/>
      <c r="I14" s="739"/>
      <c r="J14" s="800">
        <f>KRZYSZTOF!J41</f>
        <v>0</v>
      </c>
      <c r="K14" s="801"/>
      <c r="L14" s="802"/>
      <c r="M14" s="739"/>
      <c r="N14" s="800">
        <f>KRZYSZTOF!N41</f>
        <v>0</v>
      </c>
      <c r="O14" s="801"/>
      <c r="P14" s="802"/>
      <c r="Q14" s="603">
        <f t="shared" si="5"/>
        <v>0</v>
      </c>
    </row>
    <row r="15" spans="1:22" ht="12.75" customHeight="1">
      <c r="A15" s="1" t="s">
        <v>244</v>
      </c>
      <c r="B15" s="800">
        <f>RCKIK!B34</f>
        <v>0</v>
      </c>
      <c r="C15" s="801"/>
      <c r="D15" s="802"/>
      <c r="E15" s="742"/>
      <c r="F15" s="818"/>
      <c r="G15" s="819"/>
      <c r="H15" s="776"/>
      <c r="I15" s="742"/>
      <c r="J15" s="818"/>
      <c r="K15" s="819"/>
      <c r="L15" s="776"/>
      <c r="M15" s="742"/>
      <c r="N15" s="820"/>
      <c r="O15" s="821"/>
      <c r="P15" s="822"/>
    </row>
    <row r="16" spans="1:22" ht="12.75" customHeight="1">
      <c r="A16" s="1"/>
      <c r="B16" s="818"/>
      <c r="C16" s="819"/>
      <c r="D16" s="776"/>
      <c r="E16" s="742"/>
      <c r="F16" s="818"/>
      <c r="G16" s="819"/>
      <c r="H16" s="776"/>
      <c r="I16" s="742"/>
      <c r="J16" s="818"/>
      <c r="K16" s="819"/>
      <c r="L16" s="776"/>
      <c r="M16" s="742"/>
      <c r="N16" s="818"/>
      <c r="O16" s="819"/>
      <c r="P16" s="776"/>
    </row>
    <row r="17" spans="1:16" ht="12.75" customHeight="1">
      <c r="C17" s="256"/>
    </row>
    <row r="18" spans="1:16" ht="12.75" customHeight="1">
      <c r="A18" s="806"/>
      <c r="B18" s="807"/>
      <c r="C18" s="807"/>
      <c r="D18" s="807"/>
      <c r="E18" s="807"/>
      <c r="F18" s="807"/>
      <c r="G18" s="807"/>
      <c r="H18" s="807"/>
      <c r="I18" s="807"/>
      <c r="J18" s="807"/>
      <c r="K18" s="807"/>
      <c r="L18" s="807"/>
      <c r="M18" s="807"/>
      <c r="N18" s="807"/>
      <c r="O18" s="807"/>
      <c r="P18" s="808"/>
    </row>
    <row r="19" spans="1:16" ht="18" customHeight="1">
      <c r="A19" s="805" t="s">
        <v>194</v>
      </c>
      <c r="B19" s="805"/>
      <c r="C19" s="805"/>
      <c r="D19" s="805"/>
      <c r="E19" s="805"/>
      <c r="F19" s="805"/>
      <c r="G19" s="805"/>
      <c r="H19" s="805"/>
      <c r="I19" s="805"/>
      <c r="J19" s="805"/>
      <c r="K19" s="805"/>
      <c r="L19" s="805"/>
      <c r="M19" s="805"/>
      <c r="N19" s="805"/>
      <c r="O19" s="805"/>
      <c r="P19" s="805"/>
    </row>
    <row r="20" spans="1:16" ht="12.75" customHeight="1">
      <c r="A20" s="37"/>
      <c r="B20" s="37" t="s">
        <v>28</v>
      </c>
      <c r="C20" s="37" t="s">
        <v>22</v>
      </c>
      <c r="D20" s="37" t="s">
        <v>14</v>
      </c>
      <c r="E20" s="37"/>
      <c r="F20" s="501" t="s">
        <v>15</v>
      </c>
      <c r="G20" s="501" t="s">
        <v>16</v>
      </c>
      <c r="H20" s="501" t="s">
        <v>17</v>
      </c>
      <c r="I20" s="502"/>
      <c r="J20" s="501" t="s">
        <v>29</v>
      </c>
      <c r="K20" s="501" t="s">
        <v>30</v>
      </c>
      <c r="L20" s="501" t="s">
        <v>18</v>
      </c>
      <c r="M20" s="502"/>
      <c r="N20" s="37" t="s">
        <v>19</v>
      </c>
      <c r="O20" s="37" t="s">
        <v>20</v>
      </c>
      <c r="P20" s="37" t="s">
        <v>21</v>
      </c>
    </row>
    <row r="21" spans="1:16" ht="12.75" customHeight="1">
      <c r="A21" s="1" t="s">
        <v>31</v>
      </c>
      <c r="B21" s="678">
        <f>TOMEK!B34</f>
        <v>2266</v>
      </c>
      <c r="C21" s="678">
        <f>TOMEK!C34</f>
        <v>2266</v>
      </c>
      <c r="D21" s="678">
        <f>TOMEK!D34</f>
        <v>2266</v>
      </c>
      <c r="E21" s="678"/>
      <c r="F21" s="678">
        <f>TOMEK!F34</f>
        <v>0</v>
      </c>
      <c r="G21" s="678">
        <f>TOMEK!G34</f>
        <v>0</v>
      </c>
      <c r="H21" s="678">
        <f>TOMEK!H34</f>
        <v>0</v>
      </c>
      <c r="I21" s="678"/>
      <c r="J21" s="678">
        <f>TOMEK!J34</f>
        <v>0</v>
      </c>
      <c r="K21" s="678">
        <f>TOMEK!K34</f>
        <v>0</v>
      </c>
      <c r="L21" s="678">
        <f>TOMEK!L34</f>
        <v>0</v>
      </c>
      <c r="M21" s="678"/>
      <c r="N21" s="678">
        <f>TOMEK!N34</f>
        <v>0</v>
      </c>
      <c r="O21" s="678">
        <f>TOMEK!O34</f>
        <v>0</v>
      </c>
      <c r="P21" s="678">
        <f>TOMEK!P34</f>
        <v>0</v>
      </c>
    </row>
    <row r="22" spans="1:16" ht="12.75" customHeight="1">
      <c r="A22" s="1" t="s">
        <v>24</v>
      </c>
      <c r="B22" s="678">
        <f>PIOTR!B34</f>
        <v>2266</v>
      </c>
      <c r="C22" s="678">
        <f>PIOTR!C34</f>
        <v>2266</v>
      </c>
      <c r="D22" s="678">
        <f>PIOTR!D34</f>
        <v>2266</v>
      </c>
      <c r="E22" s="678"/>
      <c r="F22" s="678">
        <f>PIOTR!F34</f>
        <v>0</v>
      </c>
      <c r="G22" s="678">
        <f>PIOTR!G34</f>
        <v>0</v>
      </c>
      <c r="H22" s="678">
        <f>PIOTR!H34</f>
        <v>0</v>
      </c>
      <c r="I22" s="678"/>
      <c r="J22" s="678">
        <f>PIOTR!J34</f>
        <v>0</v>
      </c>
      <c r="K22" s="678">
        <f>PIOTR!K34</f>
        <v>0</v>
      </c>
      <c r="L22" s="678">
        <f>PIOTR!L34</f>
        <v>0</v>
      </c>
      <c r="M22" s="678"/>
      <c r="N22" s="678">
        <f>PIOTR!N34</f>
        <v>0</v>
      </c>
      <c r="O22" s="678">
        <f>PIOTR!O34</f>
        <v>0</v>
      </c>
      <c r="P22" s="678">
        <f>PIOTR!P34</f>
        <v>0</v>
      </c>
    </row>
    <row r="23" spans="1:16" ht="12.75" customHeight="1">
      <c r="A23" s="1" t="s">
        <v>25</v>
      </c>
      <c r="B23" s="678">
        <f>KRZYSZTOF!B34</f>
        <v>2266</v>
      </c>
      <c r="C23" s="678">
        <f>KRZYSZTOF!C34</f>
        <v>2266</v>
      </c>
      <c r="D23" s="678">
        <f>KRZYSZTOF!D34</f>
        <v>2266</v>
      </c>
      <c r="E23" s="678"/>
      <c r="F23" s="678">
        <f>KRZYSZTOF!F34</f>
        <v>0</v>
      </c>
      <c r="G23" s="678">
        <f>KRZYSZTOF!G34</f>
        <v>0</v>
      </c>
      <c r="H23" s="678">
        <f>KRZYSZTOF!H34</f>
        <v>0</v>
      </c>
      <c r="I23" s="678"/>
      <c r="J23" s="678">
        <f>KRZYSZTOF!J34</f>
        <v>0</v>
      </c>
      <c r="K23" s="678">
        <f>KRZYSZTOF!K34</f>
        <v>0</v>
      </c>
      <c r="L23" s="678">
        <f>KRZYSZTOF!L34</f>
        <v>0</v>
      </c>
      <c r="M23" s="678"/>
      <c r="N23" s="678">
        <f>KRZYSZTOF!N34</f>
        <v>0</v>
      </c>
      <c r="O23" s="678">
        <f>KRZYSZTOF!O34</f>
        <v>0</v>
      </c>
      <c r="P23" s="678">
        <f>KRZYSZTOF!P34</f>
        <v>0</v>
      </c>
    </row>
    <row r="24" spans="1:16" ht="12.75" customHeight="1">
      <c r="A24" s="1" t="s">
        <v>244</v>
      </c>
      <c r="B24" s="678">
        <f>RCKIK!B19</f>
        <v>1000</v>
      </c>
      <c r="C24" s="678">
        <f>RCKIK!C19</f>
        <v>1000</v>
      </c>
      <c r="D24" s="678">
        <f>RCKIK!D19</f>
        <v>1000</v>
      </c>
      <c r="E24" s="678">
        <f>RCKIK!E19</f>
        <v>0</v>
      </c>
      <c r="F24" s="678">
        <f>RCKIK!F19</f>
        <v>0</v>
      </c>
      <c r="G24" s="678">
        <f>RCKIK!G19</f>
        <v>0</v>
      </c>
      <c r="H24" s="678">
        <f>RCKIK!H19</f>
        <v>0</v>
      </c>
      <c r="I24" s="678">
        <f>RCKIK!I19</f>
        <v>0</v>
      </c>
      <c r="J24" s="678">
        <f>RCKIK!J19</f>
        <v>0</v>
      </c>
      <c r="K24" s="678">
        <f>RCKIK!K19</f>
        <v>0</v>
      </c>
      <c r="L24" s="678">
        <f>RCKIK!L19</f>
        <v>0</v>
      </c>
      <c r="M24" s="678">
        <f>RCKIK!M19</f>
        <v>0</v>
      </c>
      <c r="N24" s="678">
        <f>RCKIK!N19</f>
        <v>0</v>
      </c>
      <c r="O24" s="678">
        <f>RCKIK!O19</f>
        <v>0</v>
      </c>
      <c r="P24" s="678">
        <f>RCKIK!P19</f>
        <v>0</v>
      </c>
    </row>
    <row r="25" spans="1:16" ht="12.75" customHeight="1">
      <c r="A25" s="1"/>
      <c r="B25" s="678"/>
      <c r="C25" s="678"/>
      <c r="D25" s="678"/>
      <c r="E25" s="678"/>
      <c r="F25" s="678"/>
      <c r="G25" s="678"/>
      <c r="H25" s="678"/>
      <c r="I25" s="678"/>
      <c r="J25" s="737"/>
      <c r="K25" s="737"/>
      <c r="L25" s="678"/>
      <c r="M25" s="678"/>
      <c r="N25" s="678"/>
      <c r="O25" s="678"/>
      <c r="P25" s="679"/>
    </row>
  </sheetData>
  <mergeCells count="29">
    <mergeCell ref="A18:P18"/>
    <mergeCell ref="A19:P19"/>
    <mergeCell ref="J15:L15"/>
    <mergeCell ref="J13:L13"/>
    <mergeCell ref="J14:L14"/>
    <mergeCell ref="N15:P15"/>
    <mergeCell ref="N13:P13"/>
    <mergeCell ref="N14:P14"/>
    <mergeCell ref="J16:L16"/>
    <mergeCell ref="N16:P16"/>
    <mergeCell ref="B14:D14"/>
    <mergeCell ref="F15:H15"/>
    <mergeCell ref="F13:H13"/>
    <mergeCell ref="F14:H14"/>
    <mergeCell ref="B16:D16"/>
    <mergeCell ref="F16:H16"/>
    <mergeCell ref="B15:D15"/>
    <mergeCell ref="B13:D13"/>
    <mergeCell ref="A2:P2"/>
    <mergeCell ref="A1:P1"/>
    <mergeCell ref="A10:P10"/>
    <mergeCell ref="B11:D11"/>
    <mergeCell ref="B12:D12"/>
    <mergeCell ref="F11:H11"/>
    <mergeCell ref="F12:H12"/>
    <mergeCell ref="J11:L11"/>
    <mergeCell ref="J12:L12"/>
    <mergeCell ref="N11:P11"/>
    <mergeCell ref="N12:P12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7"/>
  <sheetViews>
    <sheetView topLeftCell="A25" zoomScale="90" zoomScaleNormal="90" workbookViewId="0">
      <pane xSplit="1" topLeftCell="D1" activePane="topRight" state="frozen"/>
      <selection activeCell="A24" sqref="A24"/>
      <selection pane="topRight" activeCell="N46" sqref="N46"/>
    </sheetView>
  </sheetViews>
  <sheetFormatPr defaultRowHeight="13.8"/>
  <cols>
    <col min="1" max="1" width="20.6640625" style="302" customWidth="1"/>
    <col min="2" max="2" width="15.77734375" style="126" customWidth="1"/>
    <col min="3" max="5" width="14.5546875" customWidth="1"/>
    <col min="6" max="6" width="14.88671875" customWidth="1"/>
    <col min="7" max="7" width="13.6640625" customWidth="1"/>
    <col min="8" max="8" width="16.6640625" customWidth="1"/>
    <col min="9" max="9" width="15.88671875" customWidth="1"/>
    <col min="10" max="10" width="15.6640625" customWidth="1"/>
    <col min="11" max="11" width="18.77734375" style="126" customWidth="1"/>
    <col min="12" max="12" width="16.109375" style="126" customWidth="1"/>
    <col min="13" max="13" width="17.55468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  <col min="20" max="20" width="12.5546875" customWidth="1"/>
    <col min="21" max="21" width="13.77734375" customWidth="1"/>
    <col min="22" max="22" width="13.6640625" customWidth="1"/>
    <col min="23" max="23" width="12.77734375" customWidth="1"/>
    <col min="24" max="24" width="11.77734375" customWidth="1"/>
    <col min="25" max="25" width="12.44140625" customWidth="1"/>
  </cols>
  <sheetData>
    <row r="1" spans="1:25" ht="13.2">
      <c r="A1" s="827" t="s">
        <v>90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  <c r="L1" s="827"/>
      <c r="M1" s="827"/>
      <c r="N1" s="827"/>
      <c r="O1" s="827"/>
    </row>
    <row r="2" spans="1:25">
      <c r="A2" s="303"/>
      <c r="B2" s="80"/>
      <c r="C2" s="481" t="s">
        <v>77</v>
      </c>
      <c r="D2" s="481" t="s">
        <v>78</v>
      </c>
      <c r="E2" s="481" t="s">
        <v>79</v>
      </c>
      <c r="F2" s="481" t="s">
        <v>80</v>
      </c>
      <c r="G2" s="481" t="s">
        <v>81</v>
      </c>
      <c r="H2" s="481" t="s">
        <v>82</v>
      </c>
      <c r="I2" s="481" t="s">
        <v>83</v>
      </c>
      <c r="J2" s="481" t="s">
        <v>84</v>
      </c>
      <c r="K2" s="481" t="s">
        <v>85</v>
      </c>
      <c r="L2" s="481" t="s">
        <v>86</v>
      </c>
      <c r="M2" s="481" t="s">
        <v>87</v>
      </c>
      <c r="N2" s="481" t="s">
        <v>88</v>
      </c>
      <c r="O2" s="79" t="s">
        <v>157</v>
      </c>
      <c r="P2" s="259" t="s">
        <v>158</v>
      </c>
      <c r="Q2" s="259" t="s">
        <v>184</v>
      </c>
      <c r="R2" s="450" t="s">
        <v>185</v>
      </c>
      <c r="S2" s="450" t="s">
        <v>186</v>
      </c>
    </row>
    <row r="3" spans="1:25" ht="14.4">
      <c r="A3" s="303" t="s">
        <v>76</v>
      </c>
      <c r="B3" s="80"/>
      <c r="C3" s="447">
        <f>C14</f>
        <v>63300</v>
      </c>
      <c r="D3" s="448">
        <f>E14</f>
        <v>70333.333333333328</v>
      </c>
      <c r="E3" s="448">
        <f>G14</f>
        <v>77366.666666666672</v>
      </c>
      <c r="F3" s="448">
        <f>I14</f>
        <v>69630</v>
      </c>
      <c r="G3" s="448">
        <f>K14</f>
        <v>77366.666666666672</v>
      </c>
      <c r="H3" s="448">
        <f>M14</f>
        <v>85103.333333333343</v>
      </c>
      <c r="I3" s="449">
        <f>C50</f>
        <v>71465.7</v>
      </c>
      <c r="J3" s="449">
        <f>E50</f>
        <v>79406.333333333328</v>
      </c>
      <c r="K3" s="449">
        <f>G50</f>
        <v>87346.966666666674</v>
      </c>
      <c r="L3" s="449">
        <f>C59</f>
        <v>70839.459000000003</v>
      </c>
      <c r="M3" s="449">
        <f>E59</f>
        <v>78710.509999999995</v>
      </c>
      <c r="N3" s="449">
        <f>G59</f>
        <v>86581.561000000002</v>
      </c>
      <c r="O3" s="480">
        <f t="shared" ref="O3:O8" si="0">SUM(C3:N3)</f>
        <v>917450.53</v>
      </c>
      <c r="P3" s="141">
        <f>TOMEK!R6</f>
        <v>143109.1133</v>
      </c>
      <c r="Q3" s="260">
        <f t="shared" ref="Q3:Q8" si="1">P3/O3</f>
        <v>0.15598564567835607</v>
      </c>
      <c r="R3" s="682">
        <f>O3/O8</f>
        <v>0.25357211302601779</v>
      </c>
      <c r="S3" s="723">
        <f>P3/P8</f>
        <v>0.21053647660733449</v>
      </c>
    </row>
    <row r="4" spans="1:25" ht="14.4">
      <c r="A4" s="303" t="s">
        <v>187</v>
      </c>
      <c r="B4" s="80"/>
      <c r="C4" s="447">
        <f>C15</f>
        <v>8700</v>
      </c>
      <c r="D4" s="448">
        <f>E15</f>
        <v>9666.6666666666661</v>
      </c>
      <c r="E4" s="448">
        <f>G15</f>
        <v>10633.333333333334</v>
      </c>
      <c r="F4" s="448">
        <f>I15</f>
        <v>9900.6</v>
      </c>
      <c r="G4" s="448">
        <f>K15</f>
        <v>11000.666666666666</v>
      </c>
      <c r="H4" s="448">
        <f>M15</f>
        <v>12100.733333333334</v>
      </c>
      <c r="I4" s="449">
        <f t="shared" ref="I4:I7" si="2">C51</f>
        <v>9900.6</v>
      </c>
      <c r="J4" s="449">
        <f t="shared" ref="J4:J7" si="3">E51</f>
        <v>11000.666666666666</v>
      </c>
      <c r="K4" s="449">
        <f t="shared" ref="K4:K7" si="4">G51</f>
        <v>12100.733333333334</v>
      </c>
      <c r="L4" s="449">
        <f t="shared" ref="L4:L7" si="5">C60</f>
        <v>9723.0630000000001</v>
      </c>
      <c r="M4" s="449">
        <f t="shared" ref="M4:M7" si="6">E60</f>
        <v>10803.403333333334</v>
      </c>
      <c r="N4" s="449">
        <f t="shared" ref="N4:N7" si="7">G60</f>
        <v>11883.743666666667</v>
      </c>
      <c r="O4" s="480">
        <f t="shared" si="0"/>
        <v>127414.21</v>
      </c>
      <c r="P4" s="141">
        <f>RCKIK!R6</f>
        <v>24409.594700000001</v>
      </c>
      <c r="Q4" s="260">
        <f t="shared" si="1"/>
        <v>0.19157670639719071</v>
      </c>
      <c r="R4" s="682">
        <f>O4/O8</f>
        <v>3.5215730333973176E-2</v>
      </c>
      <c r="S4" s="723">
        <f>P4/P8</f>
        <v>3.5910431872902021E-2</v>
      </c>
    </row>
    <row r="5" spans="1:25" ht="14.4">
      <c r="A5" s="303" t="s">
        <v>75</v>
      </c>
      <c r="B5" s="80"/>
      <c r="C5" s="447">
        <f>C16</f>
        <v>0</v>
      </c>
      <c r="D5" s="448">
        <f>E16</f>
        <v>0</v>
      </c>
      <c r="E5" s="448">
        <f>G16</f>
        <v>0</v>
      </c>
      <c r="F5" s="448">
        <f>I16</f>
        <v>0</v>
      </c>
      <c r="G5" s="448">
        <f>K16</f>
        <v>0</v>
      </c>
      <c r="H5" s="448">
        <f>M16</f>
        <v>0</v>
      </c>
      <c r="I5" s="449">
        <f t="shared" si="2"/>
        <v>0</v>
      </c>
      <c r="J5" s="449">
        <f t="shared" si="3"/>
        <v>0</v>
      </c>
      <c r="K5" s="449">
        <f t="shared" si="4"/>
        <v>0</v>
      </c>
      <c r="L5" s="449">
        <f t="shared" si="5"/>
        <v>0</v>
      </c>
      <c r="M5" s="449">
        <f t="shared" si="6"/>
        <v>0</v>
      </c>
      <c r="N5" s="449">
        <f t="shared" si="7"/>
        <v>0</v>
      </c>
      <c r="O5" s="480">
        <f t="shared" si="0"/>
        <v>0</v>
      </c>
      <c r="P5" s="141">
        <f>BARTEK!R6</f>
        <v>0</v>
      </c>
      <c r="Q5" s="260" t="e">
        <f t="shared" si="1"/>
        <v>#DIV/0!</v>
      </c>
      <c r="R5" s="682">
        <f>O5/O8</f>
        <v>0</v>
      </c>
      <c r="S5" s="723">
        <f>P5/P8</f>
        <v>0</v>
      </c>
    </row>
    <row r="6" spans="1:25" ht="14.4">
      <c r="A6" s="303" t="s">
        <v>24</v>
      </c>
      <c r="B6" s="80"/>
      <c r="C6" s="447">
        <f>C17</f>
        <v>103200</v>
      </c>
      <c r="D6" s="448">
        <f>E17</f>
        <v>114666.66666666667</v>
      </c>
      <c r="E6" s="448">
        <f>G17</f>
        <v>126133.33333333334</v>
      </c>
      <c r="F6" s="448">
        <f>I17</f>
        <v>113520.00000000003</v>
      </c>
      <c r="G6" s="448">
        <f>K17</f>
        <v>126133.33333333336</v>
      </c>
      <c r="H6" s="448">
        <f>M17</f>
        <v>138746.66666666672</v>
      </c>
      <c r="I6" s="449">
        <f t="shared" si="2"/>
        <v>111868.8</v>
      </c>
      <c r="J6" s="449">
        <f t="shared" si="3"/>
        <v>124298.66666666667</v>
      </c>
      <c r="K6" s="449">
        <f t="shared" si="4"/>
        <v>136728.53333333335</v>
      </c>
      <c r="L6" s="449">
        <f t="shared" si="5"/>
        <v>112509.72900000001</v>
      </c>
      <c r="M6" s="449">
        <f t="shared" si="6"/>
        <v>125010.81000000001</v>
      </c>
      <c r="N6" s="449">
        <f t="shared" si="7"/>
        <v>137511.89100000003</v>
      </c>
      <c r="O6" s="480">
        <f t="shared" si="0"/>
        <v>1470328.4300000004</v>
      </c>
      <c r="P6" s="141">
        <f>PIOTR!R6</f>
        <v>309535.65240000002</v>
      </c>
      <c r="Q6" s="260">
        <f t="shared" si="1"/>
        <v>0.2105214359488376</v>
      </c>
      <c r="R6" s="682">
        <f>O6/O8</f>
        <v>0.40638080707994945</v>
      </c>
      <c r="S6" s="723">
        <f>P6/P8</f>
        <v>0.45537662932783068</v>
      </c>
    </row>
    <row r="7" spans="1:25" ht="14.4">
      <c r="A7" s="303" t="s">
        <v>25</v>
      </c>
      <c r="B7" s="80"/>
      <c r="C7" s="447">
        <f>C18</f>
        <v>76800</v>
      </c>
      <c r="D7" s="448">
        <f>E18</f>
        <v>85333.333333333328</v>
      </c>
      <c r="E7" s="448">
        <f>G18</f>
        <v>93866.666666666672</v>
      </c>
      <c r="F7" s="448">
        <f>I18</f>
        <v>84480</v>
      </c>
      <c r="G7" s="448">
        <f>K18</f>
        <v>93866.666666666672</v>
      </c>
      <c r="H7" s="448">
        <f>M18</f>
        <v>103253.33333333334</v>
      </c>
      <c r="I7" s="449">
        <f t="shared" si="2"/>
        <v>84864</v>
      </c>
      <c r="J7" s="449">
        <f t="shared" si="3"/>
        <v>94293.333333333328</v>
      </c>
      <c r="K7" s="449">
        <f t="shared" si="4"/>
        <v>103722.66666666667</v>
      </c>
      <c r="L7" s="449">
        <f t="shared" si="5"/>
        <v>84729.549000000014</v>
      </c>
      <c r="M7" s="449">
        <f t="shared" si="6"/>
        <v>94143.943333333344</v>
      </c>
      <c r="N7" s="449">
        <f t="shared" si="7"/>
        <v>103558.33766666669</v>
      </c>
      <c r="O7" s="480">
        <f t="shared" si="0"/>
        <v>1102911.83</v>
      </c>
      <c r="P7" s="141">
        <f>KRZYSZTOF!R6</f>
        <v>202681.12109999999</v>
      </c>
      <c r="Q7" s="260">
        <f t="shared" si="1"/>
        <v>0.18376910609436475</v>
      </c>
      <c r="R7" s="682">
        <f>O7/O8</f>
        <v>0.30483134956005975</v>
      </c>
      <c r="S7" s="723">
        <f>P7/P8</f>
        <v>0.29817646219193278</v>
      </c>
    </row>
    <row r="8" spans="1:25">
      <c r="A8" s="303" t="s">
        <v>89</v>
      </c>
      <c r="B8" s="80"/>
      <c r="C8" s="490">
        <f t="shared" ref="C8:N8" si="8">SUM(C3:C7)</f>
        <v>252000</v>
      </c>
      <c r="D8" s="490">
        <f t="shared" si="8"/>
        <v>280000</v>
      </c>
      <c r="E8" s="490">
        <f t="shared" si="8"/>
        <v>308000</v>
      </c>
      <c r="F8" s="490">
        <f t="shared" si="8"/>
        <v>277530.60000000003</v>
      </c>
      <c r="G8" s="490">
        <f t="shared" si="8"/>
        <v>308367.33333333337</v>
      </c>
      <c r="H8" s="490">
        <f t="shared" si="8"/>
        <v>339204.06666666677</v>
      </c>
      <c r="I8" s="490">
        <f t="shared" si="8"/>
        <v>278099.09999999998</v>
      </c>
      <c r="J8" s="490">
        <f t="shared" si="8"/>
        <v>308999</v>
      </c>
      <c r="K8" s="490">
        <f t="shared" si="8"/>
        <v>339898.9</v>
      </c>
      <c r="L8" s="490">
        <f t="shared" si="8"/>
        <v>277801.8</v>
      </c>
      <c r="M8" s="490">
        <f t="shared" si="8"/>
        <v>308668.66666666669</v>
      </c>
      <c r="N8" s="490">
        <f t="shared" si="8"/>
        <v>339535.53333333338</v>
      </c>
      <c r="O8" s="485">
        <f t="shared" si="0"/>
        <v>3618105</v>
      </c>
      <c r="P8" s="141">
        <f>SUM(P3:P7)</f>
        <v>679735.48149999999</v>
      </c>
      <c r="Q8" s="260">
        <f t="shared" si="1"/>
        <v>0.18787057907385218</v>
      </c>
      <c r="R8" s="451">
        <v>100</v>
      </c>
      <c r="S8" s="724">
        <v>100</v>
      </c>
    </row>
    <row r="9" spans="1:25" ht="13.2">
      <c r="A9" s="827"/>
      <c r="B9" s="827"/>
      <c r="C9" s="827"/>
      <c r="D9" s="827"/>
      <c r="E9" s="827"/>
      <c r="F9" s="827"/>
      <c r="G9" s="827"/>
      <c r="H9" s="827"/>
      <c r="I9" s="827"/>
      <c r="J9" s="827"/>
      <c r="K9" s="827"/>
      <c r="L9" s="827"/>
      <c r="M9" s="827"/>
      <c r="N9" s="827"/>
      <c r="O9" s="827"/>
    </row>
    <row r="10" spans="1:25">
      <c r="N10" s="735" t="s">
        <v>215</v>
      </c>
      <c r="O10" s="734">
        <v>3620000</v>
      </c>
    </row>
    <row r="12" spans="1:25">
      <c r="A12" s="303"/>
      <c r="B12" s="827" t="s">
        <v>111</v>
      </c>
      <c r="C12" s="827"/>
      <c r="D12" s="827" t="s">
        <v>112</v>
      </c>
      <c r="E12" s="827"/>
      <c r="F12" s="827" t="s">
        <v>113</v>
      </c>
      <c r="G12" s="827"/>
      <c r="H12" s="827" t="s">
        <v>15</v>
      </c>
      <c r="I12" s="827"/>
      <c r="J12" s="827" t="s">
        <v>135</v>
      </c>
      <c r="K12" s="827"/>
      <c r="L12" s="827" t="s">
        <v>17</v>
      </c>
      <c r="M12" s="827"/>
      <c r="N12" s="827" t="s">
        <v>139</v>
      </c>
      <c r="O12" s="827"/>
      <c r="P12" s="827" t="s">
        <v>140</v>
      </c>
      <c r="Q12" s="827"/>
      <c r="R12" s="827" t="s">
        <v>18</v>
      </c>
      <c r="S12" s="827"/>
      <c r="T12" s="827" t="s">
        <v>19</v>
      </c>
      <c r="U12" s="827"/>
      <c r="V12" s="827" t="s">
        <v>20</v>
      </c>
      <c r="W12" s="827"/>
      <c r="X12" s="827" t="s">
        <v>21</v>
      </c>
      <c r="Y12" s="827"/>
    </row>
    <row r="13" spans="1:25" ht="14.4">
      <c r="A13" s="303"/>
      <c r="B13" s="236" t="s">
        <v>114</v>
      </c>
      <c r="C13" s="236" t="s">
        <v>109</v>
      </c>
      <c r="D13" s="236" t="s">
        <v>114</v>
      </c>
      <c r="E13" s="236" t="s">
        <v>109</v>
      </c>
      <c r="F13" s="236" t="s">
        <v>114</v>
      </c>
      <c r="G13" s="236" t="s">
        <v>109</v>
      </c>
      <c r="H13" s="80" t="s">
        <v>114</v>
      </c>
      <c r="I13" s="80" t="s">
        <v>109</v>
      </c>
      <c r="J13" s="80" t="s">
        <v>114</v>
      </c>
      <c r="K13" s="443" t="s">
        <v>109</v>
      </c>
      <c r="L13" s="443" t="s">
        <v>114</v>
      </c>
      <c r="M13" s="80" t="s">
        <v>109</v>
      </c>
      <c r="N13" s="80" t="s">
        <v>114</v>
      </c>
      <c r="O13" s="80" t="s">
        <v>109</v>
      </c>
      <c r="P13" s="80" t="s">
        <v>114</v>
      </c>
      <c r="Q13" s="80" t="s">
        <v>109</v>
      </c>
      <c r="R13" s="80" t="s">
        <v>114</v>
      </c>
      <c r="S13" s="80" t="s">
        <v>109</v>
      </c>
      <c r="T13" s="714" t="s">
        <v>114</v>
      </c>
      <c r="U13" s="714" t="s">
        <v>109</v>
      </c>
      <c r="V13" s="714" t="s">
        <v>114</v>
      </c>
      <c r="W13" s="714" t="s">
        <v>109</v>
      </c>
      <c r="X13" s="714" t="s">
        <v>114</v>
      </c>
      <c r="Y13" s="714" t="s">
        <v>109</v>
      </c>
    </row>
    <row r="14" spans="1:25" ht="14.4">
      <c r="A14" s="265" t="s">
        <v>163</v>
      </c>
      <c r="B14" s="261">
        <f>B31</f>
        <v>0</v>
      </c>
      <c r="C14" s="262">
        <f>C31</f>
        <v>63300</v>
      </c>
      <c r="D14" s="262">
        <f t="shared" ref="D14:F14" si="9">D31</f>
        <v>0</v>
      </c>
      <c r="E14" s="262">
        <f t="shared" si="9"/>
        <v>70333.333333333328</v>
      </c>
      <c r="F14" s="262">
        <f t="shared" si="9"/>
        <v>0</v>
      </c>
      <c r="G14" s="262">
        <f>G31</f>
        <v>77366.666666666672</v>
      </c>
      <c r="H14" s="255">
        <f>B40</f>
        <v>0</v>
      </c>
      <c r="I14" s="255">
        <f t="shared" ref="I14:M14" si="10">C40</f>
        <v>69630</v>
      </c>
      <c r="J14" s="255">
        <f t="shared" si="10"/>
        <v>0</v>
      </c>
      <c r="K14" s="444">
        <f t="shared" si="10"/>
        <v>77366.666666666672</v>
      </c>
      <c r="L14" s="444">
        <f t="shared" si="10"/>
        <v>0</v>
      </c>
      <c r="M14" s="255">
        <f t="shared" si="10"/>
        <v>85103.333333333343</v>
      </c>
      <c r="N14" s="150">
        <f>B50</f>
        <v>0</v>
      </c>
      <c r="O14" s="150">
        <f t="shared" ref="O14:S14" si="11">C50</f>
        <v>71465.7</v>
      </c>
      <c r="P14" s="150">
        <f t="shared" si="11"/>
        <v>0</v>
      </c>
      <c r="Q14" s="150">
        <f t="shared" si="11"/>
        <v>79406.333333333328</v>
      </c>
      <c r="R14" s="150">
        <f t="shared" si="11"/>
        <v>0</v>
      </c>
      <c r="S14" s="150">
        <f t="shared" si="11"/>
        <v>87346.966666666674</v>
      </c>
      <c r="T14" s="150">
        <f t="shared" ref="T14:Y14" si="12">B59</f>
        <v>0</v>
      </c>
      <c r="U14" s="150">
        <f t="shared" si="12"/>
        <v>70839.459000000003</v>
      </c>
      <c r="V14" s="150">
        <f t="shared" si="12"/>
        <v>0</v>
      </c>
      <c r="W14" s="150">
        <f t="shared" si="12"/>
        <v>78710.509999999995</v>
      </c>
      <c r="X14" s="150">
        <f t="shared" si="12"/>
        <v>0</v>
      </c>
      <c r="Y14" s="150">
        <f t="shared" si="12"/>
        <v>86581.561000000002</v>
      </c>
    </row>
    <row r="15" spans="1:25" ht="14.4">
      <c r="A15" s="265" t="s">
        <v>187</v>
      </c>
      <c r="B15" s="262">
        <f t="shared" ref="B15:G15" si="13">B32</f>
        <v>0</v>
      </c>
      <c r="C15" s="262">
        <f t="shared" si="13"/>
        <v>8700</v>
      </c>
      <c r="D15" s="262">
        <f t="shared" si="13"/>
        <v>0</v>
      </c>
      <c r="E15" s="262">
        <f t="shared" si="13"/>
        <v>9666.6666666666661</v>
      </c>
      <c r="F15" s="262">
        <f t="shared" si="13"/>
        <v>0</v>
      </c>
      <c r="G15" s="262">
        <f t="shared" si="13"/>
        <v>10633.333333333334</v>
      </c>
      <c r="H15" s="255">
        <f t="shared" ref="H15:M15" si="14">B41</f>
        <v>0</v>
      </c>
      <c r="I15" s="255">
        <f t="shared" si="14"/>
        <v>9900.6</v>
      </c>
      <c r="J15" s="255">
        <f t="shared" si="14"/>
        <v>0</v>
      </c>
      <c r="K15" s="444">
        <f t="shared" si="14"/>
        <v>11000.666666666666</v>
      </c>
      <c r="L15" s="444">
        <f t="shared" si="14"/>
        <v>0</v>
      </c>
      <c r="M15" s="255">
        <f t="shared" si="14"/>
        <v>12100.733333333334</v>
      </c>
      <c r="N15" s="150">
        <f>B51</f>
        <v>0</v>
      </c>
      <c r="O15" s="150">
        <f>C51</f>
        <v>9900.6</v>
      </c>
      <c r="P15" s="150">
        <f>D51</f>
        <v>0</v>
      </c>
      <c r="Q15" s="150">
        <f>E51</f>
        <v>11000.666666666666</v>
      </c>
      <c r="R15" s="150">
        <f>F51</f>
        <v>0</v>
      </c>
      <c r="S15" s="150">
        <f>G51</f>
        <v>12100.733333333334</v>
      </c>
      <c r="T15" s="150">
        <f t="shared" ref="T15:T18" si="15">B60</f>
        <v>0</v>
      </c>
      <c r="U15" s="150">
        <f t="shared" ref="U15:U18" si="16">C60</f>
        <v>9723.0630000000001</v>
      </c>
      <c r="V15" s="150">
        <f t="shared" ref="V15:V18" si="17">D60</f>
        <v>0</v>
      </c>
      <c r="W15" s="150">
        <f t="shared" ref="W15:W18" si="18">E60</f>
        <v>10803.403333333334</v>
      </c>
      <c r="X15" s="150">
        <f t="shared" ref="X15:X18" si="19">F60</f>
        <v>0</v>
      </c>
      <c r="Y15" s="150">
        <f t="shared" ref="Y15:Y18" si="20">G60</f>
        <v>11883.743666666667</v>
      </c>
    </row>
    <row r="16" spans="1:25" ht="14.4">
      <c r="A16" s="265" t="s">
        <v>164</v>
      </c>
      <c r="B16" s="262">
        <f t="shared" ref="B16:G16" si="21">B33</f>
        <v>0</v>
      </c>
      <c r="C16" s="262">
        <f t="shared" si="21"/>
        <v>0</v>
      </c>
      <c r="D16" s="262">
        <f t="shared" si="21"/>
        <v>0</v>
      </c>
      <c r="E16" s="262">
        <f t="shared" si="21"/>
        <v>0</v>
      </c>
      <c r="F16" s="262">
        <f t="shared" si="21"/>
        <v>0</v>
      </c>
      <c r="G16" s="262">
        <f t="shared" si="21"/>
        <v>0</v>
      </c>
      <c r="H16" s="255">
        <f t="shared" ref="H16:M18" si="22">B42</f>
        <v>0</v>
      </c>
      <c r="I16" s="255">
        <f t="shared" si="22"/>
        <v>0</v>
      </c>
      <c r="J16" s="255">
        <f t="shared" si="22"/>
        <v>0</v>
      </c>
      <c r="K16" s="444">
        <f t="shared" si="22"/>
        <v>0</v>
      </c>
      <c r="L16" s="444">
        <f>F42</f>
        <v>0</v>
      </c>
      <c r="M16" s="255">
        <f t="shared" si="22"/>
        <v>0</v>
      </c>
      <c r="N16" s="150">
        <f t="shared" ref="N16:S18" si="23">B52</f>
        <v>0</v>
      </c>
      <c r="O16" s="150">
        <f t="shared" si="23"/>
        <v>0</v>
      </c>
      <c r="P16" s="150">
        <f t="shared" si="23"/>
        <v>0</v>
      </c>
      <c r="Q16" s="150">
        <f t="shared" si="23"/>
        <v>0</v>
      </c>
      <c r="R16" s="150">
        <f t="shared" si="23"/>
        <v>0</v>
      </c>
      <c r="S16" s="150">
        <f t="shared" si="23"/>
        <v>0</v>
      </c>
      <c r="T16" s="150">
        <f t="shared" si="15"/>
        <v>0</v>
      </c>
      <c r="U16" s="150">
        <f t="shared" si="16"/>
        <v>0</v>
      </c>
      <c r="V16" s="150">
        <f t="shared" si="17"/>
        <v>0</v>
      </c>
      <c r="W16" s="150">
        <f t="shared" si="18"/>
        <v>0</v>
      </c>
      <c r="X16" s="150">
        <f t="shared" si="19"/>
        <v>0</v>
      </c>
      <c r="Y16" s="150">
        <f t="shared" si="20"/>
        <v>0</v>
      </c>
    </row>
    <row r="17" spans="1:25" ht="14.4">
      <c r="A17" s="265" t="s">
        <v>165</v>
      </c>
      <c r="B17" s="262">
        <f t="shared" ref="B17:G17" si="24">B34</f>
        <v>0</v>
      </c>
      <c r="C17" s="262">
        <f t="shared" si="24"/>
        <v>103200</v>
      </c>
      <c r="D17" s="262">
        <f t="shared" si="24"/>
        <v>0</v>
      </c>
      <c r="E17" s="262">
        <f t="shared" si="24"/>
        <v>114666.66666666667</v>
      </c>
      <c r="F17" s="262">
        <f t="shared" si="24"/>
        <v>0</v>
      </c>
      <c r="G17" s="262">
        <f t="shared" si="24"/>
        <v>126133.33333333334</v>
      </c>
      <c r="H17" s="255">
        <f t="shared" si="22"/>
        <v>0</v>
      </c>
      <c r="I17" s="255">
        <f t="shared" si="22"/>
        <v>113520.00000000003</v>
      </c>
      <c r="J17" s="255">
        <f t="shared" si="22"/>
        <v>0</v>
      </c>
      <c r="K17" s="444">
        <f t="shared" si="22"/>
        <v>126133.33333333336</v>
      </c>
      <c r="L17" s="444">
        <f t="shared" si="22"/>
        <v>0</v>
      </c>
      <c r="M17" s="255">
        <f t="shared" si="22"/>
        <v>138746.66666666672</v>
      </c>
      <c r="N17" s="150">
        <f t="shared" si="23"/>
        <v>0</v>
      </c>
      <c r="O17" s="150">
        <f t="shared" si="23"/>
        <v>111868.8</v>
      </c>
      <c r="P17" s="150">
        <f t="shared" si="23"/>
        <v>0</v>
      </c>
      <c r="Q17" s="150">
        <f t="shared" si="23"/>
        <v>124298.66666666667</v>
      </c>
      <c r="R17" s="150">
        <f t="shared" si="23"/>
        <v>0</v>
      </c>
      <c r="S17" s="150">
        <f t="shared" si="23"/>
        <v>136728.53333333335</v>
      </c>
      <c r="T17" s="150">
        <f t="shared" si="15"/>
        <v>0</v>
      </c>
      <c r="U17" s="150">
        <f t="shared" si="16"/>
        <v>112509.72900000001</v>
      </c>
      <c r="V17" s="150">
        <f t="shared" si="17"/>
        <v>0</v>
      </c>
      <c r="W17" s="150">
        <f t="shared" si="18"/>
        <v>125010.81000000001</v>
      </c>
      <c r="X17" s="150">
        <f t="shared" si="19"/>
        <v>0</v>
      </c>
      <c r="Y17" s="150">
        <f t="shared" si="20"/>
        <v>137511.89100000003</v>
      </c>
    </row>
    <row r="18" spans="1:25" ht="14.4">
      <c r="A18" s="265" t="s">
        <v>166</v>
      </c>
      <c r="B18" s="262">
        <f t="shared" ref="B18:G18" si="25">B35</f>
        <v>0</v>
      </c>
      <c r="C18" s="262">
        <f t="shared" si="25"/>
        <v>76800</v>
      </c>
      <c r="D18" s="262">
        <f t="shared" si="25"/>
        <v>0</v>
      </c>
      <c r="E18" s="262">
        <f t="shared" si="25"/>
        <v>85333.333333333328</v>
      </c>
      <c r="F18" s="262">
        <f t="shared" si="25"/>
        <v>0</v>
      </c>
      <c r="G18" s="262">
        <f t="shared" si="25"/>
        <v>93866.666666666672</v>
      </c>
      <c r="H18" s="255">
        <f t="shared" si="22"/>
        <v>0</v>
      </c>
      <c r="I18" s="255">
        <f t="shared" si="22"/>
        <v>84480</v>
      </c>
      <c r="J18" s="255">
        <f t="shared" si="22"/>
        <v>0</v>
      </c>
      <c r="K18" s="444">
        <f t="shared" si="22"/>
        <v>93866.666666666672</v>
      </c>
      <c r="L18" s="444">
        <f t="shared" si="22"/>
        <v>0</v>
      </c>
      <c r="M18" s="255">
        <f t="shared" si="22"/>
        <v>103253.33333333334</v>
      </c>
      <c r="N18" s="150">
        <f t="shared" si="23"/>
        <v>0</v>
      </c>
      <c r="O18" s="150">
        <f t="shared" si="23"/>
        <v>84864</v>
      </c>
      <c r="P18" s="150">
        <f t="shared" si="23"/>
        <v>0</v>
      </c>
      <c r="Q18" s="150">
        <f t="shared" si="23"/>
        <v>94293.333333333328</v>
      </c>
      <c r="R18" s="150">
        <f t="shared" si="23"/>
        <v>0</v>
      </c>
      <c r="S18" s="150">
        <f t="shared" si="23"/>
        <v>103722.66666666667</v>
      </c>
      <c r="T18" s="150">
        <f t="shared" si="15"/>
        <v>0</v>
      </c>
      <c r="U18" s="150">
        <f t="shared" si="16"/>
        <v>84729.549000000014</v>
      </c>
      <c r="V18" s="150">
        <f t="shared" si="17"/>
        <v>0</v>
      </c>
      <c r="W18" s="150">
        <f t="shared" si="18"/>
        <v>94143.943333333344</v>
      </c>
      <c r="X18" s="150">
        <f t="shared" si="19"/>
        <v>0</v>
      </c>
      <c r="Y18" s="150">
        <f t="shared" si="20"/>
        <v>103558.33766666669</v>
      </c>
    </row>
    <row r="19" spans="1:25" ht="14.4">
      <c r="A19" s="303"/>
      <c r="B19" s="150"/>
      <c r="C19" s="150"/>
      <c r="D19" s="150"/>
      <c r="E19" s="150"/>
      <c r="F19" s="150"/>
      <c r="G19" s="150"/>
      <c r="H19" s="255"/>
      <c r="I19" s="255"/>
      <c r="J19" s="255"/>
      <c r="K19" s="444"/>
      <c r="L19" s="444"/>
      <c r="M19" s="255"/>
    </row>
    <row r="21" spans="1:25">
      <c r="B21" s="126" t="s">
        <v>77</v>
      </c>
      <c r="C21" s="126" t="s">
        <v>78</v>
      </c>
      <c r="D21" s="126" t="s">
        <v>79</v>
      </c>
      <c r="E21" s="126" t="s">
        <v>80</v>
      </c>
      <c r="F21" s="126" t="s">
        <v>81</v>
      </c>
      <c r="G21" s="126" t="s">
        <v>82</v>
      </c>
      <c r="H21" s="126" t="s">
        <v>83</v>
      </c>
      <c r="I21" s="126" t="s">
        <v>84</v>
      </c>
      <c r="J21" s="126" t="s">
        <v>85</v>
      </c>
      <c r="K21" s="126" t="s">
        <v>86</v>
      </c>
      <c r="L21" s="126" t="s">
        <v>87</v>
      </c>
      <c r="M21" s="126" t="s">
        <v>88</v>
      </c>
    </row>
    <row r="22" spans="1:25">
      <c r="A22" s="304" t="s">
        <v>109</v>
      </c>
      <c r="B22" s="483">
        <f t="shared" ref="B22:M22" si="26">C8</f>
        <v>252000</v>
      </c>
      <c r="C22" s="483">
        <f t="shared" si="26"/>
        <v>280000</v>
      </c>
      <c r="D22" s="483">
        <f t="shared" si="26"/>
        <v>308000</v>
      </c>
      <c r="E22" s="483">
        <f t="shared" si="26"/>
        <v>277530.60000000003</v>
      </c>
      <c r="F22" s="483">
        <f t="shared" si="26"/>
        <v>308367.33333333337</v>
      </c>
      <c r="G22" s="483">
        <f t="shared" si="26"/>
        <v>339204.06666666677</v>
      </c>
      <c r="H22" s="483">
        <f t="shared" si="26"/>
        <v>278099.09999999998</v>
      </c>
      <c r="I22" s="483">
        <f t="shared" si="26"/>
        <v>308999</v>
      </c>
      <c r="J22" s="483">
        <f t="shared" si="26"/>
        <v>339898.9</v>
      </c>
      <c r="K22" s="484">
        <f t="shared" si="26"/>
        <v>277801.8</v>
      </c>
      <c r="L22" s="484">
        <f t="shared" si="26"/>
        <v>308668.66666666669</v>
      </c>
      <c r="M22" s="483">
        <f t="shared" si="26"/>
        <v>339535.53333333338</v>
      </c>
      <c r="N22" s="489">
        <f>SUM(B22:M22)</f>
        <v>3618105</v>
      </c>
      <c r="O22" s="486">
        <f>N22/12</f>
        <v>301508.75</v>
      </c>
    </row>
    <row r="23" spans="1:25">
      <c r="A23" s="304" t="s">
        <v>114</v>
      </c>
      <c r="B23" s="483">
        <f>B22*100/37</f>
        <v>681081.08108108107</v>
      </c>
      <c r="C23" s="483">
        <f>C22*100/37</f>
        <v>756756.7567567568</v>
      </c>
      <c r="D23" s="483">
        <f>D22*100/37</f>
        <v>832432.43243243243</v>
      </c>
      <c r="E23" s="483">
        <f t="shared" ref="E23:G23" si="27">E22*100/38</f>
        <v>730343.68421052641</v>
      </c>
      <c r="F23" s="483">
        <f t="shared" si="27"/>
        <v>811492.98245614045</v>
      </c>
      <c r="G23" s="483">
        <f t="shared" si="27"/>
        <v>892642.28070175473</v>
      </c>
      <c r="H23" s="483">
        <f>H22*100/37</f>
        <v>751619.18918918911</v>
      </c>
      <c r="I23" s="483">
        <f>I22*100/37</f>
        <v>835132.43243243243</v>
      </c>
      <c r="J23" s="483">
        <f>J22*100/37</f>
        <v>918645.67567567562</v>
      </c>
      <c r="K23" s="483">
        <f>K22*100/37.5</f>
        <v>740804.8</v>
      </c>
      <c r="L23" s="483">
        <f>L22*100/37.5</f>
        <v>823116.4444444445</v>
      </c>
      <c r="M23" s="483">
        <f>M22*100/37.5</f>
        <v>905428.08888888895</v>
      </c>
      <c r="N23" s="489">
        <f>SUM(B23:M23)</f>
        <v>9679495.8482693229</v>
      </c>
      <c r="O23" s="486">
        <f>N23/12</f>
        <v>806624.65402244357</v>
      </c>
    </row>
    <row r="25" spans="1:25">
      <c r="B25" s="828"/>
      <c r="C25" s="828"/>
      <c r="D25" s="828" t="s">
        <v>131</v>
      </c>
      <c r="E25" s="828"/>
      <c r="F25" s="828" t="s">
        <v>132</v>
      </c>
      <c r="G25" s="828"/>
      <c r="H25" s="828" t="s">
        <v>124</v>
      </c>
      <c r="I25" s="828"/>
    </row>
    <row r="26" spans="1:25" ht="13.2">
      <c r="A26" s="488" t="s">
        <v>109</v>
      </c>
      <c r="B26" s="715">
        <f>DH!R3</f>
        <v>3288251.9</v>
      </c>
      <c r="C26" s="715"/>
      <c r="D26" s="715">
        <f>F26*0.95</f>
        <v>3437199.75</v>
      </c>
      <c r="E26" s="716">
        <f>D26/B26-1</f>
        <v>4.5296970709573614E-2</v>
      </c>
      <c r="F26" s="715">
        <f>N22</f>
        <v>3618105</v>
      </c>
      <c r="G26" s="716">
        <f>F26/B26-1</f>
        <v>0.10031260074691972</v>
      </c>
      <c r="H26" s="715">
        <f>F26*1.05</f>
        <v>3799010.25</v>
      </c>
      <c r="I26" s="716">
        <f>H26/B26-1</f>
        <v>0.15532823078426561</v>
      </c>
      <c r="J26" s="127">
        <f>H26/4</f>
        <v>949752.5625</v>
      </c>
      <c r="K26" s="445"/>
      <c r="L26" s="446"/>
      <c r="M26" s="238"/>
      <c r="N26" s="238"/>
    </row>
    <row r="27" spans="1:25" ht="13.2">
      <c r="A27" s="488" t="s">
        <v>114</v>
      </c>
      <c r="B27" s="715">
        <f>DH!R16</f>
        <v>8740820.4499999993</v>
      </c>
      <c r="C27" s="715"/>
      <c r="D27" s="715">
        <f>F27*0.95</f>
        <v>9195521.0558558572</v>
      </c>
      <c r="E27" s="716">
        <f>D27/B27-1</f>
        <v>5.2020357637692749E-2</v>
      </c>
      <c r="F27" s="715">
        <f>N23</f>
        <v>9679495.8482693229</v>
      </c>
      <c r="G27" s="716">
        <f>F27/B27-1</f>
        <v>0.10738985014493951</v>
      </c>
      <c r="H27" s="715">
        <f>F27*1.05</f>
        <v>10163470.640682789</v>
      </c>
      <c r="I27" s="716">
        <f>H27/B27-1</f>
        <v>0.1627593426521865</v>
      </c>
      <c r="J27" s="127">
        <f>H27/4</f>
        <v>2540867.6601706971</v>
      </c>
      <c r="L27" s="446"/>
      <c r="M27" s="238"/>
      <c r="N27" s="238"/>
    </row>
    <row r="28" spans="1:25">
      <c r="J28" s="141">
        <f>F26/12</f>
        <v>301508.75</v>
      </c>
    </row>
    <row r="29" spans="1:25" ht="14.4">
      <c r="A29" s="265"/>
      <c r="B29" s="826" t="s">
        <v>111</v>
      </c>
      <c r="C29" s="826"/>
      <c r="D29" s="826" t="s">
        <v>112</v>
      </c>
      <c r="E29" s="826"/>
      <c r="F29" s="826" t="s">
        <v>113</v>
      </c>
      <c r="G29" s="826"/>
      <c r="H29" s="826" t="s">
        <v>149</v>
      </c>
      <c r="I29" s="826"/>
      <c r="J29" s="141"/>
    </row>
    <row r="30" spans="1:25" ht="14.4">
      <c r="A30" s="265"/>
      <c r="B30" s="271" t="s">
        <v>114</v>
      </c>
      <c r="C30" s="271" t="s">
        <v>109</v>
      </c>
      <c r="D30" s="271" t="s">
        <v>114</v>
      </c>
      <c r="E30" s="271" t="s">
        <v>109</v>
      </c>
      <c r="F30" s="271" t="s">
        <v>114</v>
      </c>
      <c r="G30" s="271" t="s">
        <v>109</v>
      </c>
      <c r="H30" s="236" t="s">
        <v>114</v>
      </c>
      <c r="I30" s="236" t="s">
        <v>109</v>
      </c>
      <c r="J30" s="456" t="s">
        <v>207</v>
      </c>
      <c r="K30" s="746" t="s">
        <v>240</v>
      </c>
      <c r="L30" s="452" t="s">
        <v>182</v>
      </c>
      <c r="M30" s="452" t="s">
        <v>183</v>
      </c>
      <c r="N30" s="451" t="s">
        <v>205</v>
      </c>
      <c r="O30" s="451" t="s">
        <v>206</v>
      </c>
      <c r="P30" s="686" t="s">
        <v>181</v>
      </c>
    </row>
    <row r="31" spans="1:25">
      <c r="A31" s="265" t="s">
        <v>163</v>
      </c>
      <c r="B31" s="269"/>
      <c r="C31" s="266">
        <f>(I31/3)*0.9</f>
        <v>63300</v>
      </c>
      <c r="D31" s="269"/>
      <c r="E31" s="267">
        <f>I31/3</f>
        <v>70333.333333333328</v>
      </c>
      <c r="F31" s="269"/>
      <c r="G31" s="269">
        <f>I31/3*1.1</f>
        <v>77366.666666666672</v>
      </c>
      <c r="H31" s="269"/>
      <c r="I31" s="269">
        <f>161000+50000</f>
        <v>211000</v>
      </c>
      <c r="J31" s="682">
        <f>I31/I36</f>
        <v>0.25119047619047619</v>
      </c>
      <c r="K31" s="747">
        <f>ROUND(J31,4)</f>
        <v>0.25119999999999998</v>
      </c>
      <c r="L31" s="453">
        <f>TOMEK!E6</f>
        <v>143109.1133</v>
      </c>
      <c r="M31" s="684">
        <f>L31/L36</f>
        <v>0.21053647660733449</v>
      </c>
      <c r="N31" s="457">
        <f>N36*K31</f>
        <v>7033.5999999999995</v>
      </c>
      <c r="O31" s="457">
        <f>O36/4</f>
        <v>7000</v>
      </c>
      <c r="P31" s="687">
        <v>6800</v>
      </c>
      <c r="Q31" s="486">
        <f>O3*12%/12</f>
        <v>9174.5052999999989</v>
      </c>
    </row>
    <row r="32" spans="1:25">
      <c r="A32" s="265" t="s">
        <v>187</v>
      </c>
      <c r="B32" s="269"/>
      <c r="C32" s="266">
        <f>(I32/3)*0.9</f>
        <v>8700</v>
      </c>
      <c r="D32" s="269"/>
      <c r="E32" s="267">
        <f>I32/3</f>
        <v>9666.6666666666661</v>
      </c>
      <c r="F32" s="269"/>
      <c r="G32" s="269">
        <f>I32/3*1.1</f>
        <v>10633.333333333334</v>
      </c>
      <c r="H32" s="269"/>
      <c r="I32" s="269">
        <v>29000</v>
      </c>
      <c r="J32" s="682">
        <f>I32/I36</f>
        <v>3.4523809523809526E-2</v>
      </c>
      <c r="K32" s="747">
        <f>ROUND(J32,4)</f>
        <v>3.4500000000000003E-2</v>
      </c>
      <c r="L32" s="454">
        <f>RCKIK!E6</f>
        <v>24409.594700000001</v>
      </c>
      <c r="M32" s="684">
        <f>L32/L36</f>
        <v>3.5910431872902021E-2</v>
      </c>
      <c r="N32" s="457">
        <f>N36*K32</f>
        <v>966.00000000000011</v>
      </c>
      <c r="O32" s="457"/>
      <c r="P32" s="688">
        <v>1000</v>
      </c>
      <c r="Q32" s="486">
        <f>O4*12%/12</f>
        <v>1274.1421</v>
      </c>
    </row>
    <row r="33" spans="1:17">
      <c r="A33" s="265"/>
      <c r="B33" s="266"/>
      <c r="C33" s="266">
        <f t="shared" ref="C33:C35" si="28">(I33/3)*0.9</f>
        <v>0</v>
      </c>
      <c r="D33" s="269"/>
      <c r="E33" s="267">
        <f t="shared" ref="E33:E35" si="29">I33/3</f>
        <v>0</v>
      </c>
      <c r="F33" s="269"/>
      <c r="G33" s="269">
        <f t="shared" ref="G33:G35" si="30">I33/3*1.1</f>
        <v>0</v>
      </c>
      <c r="H33" s="269"/>
      <c r="I33" s="269">
        <v>0</v>
      </c>
      <c r="J33" s="682">
        <f>I33/I36</f>
        <v>0</v>
      </c>
      <c r="K33" s="746"/>
      <c r="L33" s="498">
        <f>BARTEK!E6</f>
        <v>0</v>
      </c>
      <c r="M33" s="684">
        <f>L33/L36</f>
        <v>0</v>
      </c>
      <c r="N33" s="457">
        <f>N36*K33</f>
        <v>0</v>
      </c>
      <c r="O33" s="457">
        <f>O36/4</f>
        <v>7000</v>
      </c>
      <c r="P33" s="687">
        <v>0</v>
      </c>
      <c r="Q33" s="486">
        <f>O5*12%/12</f>
        <v>0</v>
      </c>
    </row>
    <row r="34" spans="1:17">
      <c r="A34" s="265" t="s">
        <v>165</v>
      </c>
      <c r="B34" s="266"/>
      <c r="C34" s="266">
        <f t="shared" si="28"/>
        <v>103200</v>
      </c>
      <c r="D34" s="269"/>
      <c r="E34" s="267">
        <f t="shared" si="29"/>
        <v>114666.66666666667</v>
      </c>
      <c r="F34" s="269"/>
      <c r="G34" s="269">
        <f t="shared" si="30"/>
        <v>126133.33333333334</v>
      </c>
      <c r="H34" s="269"/>
      <c r="I34" s="269">
        <f>234000+110000</f>
        <v>344000</v>
      </c>
      <c r="J34" s="682">
        <f>I34/I36</f>
        <v>0.40952380952380951</v>
      </c>
      <c r="K34" s="747">
        <f>ROUND(J34,4)</f>
        <v>0.40949999999999998</v>
      </c>
      <c r="L34" s="453">
        <f>PIOTR!E6</f>
        <v>309535.65240000002</v>
      </c>
      <c r="M34" s="684">
        <f>L34/L36</f>
        <v>0.45537662932783068</v>
      </c>
      <c r="N34" s="457">
        <f>N36*K34</f>
        <v>11466</v>
      </c>
      <c r="O34" s="457">
        <f>O36/4</f>
        <v>7000</v>
      </c>
      <c r="P34" s="687">
        <v>7500</v>
      </c>
      <c r="Q34" s="486">
        <f>O6*12%/12</f>
        <v>14703.284300000005</v>
      </c>
    </row>
    <row r="35" spans="1:17">
      <c r="A35" s="265" t="s">
        <v>166</v>
      </c>
      <c r="B35" s="266"/>
      <c r="C35" s="266">
        <f t="shared" si="28"/>
        <v>76800</v>
      </c>
      <c r="D35" s="269"/>
      <c r="E35" s="267">
        <f t="shared" si="29"/>
        <v>85333.333333333328</v>
      </c>
      <c r="F35" s="269"/>
      <c r="G35" s="269">
        <f t="shared" si="30"/>
        <v>93866.666666666672</v>
      </c>
      <c r="H35" s="269"/>
      <c r="I35" s="269">
        <f>182000+74000</f>
        <v>256000</v>
      </c>
      <c r="J35" s="682">
        <f>I35/I36</f>
        <v>0.30476190476190479</v>
      </c>
      <c r="K35" s="747">
        <f>ROUND(J35,4)</f>
        <v>0.30480000000000002</v>
      </c>
      <c r="L35" s="453">
        <f>KRZYSZTOF!E6</f>
        <v>202681.12109999999</v>
      </c>
      <c r="M35" s="684">
        <f>L35/L36</f>
        <v>0.29817646219193278</v>
      </c>
      <c r="N35" s="457">
        <f>N36*K35</f>
        <v>8534.4</v>
      </c>
      <c r="O35" s="457">
        <f>O36/4</f>
        <v>7000</v>
      </c>
      <c r="P35" s="687">
        <v>6800</v>
      </c>
      <c r="Q35" s="486">
        <f>O7*12%/12</f>
        <v>11029.1183</v>
      </c>
    </row>
    <row r="36" spans="1:17" ht="14.4">
      <c r="A36" s="265" t="s">
        <v>142</v>
      </c>
      <c r="B36" s="230"/>
      <c r="C36" s="230"/>
      <c r="D36" s="230"/>
      <c r="E36" s="230"/>
      <c r="F36" s="230"/>
      <c r="G36" s="230"/>
      <c r="H36" s="231"/>
      <c r="I36" s="231">
        <f>SUM(I31:I35)</f>
        <v>840000</v>
      </c>
      <c r="J36" s="745">
        <v>1</v>
      </c>
      <c r="K36" s="747">
        <f>ROUND(J36,4)</f>
        <v>1</v>
      </c>
      <c r="L36" s="455">
        <f>SUM(L31:L35)</f>
        <v>679735.48149999999</v>
      </c>
      <c r="M36" s="685">
        <v>1</v>
      </c>
      <c r="N36" s="457">
        <v>28000</v>
      </c>
      <c r="O36" s="457">
        <v>28000</v>
      </c>
      <c r="P36" s="689">
        <f>SUM(P31:P35)</f>
        <v>22100</v>
      </c>
    </row>
    <row r="37" spans="1:17">
      <c r="J37" s="451"/>
      <c r="K37" s="746"/>
      <c r="L37" s="452"/>
      <c r="M37" s="452"/>
      <c r="N37" s="451"/>
      <c r="O37" s="451"/>
    </row>
    <row r="38" spans="1:17">
      <c r="A38" s="263"/>
      <c r="B38" s="825" t="s">
        <v>153</v>
      </c>
      <c r="C38" s="824"/>
      <c r="D38" s="825" t="s">
        <v>154</v>
      </c>
      <c r="E38" s="824"/>
      <c r="F38" s="825" t="s">
        <v>155</v>
      </c>
      <c r="G38" s="824"/>
      <c r="H38" s="825" t="s">
        <v>152</v>
      </c>
      <c r="I38" s="824"/>
      <c r="J38" s="451"/>
      <c r="K38" s="746"/>
      <c r="L38" s="452"/>
      <c r="M38" s="452"/>
      <c r="N38" s="451"/>
      <c r="O38" s="451"/>
    </row>
    <row r="39" spans="1:17" ht="14.4">
      <c r="A39" s="263"/>
      <c r="B39" s="264" t="s">
        <v>114</v>
      </c>
      <c r="C39" s="264" t="s">
        <v>109</v>
      </c>
      <c r="D39" s="271" t="s">
        <v>114</v>
      </c>
      <c r="E39" s="271" t="s">
        <v>109</v>
      </c>
      <c r="F39" s="271" t="s">
        <v>114</v>
      </c>
      <c r="G39" s="271" t="s">
        <v>109</v>
      </c>
      <c r="H39" s="487" t="s">
        <v>114</v>
      </c>
      <c r="I39" s="487" t="s">
        <v>109</v>
      </c>
      <c r="J39" s="456" t="s">
        <v>207</v>
      </c>
      <c r="K39" s="746" t="s">
        <v>240</v>
      </c>
      <c r="L39" s="452" t="s">
        <v>182</v>
      </c>
      <c r="M39" s="452" t="s">
        <v>183</v>
      </c>
      <c r="N39" s="451" t="s">
        <v>205</v>
      </c>
      <c r="O39" s="451" t="s">
        <v>206</v>
      </c>
      <c r="P39" s="686" t="s">
        <v>181</v>
      </c>
    </row>
    <row r="40" spans="1:17">
      <c r="A40" s="265" t="s">
        <v>163</v>
      </c>
      <c r="B40" s="269"/>
      <c r="C40" s="266">
        <f>(I40/3)*0.9</f>
        <v>69630</v>
      </c>
      <c r="D40" s="269"/>
      <c r="E40" s="267">
        <f>I40/3</f>
        <v>77366.666666666672</v>
      </c>
      <c r="F40" s="269"/>
      <c r="G40" s="269">
        <f>I40/3*1.1</f>
        <v>85103.333333333343</v>
      </c>
      <c r="H40" s="269"/>
      <c r="I40" s="269">
        <f>I31*1.1</f>
        <v>232100.00000000003</v>
      </c>
      <c r="J40" s="682">
        <f>I40/I45</f>
        <v>0.25089125307263416</v>
      </c>
      <c r="K40" s="747">
        <f>ROUND(J40,4)</f>
        <v>0.25090000000000001</v>
      </c>
      <c r="L40" s="453">
        <f>TOMEK!I6</f>
        <v>0</v>
      </c>
      <c r="M40" s="684" t="e">
        <f>L40/L45</f>
        <v>#DIV/0!</v>
      </c>
      <c r="N40" s="457">
        <f>N45*K40</f>
        <v>7727.72</v>
      </c>
      <c r="O40" s="457">
        <f>O45/3</f>
        <v>10266.666666666666</v>
      </c>
      <c r="P40" s="687">
        <v>6800</v>
      </c>
    </row>
    <row r="41" spans="1:17">
      <c r="A41" s="265" t="s">
        <v>187</v>
      </c>
      <c r="B41" s="269"/>
      <c r="C41" s="266">
        <f>(I41/3)*0.9</f>
        <v>9900.6</v>
      </c>
      <c r="D41" s="269"/>
      <c r="E41" s="267">
        <f>I41/3</f>
        <v>11000.666666666666</v>
      </c>
      <c r="F41" s="269"/>
      <c r="G41" s="269">
        <f>I41/3*1.1</f>
        <v>12100.733333333334</v>
      </c>
      <c r="H41" s="269"/>
      <c r="I41" s="269">
        <f>I32*1.138</f>
        <v>33002</v>
      </c>
      <c r="J41" s="682">
        <f>I41/I45</f>
        <v>3.5673904066794798E-2</v>
      </c>
      <c r="K41" s="747">
        <f>ROUND(J41,4)</f>
        <v>3.5700000000000003E-2</v>
      </c>
      <c r="L41" s="454">
        <f>RCKIK!I6</f>
        <v>0</v>
      </c>
      <c r="M41" s="684" t="e">
        <f>L41/L45</f>
        <v>#DIV/0!</v>
      </c>
      <c r="N41" s="457">
        <f>N45*K41</f>
        <v>1099.5600000000002</v>
      </c>
      <c r="O41" s="457"/>
      <c r="P41" s="688">
        <v>1000</v>
      </c>
    </row>
    <row r="42" spans="1:17">
      <c r="A42" s="265"/>
      <c r="B42" s="266"/>
      <c r="C42" s="266">
        <f t="shared" ref="C42:C44" si="31">(I42/3)*0.9</f>
        <v>0</v>
      </c>
      <c r="D42" s="269"/>
      <c r="E42" s="267">
        <f t="shared" ref="E42:E44" si="32">I42/3</f>
        <v>0</v>
      </c>
      <c r="F42" s="269"/>
      <c r="G42" s="269">
        <f t="shared" ref="G42:G44" si="33">I42/3*1.1</f>
        <v>0</v>
      </c>
      <c r="H42" s="269"/>
      <c r="I42" s="269">
        <f>I33*1.14012</f>
        <v>0</v>
      </c>
      <c r="J42" s="682">
        <f>I42/I45</f>
        <v>0</v>
      </c>
      <c r="K42" s="746"/>
      <c r="L42" s="453">
        <f>BARTEK!I6</f>
        <v>0</v>
      </c>
      <c r="M42" s="684" t="e">
        <f>L42/L45</f>
        <v>#DIV/0!</v>
      </c>
      <c r="N42" s="457">
        <f>N45*K42</f>
        <v>0</v>
      </c>
      <c r="O42" s="457"/>
      <c r="P42" s="687">
        <v>6800</v>
      </c>
    </row>
    <row r="43" spans="1:17">
      <c r="A43" s="265" t="s">
        <v>165</v>
      </c>
      <c r="B43" s="266"/>
      <c r="C43" s="266">
        <f t="shared" si="31"/>
        <v>113520.00000000003</v>
      </c>
      <c r="D43" s="269"/>
      <c r="E43" s="267">
        <f t="shared" si="32"/>
        <v>126133.33333333336</v>
      </c>
      <c r="F43" s="269"/>
      <c r="G43" s="269">
        <f t="shared" si="33"/>
        <v>138746.66666666672</v>
      </c>
      <c r="H43" s="269"/>
      <c r="I43" s="269">
        <f>I34*1.1</f>
        <v>378400.00000000006</v>
      </c>
      <c r="J43" s="682">
        <f>I43/I45</f>
        <v>0.40903597657339413</v>
      </c>
      <c r="K43" s="747">
        <f>ROUND(J43,4)</f>
        <v>0.40899999999999997</v>
      </c>
      <c r="L43" s="453">
        <f>PIOTR!I6</f>
        <v>0</v>
      </c>
      <c r="M43" s="684" t="e">
        <f>L43/L45</f>
        <v>#DIV/0!</v>
      </c>
      <c r="N43" s="457">
        <f>N45*K43</f>
        <v>12597.199999999999</v>
      </c>
      <c r="O43" s="457">
        <f>O45/3</f>
        <v>10266.666666666666</v>
      </c>
      <c r="P43" s="687">
        <v>7500</v>
      </c>
    </row>
    <row r="44" spans="1:17">
      <c r="A44" s="265" t="s">
        <v>166</v>
      </c>
      <c r="B44" s="266"/>
      <c r="C44" s="266">
        <f t="shared" si="31"/>
        <v>84480</v>
      </c>
      <c r="D44" s="269"/>
      <c r="E44" s="267">
        <f t="shared" si="32"/>
        <v>93866.666666666672</v>
      </c>
      <c r="F44" s="269"/>
      <c r="G44" s="269">
        <f t="shared" si="33"/>
        <v>103253.33333333334</v>
      </c>
      <c r="H44" s="269"/>
      <c r="I44" s="269">
        <f>I35*1.1</f>
        <v>281600</v>
      </c>
      <c r="J44" s="682">
        <f>I44/I45</f>
        <v>0.30439886628717699</v>
      </c>
      <c r="K44" s="747">
        <f>ROUND(J44,4)</f>
        <v>0.3044</v>
      </c>
      <c r="L44" s="453">
        <f>KRZYSZTOF!I6</f>
        <v>0</v>
      </c>
      <c r="M44" s="684" t="e">
        <f>L44/L45</f>
        <v>#DIV/0!</v>
      </c>
      <c r="N44" s="457">
        <f>N45*K44</f>
        <v>9375.52</v>
      </c>
      <c r="O44" s="457">
        <f>O45/3</f>
        <v>10266.666666666666</v>
      </c>
      <c r="P44" s="687">
        <v>6800</v>
      </c>
    </row>
    <row r="45" spans="1:17" ht="14.4">
      <c r="A45" s="263" t="s">
        <v>142</v>
      </c>
      <c r="B45" s="230"/>
      <c r="C45" s="230"/>
      <c r="D45" s="230"/>
      <c r="E45" s="230"/>
      <c r="F45" s="230"/>
      <c r="G45" s="230"/>
      <c r="H45" s="231"/>
      <c r="I45" s="231">
        <f>SUM(I40:I44)</f>
        <v>925102</v>
      </c>
      <c r="J45" s="683">
        <v>1</v>
      </c>
      <c r="K45" s="747">
        <f>ROUND(J45,4)</f>
        <v>1</v>
      </c>
      <c r="L45" s="455">
        <f>SUM(L40:L44)</f>
        <v>0</v>
      </c>
      <c r="M45" s="685">
        <v>1</v>
      </c>
      <c r="N45" s="457">
        <v>30800</v>
      </c>
      <c r="O45" s="457">
        <v>30800</v>
      </c>
      <c r="P45" s="689">
        <f>SUM(P40:P44)</f>
        <v>28900</v>
      </c>
    </row>
    <row r="46" spans="1:17" ht="14.4">
      <c r="I46" s="744">
        <v>927000</v>
      </c>
      <c r="J46" s="451"/>
      <c r="K46" s="746"/>
      <c r="L46" s="452"/>
      <c r="M46" s="452"/>
      <c r="N46" s="451"/>
      <c r="O46" s="451"/>
    </row>
    <row r="47" spans="1:17">
      <c r="J47" s="451"/>
      <c r="K47" s="746"/>
      <c r="L47" s="452"/>
      <c r="M47" s="452"/>
      <c r="N47" s="451"/>
      <c r="O47" s="451"/>
    </row>
    <row r="48" spans="1:17">
      <c r="A48" s="303"/>
      <c r="B48" s="827" t="s">
        <v>7</v>
      </c>
      <c r="C48" s="827"/>
      <c r="D48" s="827" t="s">
        <v>8</v>
      </c>
      <c r="E48" s="827"/>
      <c r="F48" s="827" t="s">
        <v>9</v>
      </c>
      <c r="G48" s="827"/>
      <c r="H48" s="827" t="s">
        <v>141</v>
      </c>
      <c r="I48" s="827"/>
      <c r="J48" s="451"/>
      <c r="K48" s="746"/>
      <c r="L48" s="452"/>
      <c r="M48" s="452"/>
      <c r="N48" s="451"/>
      <c r="O48" s="451"/>
    </row>
    <row r="49" spans="1:16">
      <c r="A49" s="303"/>
      <c r="B49" s="80" t="s">
        <v>114</v>
      </c>
      <c r="C49" s="80" t="s">
        <v>109</v>
      </c>
      <c r="D49" s="80" t="s">
        <v>114</v>
      </c>
      <c r="E49" s="80" t="s">
        <v>109</v>
      </c>
      <c r="F49" s="80" t="s">
        <v>114</v>
      </c>
      <c r="G49" s="80" t="s">
        <v>109</v>
      </c>
      <c r="H49" s="80" t="s">
        <v>114</v>
      </c>
      <c r="I49" s="80" t="s">
        <v>109</v>
      </c>
      <c r="J49" s="456" t="s">
        <v>207</v>
      </c>
      <c r="K49" s="746" t="s">
        <v>240</v>
      </c>
      <c r="L49" s="452" t="s">
        <v>182</v>
      </c>
      <c r="M49" s="452" t="s">
        <v>183</v>
      </c>
      <c r="N49" s="451" t="s">
        <v>205</v>
      </c>
      <c r="O49" s="451" t="s">
        <v>206</v>
      </c>
      <c r="P49" s="686" t="s">
        <v>181</v>
      </c>
    </row>
    <row r="50" spans="1:16">
      <c r="A50" s="265" t="s">
        <v>163</v>
      </c>
      <c r="B50" s="269"/>
      <c r="C50" s="266">
        <f>(I50/3)*0.9</f>
        <v>71465.7</v>
      </c>
      <c r="D50" s="269"/>
      <c r="E50" s="267">
        <f>I50/3</f>
        <v>79406.333333333328</v>
      </c>
      <c r="F50" s="269"/>
      <c r="G50" s="269">
        <f>I50/3*1.1</f>
        <v>87346.966666666674</v>
      </c>
      <c r="H50" s="269"/>
      <c r="I50" s="269">
        <f>I31*1.129</f>
        <v>238219</v>
      </c>
      <c r="J50" s="682">
        <f>I50/I55</f>
        <v>0.25697925667504856</v>
      </c>
      <c r="K50" s="747">
        <f>ROUND(J50,4)</f>
        <v>0.25700000000000001</v>
      </c>
      <c r="L50" s="453">
        <f>TOMEK!M6</f>
        <v>0</v>
      </c>
      <c r="M50" s="684" t="e">
        <f>L50/L55</f>
        <v>#DIV/0!</v>
      </c>
      <c r="N50" s="457">
        <f>N55*K50</f>
        <v>7196</v>
      </c>
      <c r="O50" s="457">
        <f>O55/4</f>
        <v>7000</v>
      </c>
      <c r="P50" s="687">
        <v>6800</v>
      </c>
    </row>
    <row r="51" spans="1:16">
      <c r="A51" s="265" t="s">
        <v>187</v>
      </c>
      <c r="B51" s="269"/>
      <c r="C51" s="266">
        <f>(I51/3)*0.9</f>
        <v>9900.6</v>
      </c>
      <c r="D51" s="269"/>
      <c r="E51" s="267">
        <f>I51/3</f>
        <v>11000.666666666666</v>
      </c>
      <c r="F51" s="269"/>
      <c r="G51" s="269">
        <f>I51/3*1.1</f>
        <v>12100.733333333334</v>
      </c>
      <c r="H51" s="269"/>
      <c r="I51" s="269">
        <f>I32*1.138</f>
        <v>33002</v>
      </c>
      <c r="J51" s="682">
        <f>I51/I55</f>
        <v>3.5600978212442971E-2</v>
      </c>
      <c r="K51" s="747">
        <f>ROUND(J51,4)</f>
        <v>3.56E-2</v>
      </c>
      <c r="L51" s="454">
        <f>RCKIK!M6</f>
        <v>0</v>
      </c>
      <c r="M51" s="684" t="e">
        <f>L51/L55</f>
        <v>#DIV/0!</v>
      </c>
      <c r="N51" s="457">
        <f>N55*K51</f>
        <v>996.8</v>
      </c>
      <c r="O51" s="457"/>
      <c r="P51" s="688">
        <v>1000</v>
      </c>
    </row>
    <row r="52" spans="1:16">
      <c r="A52" s="265"/>
      <c r="B52" s="266"/>
      <c r="C52" s="266">
        <f t="shared" ref="C52:C54" si="34">(I52/3)*0.9</f>
        <v>0</v>
      </c>
      <c r="D52" s="269"/>
      <c r="E52" s="267">
        <f t="shared" ref="E52:E54" si="35">I52/3</f>
        <v>0</v>
      </c>
      <c r="F52" s="269"/>
      <c r="G52" s="269">
        <f t="shared" ref="G52:G54" si="36">I52/3*1.1</f>
        <v>0</v>
      </c>
      <c r="H52" s="269"/>
      <c r="I52" s="269">
        <f>I33*1.14012</f>
        <v>0</v>
      </c>
      <c r="J52" s="682">
        <f>I52/I55</f>
        <v>0</v>
      </c>
      <c r="K52" s="746"/>
      <c r="L52" s="453">
        <f>BARTEK!M6</f>
        <v>0</v>
      </c>
      <c r="M52" s="684" t="e">
        <f>L52/L55</f>
        <v>#DIV/0!</v>
      </c>
      <c r="N52" s="457">
        <f>N55*K52</f>
        <v>0</v>
      </c>
      <c r="O52" s="457"/>
      <c r="P52" s="687">
        <v>6800</v>
      </c>
    </row>
    <row r="53" spans="1:16">
      <c r="A53" s="265" t="s">
        <v>165</v>
      </c>
      <c r="B53" s="266"/>
      <c r="C53" s="266">
        <f t="shared" si="34"/>
        <v>111868.8</v>
      </c>
      <c r="D53" s="269"/>
      <c r="E53" s="267">
        <f t="shared" si="35"/>
        <v>124298.66666666667</v>
      </c>
      <c r="F53" s="269"/>
      <c r="G53" s="269">
        <f t="shared" si="36"/>
        <v>136728.53333333335</v>
      </c>
      <c r="H53" s="269"/>
      <c r="I53" s="269">
        <f>I34*1.084</f>
        <v>372896</v>
      </c>
      <c r="J53" s="682">
        <f>I53/I55</f>
        <v>0.40226235899361057</v>
      </c>
      <c r="K53" s="747">
        <f>ROUND(J53,4)</f>
        <v>0.40229999999999999</v>
      </c>
      <c r="L53" s="453">
        <f>PIOTR!M6</f>
        <v>0</v>
      </c>
      <c r="M53" s="684" t="e">
        <f>L53/L55</f>
        <v>#DIV/0!</v>
      </c>
      <c r="N53" s="457">
        <f>N55*K53</f>
        <v>11264.4</v>
      </c>
      <c r="O53" s="457">
        <f>O55/4</f>
        <v>7000</v>
      </c>
      <c r="P53" s="687">
        <v>7500</v>
      </c>
    </row>
    <row r="54" spans="1:16">
      <c r="A54" s="265" t="s">
        <v>166</v>
      </c>
      <c r="B54" s="266"/>
      <c r="C54" s="266">
        <f t="shared" si="34"/>
        <v>84864</v>
      </c>
      <c r="D54" s="269"/>
      <c r="E54" s="267">
        <f t="shared" si="35"/>
        <v>94293.333333333328</v>
      </c>
      <c r="F54" s="269"/>
      <c r="G54" s="269">
        <f t="shared" si="36"/>
        <v>103722.66666666667</v>
      </c>
      <c r="H54" s="269"/>
      <c r="I54" s="269">
        <f>I35*1.105</f>
        <v>282880</v>
      </c>
      <c r="J54" s="682">
        <f>I54/I55</f>
        <v>0.30515740611889791</v>
      </c>
      <c r="K54" s="747">
        <f>ROUND(J54,4)</f>
        <v>0.30520000000000003</v>
      </c>
      <c r="L54" s="453">
        <f>KRZYSZTOF!M6</f>
        <v>0</v>
      </c>
      <c r="M54" s="684" t="e">
        <f>L54/L55</f>
        <v>#DIV/0!</v>
      </c>
      <c r="N54" s="457">
        <f>N55*K54</f>
        <v>8545.6</v>
      </c>
      <c r="O54" s="457">
        <f>O55/4</f>
        <v>7000</v>
      </c>
      <c r="P54" s="687">
        <v>6800</v>
      </c>
    </row>
    <row r="55" spans="1:16" ht="14.4">
      <c r="A55" s="303" t="s">
        <v>142</v>
      </c>
      <c r="B55" s="230"/>
      <c r="C55" s="230"/>
      <c r="D55" s="230"/>
      <c r="E55" s="230"/>
      <c r="F55" s="230"/>
      <c r="G55" s="230"/>
      <c r="H55" s="231"/>
      <c r="I55" s="231">
        <f>SUM(I50:I54)</f>
        <v>926997</v>
      </c>
      <c r="J55" s="683">
        <v>1</v>
      </c>
      <c r="K55" s="747">
        <f>ROUND(J55,4)</f>
        <v>1</v>
      </c>
      <c r="L55" s="455">
        <f>SUM(L50:L54)</f>
        <v>0</v>
      </c>
      <c r="M55" s="685">
        <v>1</v>
      </c>
      <c r="N55" s="457">
        <v>28000</v>
      </c>
      <c r="O55" s="457">
        <v>28000</v>
      </c>
      <c r="P55" s="689">
        <f>SUM(P50:P54)</f>
        <v>28900</v>
      </c>
    </row>
    <row r="56" spans="1:16" ht="14.4">
      <c r="I56" s="744">
        <v>927000</v>
      </c>
      <c r="J56" s="451"/>
      <c r="K56" s="746"/>
      <c r="L56" s="452"/>
      <c r="M56" s="452"/>
      <c r="N56" s="451"/>
      <c r="O56" s="451"/>
    </row>
    <row r="57" spans="1:16">
      <c r="A57" s="303"/>
      <c r="B57" s="823" t="s">
        <v>10</v>
      </c>
      <c r="C57" s="824"/>
      <c r="D57" s="823" t="s">
        <v>11</v>
      </c>
      <c r="E57" s="824"/>
      <c r="F57" s="823" t="s">
        <v>12</v>
      </c>
      <c r="G57" s="824"/>
      <c r="H57" s="823" t="s">
        <v>146</v>
      </c>
      <c r="I57" s="824"/>
      <c r="J57" s="451"/>
      <c r="K57" s="746"/>
      <c r="L57" s="452"/>
      <c r="M57" s="452"/>
      <c r="N57" s="451"/>
      <c r="O57" s="451"/>
    </row>
    <row r="58" spans="1:16">
      <c r="A58" s="303"/>
      <c r="B58" s="254" t="s">
        <v>114</v>
      </c>
      <c r="C58" s="254" t="s">
        <v>109</v>
      </c>
      <c r="D58" s="254" t="s">
        <v>114</v>
      </c>
      <c r="E58" s="254" t="s">
        <v>109</v>
      </c>
      <c r="F58" s="254" t="s">
        <v>114</v>
      </c>
      <c r="G58" s="254" t="s">
        <v>109</v>
      </c>
      <c r="H58" s="254" t="s">
        <v>114</v>
      </c>
      <c r="I58" s="254" t="s">
        <v>109</v>
      </c>
      <c r="J58" s="456" t="s">
        <v>207</v>
      </c>
      <c r="K58" s="746" t="s">
        <v>240</v>
      </c>
      <c r="L58" s="452" t="s">
        <v>182</v>
      </c>
      <c r="M58" s="452" t="s">
        <v>183</v>
      </c>
      <c r="N58" s="451" t="s">
        <v>205</v>
      </c>
      <c r="O58" s="451" t="s">
        <v>206</v>
      </c>
      <c r="P58" s="686" t="s">
        <v>181</v>
      </c>
    </row>
    <row r="59" spans="1:16">
      <c r="A59" s="265" t="s">
        <v>163</v>
      </c>
      <c r="B59" s="269"/>
      <c r="C59" s="266">
        <f>(I59/3)*0.9</f>
        <v>70839.459000000003</v>
      </c>
      <c r="D59" s="269"/>
      <c r="E59" s="267">
        <f>I59/3</f>
        <v>78710.509999999995</v>
      </c>
      <c r="F59" s="269"/>
      <c r="G59" s="269">
        <f>I59/3*1.1</f>
        <v>86581.561000000002</v>
      </c>
      <c r="H59" s="269"/>
      <c r="I59" s="269">
        <f>I64*J59</f>
        <v>236131.53</v>
      </c>
      <c r="J59" s="721">
        <v>0.255</v>
      </c>
      <c r="K59" s="747">
        <f>ROUND(J59,4)</f>
        <v>0.255</v>
      </c>
      <c r="L59" s="453">
        <f>TOMEK!Q6</f>
        <v>0</v>
      </c>
      <c r="M59" s="684" t="e">
        <f>L59/L64</f>
        <v>#DIV/0!</v>
      </c>
      <c r="N59" s="457">
        <f>N64*K59</f>
        <v>7140</v>
      </c>
      <c r="O59" s="457">
        <f>O64/4</f>
        <v>7000</v>
      </c>
      <c r="P59" s="687">
        <v>6800</v>
      </c>
    </row>
    <row r="60" spans="1:16">
      <c r="A60" s="265" t="s">
        <v>187</v>
      </c>
      <c r="B60" s="269"/>
      <c r="C60" s="266">
        <f>(I60/3)*0.9</f>
        <v>9723.0630000000001</v>
      </c>
      <c r="D60" s="269"/>
      <c r="E60" s="267">
        <f>I60/3</f>
        <v>10803.403333333334</v>
      </c>
      <c r="F60" s="269"/>
      <c r="G60" s="269">
        <f>I60/3*1.1</f>
        <v>11883.743666666667</v>
      </c>
      <c r="H60" s="269"/>
      <c r="I60" s="269">
        <f>I64*J60</f>
        <v>32410.210000000003</v>
      </c>
      <c r="J60" s="721">
        <v>3.5000000000000003E-2</v>
      </c>
      <c r="K60" s="747">
        <f>ROUND(J60,4)</f>
        <v>3.5000000000000003E-2</v>
      </c>
      <c r="L60" s="454">
        <f>RCKIK!Q6</f>
        <v>0</v>
      </c>
      <c r="M60" s="684" t="e">
        <f>L60/L64</f>
        <v>#DIV/0!</v>
      </c>
      <c r="N60" s="457">
        <f>N64*K60</f>
        <v>980.00000000000011</v>
      </c>
      <c r="O60" s="457"/>
      <c r="P60" s="688">
        <v>1000</v>
      </c>
    </row>
    <row r="61" spans="1:16">
      <c r="A61" s="265"/>
      <c r="B61" s="266"/>
      <c r="C61" s="266">
        <f t="shared" ref="C61:C63" si="37">(I61/3)*0.9</f>
        <v>0</v>
      </c>
      <c r="D61" s="269"/>
      <c r="E61" s="267">
        <f t="shared" ref="E61:E63" si="38">I61/3</f>
        <v>0</v>
      </c>
      <c r="F61" s="269"/>
      <c r="G61" s="269">
        <f t="shared" ref="G61:G63" si="39">I61/3*1.1</f>
        <v>0</v>
      </c>
      <c r="H61" s="269"/>
      <c r="I61" s="269">
        <f>I64*J61</f>
        <v>0</v>
      </c>
      <c r="J61" s="721">
        <v>0</v>
      </c>
      <c r="K61" s="746"/>
      <c r="L61" s="453">
        <f>BARTEK!Q6</f>
        <v>0</v>
      </c>
      <c r="M61" s="684" t="e">
        <f>L61/L64</f>
        <v>#DIV/0!</v>
      </c>
      <c r="N61" s="457">
        <f>N64*K61</f>
        <v>0</v>
      </c>
      <c r="O61" s="457">
        <f>O64/4</f>
        <v>7000</v>
      </c>
      <c r="P61" s="687">
        <v>6800</v>
      </c>
    </row>
    <row r="62" spans="1:16">
      <c r="A62" s="265" t="s">
        <v>165</v>
      </c>
      <c r="B62" s="266"/>
      <c r="C62" s="266">
        <f t="shared" si="37"/>
        <v>112509.72900000001</v>
      </c>
      <c r="D62" s="269"/>
      <c r="E62" s="267">
        <f t="shared" si="38"/>
        <v>125010.81000000001</v>
      </c>
      <c r="F62" s="269"/>
      <c r="G62" s="269">
        <f t="shared" si="39"/>
        <v>137511.89100000003</v>
      </c>
      <c r="H62" s="269"/>
      <c r="I62" s="269">
        <f>I64*J62</f>
        <v>375032.43000000005</v>
      </c>
      <c r="J62" s="721">
        <v>0.40500000000000003</v>
      </c>
      <c r="K62" s="747">
        <f>ROUND(J62,4)</f>
        <v>0.40500000000000003</v>
      </c>
      <c r="L62" s="453">
        <f>PIOTR!Q6</f>
        <v>0</v>
      </c>
      <c r="M62" s="684" t="e">
        <f>L62/L64</f>
        <v>#DIV/0!</v>
      </c>
      <c r="N62" s="457">
        <f>N64*K62</f>
        <v>11340</v>
      </c>
      <c r="O62" s="457">
        <f>O64/4</f>
        <v>7000</v>
      </c>
      <c r="P62" s="687">
        <v>7500</v>
      </c>
    </row>
    <row r="63" spans="1:16">
      <c r="A63" s="265" t="s">
        <v>166</v>
      </c>
      <c r="B63" s="266"/>
      <c r="C63" s="266">
        <f t="shared" si="37"/>
        <v>84729.549000000014</v>
      </c>
      <c r="D63" s="269"/>
      <c r="E63" s="267">
        <f t="shared" si="38"/>
        <v>94143.943333333344</v>
      </c>
      <c r="F63" s="269"/>
      <c r="G63" s="269">
        <f t="shared" si="39"/>
        <v>103558.33766666669</v>
      </c>
      <c r="H63" s="269"/>
      <c r="I63" s="269">
        <f>I64*J63</f>
        <v>282431.83</v>
      </c>
      <c r="J63" s="721">
        <v>0.30499999999999999</v>
      </c>
      <c r="K63" s="747">
        <f>ROUND(J63,4)</f>
        <v>0.30499999999999999</v>
      </c>
      <c r="L63" s="453">
        <f>KRZYSZTOF!Q6</f>
        <v>0</v>
      </c>
      <c r="M63" s="684" t="e">
        <f>L63/L64</f>
        <v>#DIV/0!</v>
      </c>
      <c r="N63" s="457">
        <f>N64*K63</f>
        <v>8540</v>
      </c>
      <c r="O63" s="457">
        <f>O64/4</f>
        <v>7000</v>
      </c>
      <c r="P63" s="687">
        <v>6800</v>
      </c>
    </row>
    <row r="64" spans="1:16" ht="14.4">
      <c r="A64" s="303" t="s">
        <v>142</v>
      </c>
      <c r="B64" s="230"/>
      <c r="C64" s="230"/>
      <c r="D64" s="230"/>
      <c r="E64" s="230"/>
      <c r="F64" s="230"/>
      <c r="G64" s="230"/>
      <c r="H64" s="231"/>
      <c r="I64" s="231">
        <v>926006</v>
      </c>
      <c r="J64" s="722">
        <v>1</v>
      </c>
      <c r="K64" s="747">
        <f>ROUND(J64,4)</f>
        <v>1</v>
      </c>
      <c r="L64" s="455">
        <f>SUM(L59:L63)</f>
        <v>0</v>
      </c>
      <c r="M64" s="685">
        <v>1</v>
      </c>
      <c r="N64" s="457">
        <v>28000</v>
      </c>
      <c r="O64" s="457">
        <v>28000</v>
      </c>
      <c r="P64" s="689">
        <f>SUM(P59:P63)</f>
        <v>28900</v>
      </c>
    </row>
    <row r="65" spans="2:13">
      <c r="B65" s="167"/>
      <c r="C65" s="167"/>
      <c r="D65" s="167"/>
      <c r="E65" s="167"/>
      <c r="F65" s="167"/>
      <c r="G65" s="167"/>
      <c r="H65" s="167"/>
      <c r="I65" s="167">
        <f>SUM(I59:I63)</f>
        <v>926006</v>
      </c>
    </row>
    <row r="66" spans="2:13">
      <c r="I66" s="141"/>
      <c r="M66" s="486"/>
    </row>
    <row r="67" spans="2:13">
      <c r="M67" s="486"/>
    </row>
  </sheetData>
  <mergeCells count="34">
    <mergeCell ref="T12:U12"/>
    <mergeCell ref="V12:W12"/>
    <mergeCell ref="X12:Y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25" right="0.25" top="0.75" bottom="0.75" header="0.3" footer="0.3"/>
  <pageSetup paperSize="9" orientation="landscape" verticalDpi="3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6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37" t="s">
        <v>230</v>
      </c>
      <c r="B1" s="137" t="s">
        <v>231</v>
      </c>
      <c r="C1" s="137" t="s">
        <v>232</v>
      </c>
      <c r="D1" s="137" t="s">
        <v>233</v>
      </c>
      <c r="E1" s="137" t="s">
        <v>234</v>
      </c>
      <c r="F1" s="137" t="s">
        <v>235</v>
      </c>
      <c r="G1" s="137" t="s">
        <v>236</v>
      </c>
      <c r="H1" s="137" t="s">
        <v>237</v>
      </c>
      <c r="I1" s="137" t="s">
        <v>238</v>
      </c>
      <c r="J1" s="137" t="s">
        <v>109</v>
      </c>
    </row>
    <row r="2" spans="1:10">
      <c r="A2" s="137" t="s">
        <v>187</v>
      </c>
      <c r="B2" s="137"/>
      <c r="C2" s="137"/>
      <c r="D2" s="167">
        <v>1259.94</v>
      </c>
      <c r="E2" s="167"/>
      <c r="F2" s="167">
        <v>61485.859400000001</v>
      </c>
      <c r="G2" s="167">
        <v>49988.5</v>
      </c>
      <c r="H2" s="167">
        <v>37349.621599999999</v>
      </c>
      <c r="I2" s="628">
        <v>12638.877899999999</v>
      </c>
      <c r="J2" s="167">
        <v>25.2835</v>
      </c>
    </row>
    <row r="3" spans="1:10">
      <c r="A3" s="137" t="s">
        <v>76</v>
      </c>
      <c r="B3" s="137"/>
      <c r="C3" s="137"/>
      <c r="D3" s="167">
        <v>6654.0540000000001</v>
      </c>
      <c r="E3" s="167"/>
      <c r="F3" s="167">
        <v>175086.89060000001</v>
      </c>
      <c r="G3" s="167">
        <v>142347.04689999999</v>
      </c>
      <c r="H3" s="167">
        <v>80085.543300000005</v>
      </c>
      <c r="I3" s="628">
        <v>62261.507799999999</v>
      </c>
      <c r="J3" s="167">
        <v>43.739199999999997</v>
      </c>
    </row>
    <row r="4" spans="1:10">
      <c r="A4" s="137" t="s">
        <v>25</v>
      </c>
      <c r="B4" s="137"/>
      <c r="C4" s="137"/>
      <c r="D4" s="167">
        <v>3654.3139999999999</v>
      </c>
      <c r="E4" s="167"/>
      <c r="F4" s="167">
        <v>265976.875</v>
      </c>
      <c r="G4" s="167">
        <v>216241.26560000001</v>
      </c>
      <c r="H4" s="167">
        <v>120433.258</v>
      </c>
      <c r="I4" s="628">
        <v>95808.015599999999</v>
      </c>
      <c r="J4" s="167">
        <v>44.305999999999997</v>
      </c>
    </row>
    <row r="5" spans="1:10">
      <c r="A5" s="137" t="s">
        <v>24</v>
      </c>
      <c r="B5" s="137"/>
      <c r="C5" s="137"/>
      <c r="D5" s="167">
        <v>10763.597</v>
      </c>
      <c r="E5" s="167"/>
      <c r="F5" s="167">
        <v>488575.875</v>
      </c>
      <c r="G5" s="167">
        <v>397215.96879999997</v>
      </c>
      <c r="H5" s="167">
        <v>253775.7801</v>
      </c>
      <c r="I5" s="628">
        <v>143440.1875</v>
      </c>
      <c r="J5" s="167">
        <v>36.1113</v>
      </c>
    </row>
    <row r="6" spans="1:10">
      <c r="A6" s="137" t="s">
        <v>239</v>
      </c>
      <c r="B6" s="137"/>
      <c r="C6" s="137"/>
      <c r="D6" s="167">
        <v>22331.904999999999</v>
      </c>
      <c r="E6" s="167"/>
      <c r="F6" s="167">
        <v>991125.5</v>
      </c>
      <c r="G6" s="167">
        <v>805792.75</v>
      </c>
      <c r="H6" s="167">
        <v>491644.20299999998</v>
      </c>
      <c r="I6" s="628">
        <v>314148.5625</v>
      </c>
      <c r="J6" s="167">
        <v>38.986199999999997</v>
      </c>
    </row>
    <row r="7" spans="1:10">
      <c r="A7" s="137"/>
      <c r="B7" s="137"/>
      <c r="C7" s="137"/>
      <c r="D7" s="167"/>
      <c r="E7" s="167"/>
      <c r="F7" s="167"/>
      <c r="G7" s="167"/>
      <c r="H7" s="167"/>
      <c r="I7" s="628"/>
      <c r="J7" s="167"/>
    </row>
    <row r="8" spans="1:10">
      <c r="A8" s="137"/>
      <c r="B8" s="137"/>
      <c r="C8" s="137"/>
      <c r="D8" s="167"/>
      <c r="E8" s="167"/>
      <c r="F8" s="167"/>
      <c r="G8" s="167"/>
      <c r="H8" s="167"/>
      <c r="I8" s="167"/>
      <c r="J8" s="167"/>
    </row>
    <row r="9" spans="1:10">
      <c r="A9" s="137"/>
      <c r="B9" s="137"/>
      <c r="C9" s="137"/>
      <c r="D9" s="137"/>
      <c r="E9" s="137"/>
      <c r="F9" s="137"/>
      <c r="G9" s="137"/>
      <c r="H9" s="137"/>
      <c r="I9" s="294"/>
      <c r="J9" s="137"/>
    </row>
    <row r="10" spans="1:10" ht="14.4">
      <c r="A10" s="363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>
      <c r="A11" s="137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07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0">
      <c r="A13" s="137"/>
      <c r="B13" s="137"/>
      <c r="C13" s="137"/>
      <c r="D13" s="137"/>
      <c r="E13" s="137"/>
      <c r="F13" s="137"/>
      <c r="G13" s="137"/>
      <c r="H13" s="137"/>
      <c r="I13" s="137"/>
      <c r="J13" s="137"/>
    </row>
    <row r="15" spans="1:10" ht="14.4">
      <c r="A15" s="233"/>
      <c r="B15" s="301"/>
      <c r="C15" s="233"/>
    </row>
    <row r="16" spans="1:10" ht="14.4">
      <c r="A16" s="233"/>
      <c r="B16" s="233"/>
      <c r="C16" s="299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6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s="137" t="s">
        <v>230</v>
      </c>
      <c r="B1" s="137" t="s">
        <v>231</v>
      </c>
      <c r="C1" s="137" t="s">
        <v>232</v>
      </c>
      <c r="D1" s="137" t="s">
        <v>233</v>
      </c>
      <c r="E1" s="137" t="s">
        <v>234</v>
      </c>
      <c r="F1" s="137" t="s">
        <v>235</v>
      </c>
      <c r="G1" s="137" t="s">
        <v>236</v>
      </c>
      <c r="H1" s="137" t="s">
        <v>237</v>
      </c>
      <c r="I1" s="137" t="s">
        <v>238</v>
      </c>
      <c r="J1" s="137" t="s">
        <v>109</v>
      </c>
    </row>
    <row r="2" spans="1:10">
      <c r="A2" s="137" t="s">
        <v>187</v>
      </c>
      <c r="B2" s="137"/>
      <c r="C2" s="137"/>
      <c r="D2" s="626">
        <v>695.19500000000005</v>
      </c>
      <c r="E2" s="626"/>
      <c r="F2" s="626">
        <v>50099.609400000001</v>
      </c>
      <c r="G2" s="627">
        <v>40731.378900000003</v>
      </c>
      <c r="H2" s="626">
        <v>33460.448199999999</v>
      </c>
      <c r="I2" s="627">
        <v>7270.9315999999999</v>
      </c>
      <c r="J2" s="268">
        <v>17.850899999999999</v>
      </c>
    </row>
    <row r="3" spans="1:10">
      <c r="A3" s="137" t="s">
        <v>76</v>
      </c>
      <c r="B3" s="137"/>
      <c r="C3" s="137"/>
      <c r="D3" s="626">
        <v>3582.5239999999999</v>
      </c>
      <c r="E3" s="626"/>
      <c r="F3" s="626">
        <v>141557.48439999999</v>
      </c>
      <c r="G3" s="627">
        <v>115087.4063</v>
      </c>
      <c r="H3" s="626">
        <v>68545.423200000005</v>
      </c>
      <c r="I3" s="627">
        <v>46541.988299999997</v>
      </c>
      <c r="J3" s="268">
        <v>40.4405</v>
      </c>
    </row>
    <row r="4" spans="1:10">
      <c r="A4" s="137" t="s">
        <v>25</v>
      </c>
      <c r="B4" s="137"/>
      <c r="C4" s="137"/>
      <c r="D4" s="626">
        <v>4392</v>
      </c>
      <c r="E4" s="626"/>
      <c r="F4" s="626">
        <v>232459.4375</v>
      </c>
      <c r="G4" s="627">
        <v>188991.48439999999</v>
      </c>
      <c r="H4" s="626">
        <v>112555.379</v>
      </c>
      <c r="I4" s="627">
        <v>76436.101599999995</v>
      </c>
      <c r="J4" s="268">
        <v>40.444200000000002</v>
      </c>
    </row>
    <row r="5" spans="1:10">
      <c r="A5" s="137" t="s">
        <v>24</v>
      </c>
      <c r="B5" s="137"/>
      <c r="C5" s="137"/>
      <c r="D5" s="626">
        <v>11149.798000000001</v>
      </c>
      <c r="E5" s="626"/>
      <c r="F5" s="626">
        <v>454935.96879999997</v>
      </c>
      <c r="G5" s="627">
        <v>370181.71879999997</v>
      </c>
      <c r="H5" s="626">
        <v>242107.18150000001</v>
      </c>
      <c r="I5" s="627">
        <v>128074.53909999999</v>
      </c>
      <c r="J5" s="268">
        <v>34.597700000000003</v>
      </c>
    </row>
    <row r="6" spans="1:10">
      <c r="A6" s="137" t="s">
        <v>239</v>
      </c>
      <c r="B6" s="137"/>
      <c r="C6" s="137"/>
      <c r="D6" s="626">
        <v>19819.517</v>
      </c>
      <c r="E6" s="626"/>
      <c r="F6" s="626">
        <v>879052.5</v>
      </c>
      <c r="G6" s="627">
        <v>714992</v>
      </c>
      <c r="H6" s="626">
        <v>456668.43190000003</v>
      </c>
      <c r="I6" s="627">
        <v>258323.5625</v>
      </c>
      <c r="J6" s="268">
        <v>36.1295</v>
      </c>
    </row>
    <row r="7" spans="1:10">
      <c r="A7" s="137"/>
      <c r="B7" s="137"/>
      <c r="C7" s="137"/>
      <c r="D7" s="626"/>
      <c r="E7" s="626"/>
      <c r="F7" s="626"/>
      <c r="G7" s="627"/>
      <c r="H7" s="626"/>
      <c r="I7" s="627"/>
      <c r="J7" s="268"/>
    </row>
    <row r="8" spans="1:10">
      <c r="A8" s="137"/>
      <c r="B8" s="137"/>
      <c r="C8" s="137"/>
      <c r="D8" s="626"/>
      <c r="E8" s="626"/>
      <c r="F8" s="626"/>
      <c r="G8" s="627"/>
      <c r="H8" s="626"/>
      <c r="I8" s="627"/>
      <c r="J8" s="268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 ht="14.4">
      <c r="A10" s="363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 ht="14.4">
      <c r="A11" s="363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63"/>
      <c r="B12" s="307"/>
      <c r="C12" s="307"/>
      <c r="D12" s="137"/>
      <c r="E12" s="137"/>
      <c r="F12" s="137"/>
      <c r="G12" s="137"/>
      <c r="H12" s="137"/>
      <c r="I12" s="137"/>
      <c r="J12" s="137"/>
    </row>
    <row r="13" spans="1:10" ht="14.4">
      <c r="A13" s="363"/>
      <c r="B13" s="137"/>
      <c r="C13" s="137"/>
      <c r="D13" s="137"/>
      <c r="E13" s="137"/>
      <c r="F13" s="137"/>
      <c r="G13" s="137"/>
      <c r="H13" s="137"/>
      <c r="I13" s="137"/>
      <c r="J13" s="137"/>
    </row>
    <row r="14" spans="1:10" ht="14.4">
      <c r="E14" s="285"/>
    </row>
    <row r="17" spans="1:3">
      <c r="A17" s="233"/>
      <c r="B17" s="233"/>
      <c r="C17" s="233"/>
    </row>
    <row r="18" spans="1:3" ht="14.4">
      <c r="A18" s="363"/>
      <c r="B18" s="233"/>
      <c r="C18" s="233"/>
    </row>
    <row r="19" spans="1:3" ht="14.4">
      <c r="A19" s="307"/>
      <c r="B19" s="233"/>
      <c r="C19" s="233"/>
    </row>
    <row r="20" spans="1:3" ht="14.4">
      <c r="A20" s="363"/>
      <c r="B20" s="305"/>
      <c r="C20" s="233"/>
    </row>
    <row r="21" spans="1:3" ht="14.4">
      <c r="A21" s="363"/>
      <c r="B21" s="233"/>
      <c r="C21" s="233"/>
    </row>
    <row r="22" spans="1:3" ht="14.4">
      <c r="A22" s="363"/>
      <c r="B22" s="233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6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137" t="s">
        <v>230</v>
      </c>
      <c r="B1" s="137" t="s">
        <v>231</v>
      </c>
      <c r="C1" s="137" t="s">
        <v>232</v>
      </c>
      <c r="D1" s="167" t="s">
        <v>233</v>
      </c>
      <c r="E1" s="167" t="s">
        <v>234</v>
      </c>
      <c r="F1" s="167" t="s">
        <v>235</v>
      </c>
      <c r="G1" s="628" t="s">
        <v>236</v>
      </c>
      <c r="H1" s="167" t="s">
        <v>237</v>
      </c>
      <c r="I1" s="628" t="s">
        <v>238</v>
      </c>
      <c r="J1" s="137" t="s">
        <v>109</v>
      </c>
    </row>
    <row r="2" spans="1:10">
      <c r="A2" s="137" t="s">
        <v>187</v>
      </c>
      <c r="B2" s="137"/>
      <c r="C2" s="137"/>
      <c r="D2" s="167">
        <v>283</v>
      </c>
      <c r="E2" s="167"/>
      <c r="F2" s="167">
        <v>31490.980500000001</v>
      </c>
      <c r="G2" s="628">
        <v>25602.419900000001</v>
      </c>
      <c r="H2" s="167">
        <v>21102.634999999998</v>
      </c>
      <c r="I2" s="628">
        <v>4499.7852000000003</v>
      </c>
      <c r="J2" s="137">
        <v>17.575600000000001</v>
      </c>
    </row>
    <row r="3" spans="1:10">
      <c r="A3" s="137" t="s">
        <v>25</v>
      </c>
      <c r="B3" s="137"/>
      <c r="C3" s="137"/>
      <c r="D3" s="167">
        <v>2119.1</v>
      </c>
      <c r="E3" s="167"/>
      <c r="F3" s="167">
        <v>80823.890599999999</v>
      </c>
      <c r="G3" s="628">
        <v>65710.468800000002</v>
      </c>
      <c r="H3" s="167">
        <v>35273.465499999998</v>
      </c>
      <c r="I3" s="628">
        <v>30437.0039</v>
      </c>
      <c r="J3" s="137">
        <v>46.319800000000001</v>
      </c>
    </row>
    <row r="4" spans="1:10">
      <c r="A4" s="137" t="s">
        <v>76</v>
      </c>
      <c r="B4" s="137"/>
      <c r="C4" s="137"/>
      <c r="D4" s="167">
        <v>1631.03</v>
      </c>
      <c r="E4" s="167"/>
      <c r="F4" s="167">
        <v>108381.4219</v>
      </c>
      <c r="G4" s="628">
        <v>88114.976599999995</v>
      </c>
      <c r="H4" s="167">
        <v>53809.363899999997</v>
      </c>
      <c r="I4" s="628">
        <v>34305.617200000001</v>
      </c>
      <c r="J4" s="137">
        <v>38.932699999999997</v>
      </c>
    </row>
    <row r="5" spans="1:10">
      <c r="A5" s="137" t="s">
        <v>24</v>
      </c>
      <c r="B5" s="137"/>
      <c r="C5" s="137"/>
      <c r="D5" s="167">
        <v>2288.08</v>
      </c>
      <c r="E5" s="167"/>
      <c r="F5" s="167">
        <v>130391.25</v>
      </c>
      <c r="G5" s="628">
        <v>106009.0313</v>
      </c>
      <c r="H5" s="167">
        <v>67988.105299999996</v>
      </c>
      <c r="I5" s="628">
        <v>38020.925799999997</v>
      </c>
      <c r="J5" s="137">
        <v>35.865699999999997</v>
      </c>
    </row>
    <row r="6" spans="1:10">
      <c r="A6" s="137" t="s">
        <v>239</v>
      </c>
      <c r="B6" s="137"/>
      <c r="C6" s="137"/>
      <c r="D6" s="167">
        <v>6321.21</v>
      </c>
      <c r="E6" s="167"/>
      <c r="F6" s="167">
        <v>351087.53129999997</v>
      </c>
      <c r="G6" s="628">
        <v>285436.90629999997</v>
      </c>
      <c r="H6" s="167">
        <v>178173.56969999999</v>
      </c>
      <c r="I6" s="628">
        <v>107263.3281</v>
      </c>
      <c r="J6" s="137">
        <v>37.578600000000002</v>
      </c>
    </row>
    <row r="8" spans="1:10">
      <c r="A8" s="137"/>
      <c r="B8" s="137"/>
      <c r="C8" s="137"/>
      <c r="D8" s="137"/>
      <c r="E8" s="137"/>
      <c r="F8" s="137"/>
      <c r="G8" s="137"/>
      <c r="H8" s="137"/>
      <c r="I8" s="233"/>
      <c r="J8" s="137"/>
    </row>
    <row r="9" spans="1:10">
      <c r="I9" s="290"/>
    </row>
    <row r="10" spans="1:10" ht="14.4">
      <c r="A10" s="363"/>
      <c r="C10" s="662"/>
      <c r="I10" s="290"/>
    </row>
    <row r="11" spans="1:10" ht="14.4">
      <c r="A11" s="307"/>
      <c r="C11" s="662"/>
    </row>
    <row r="12" spans="1:10" ht="14.4">
      <c r="A12" s="363"/>
      <c r="C12" s="500"/>
    </row>
    <row r="13" spans="1:10" ht="14.4">
      <c r="A13" s="363"/>
    </row>
    <row r="14" spans="1:10" ht="14.4">
      <c r="A14" s="363"/>
      <c r="B14" s="233"/>
      <c r="C14" s="299"/>
    </row>
    <row r="15" spans="1:10" ht="14.4">
      <c r="A15" s="299"/>
      <c r="B15" s="233"/>
      <c r="C15" s="233"/>
    </row>
    <row r="17" spans="1:3">
      <c r="A17" s="233"/>
      <c r="B17" s="233"/>
      <c r="C17" s="233"/>
    </row>
    <row r="18" spans="1:3" ht="14.4">
      <c r="A18" s="233"/>
      <c r="B18" s="299"/>
      <c r="C18" s="233"/>
    </row>
    <row r="19" spans="1:3" ht="14.4">
      <c r="A19" s="307"/>
      <c r="B19" s="307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37"/>
      <c r="E2" s="137"/>
      <c r="F2" s="626"/>
      <c r="G2" s="626"/>
      <c r="H2" s="626"/>
      <c r="I2" s="627"/>
      <c r="J2" s="137"/>
    </row>
    <row r="3" spans="1:10">
      <c r="A3" s="137"/>
      <c r="B3" s="137"/>
      <c r="C3" s="137"/>
      <c r="D3" s="137"/>
      <c r="E3" s="137"/>
      <c r="F3" s="626"/>
      <c r="G3" s="626"/>
      <c r="H3" s="626"/>
      <c r="I3" s="627"/>
      <c r="J3" s="137"/>
    </row>
    <row r="4" spans="1:10">
      <c r="A4" s="137"/>
      <c r="B4" s="137"/>
      <c r="C4" s="137"/>
      <c r="D4" s="137"/>
      <c r="E4" s="137"/>
      <c r="F4" s="626"/>
      <c r="G4" s="626"/>
      <c r="H4" s="626"/>
      <c r="I4" s="627"/>
      <c r="J4" s="137"/>
    </row>
    <row r="5" spans="1:10">
      <c r="A5" s="137"/>
      <c r="B5" s="137"/>
      <c r="C5" s="137"/>
      <c r="D5" s="137"/>
      <c r="E5" s="137"/>
      <c r="F5" s="626"/>
      <c r="G5" s="626"/>
      <c r="H5" s="626"/>
      <c r="I5" s="627"/>
      <c r="J5" s="137"/>
    </row>
    <row r="6" spans="1:10">
      <c r="A6" s="137"/>
      <c r="B6" s="137"/>
      <c r="C6" s="137"/>
      <c r="D6" s="137"/>
      <c r="E6" s="137"/>
      <c r="F6" s="626"/>
      <c r="G6" s="626"/>
      <c r="H6" s="626"/>
      <c r="I6" s="627"/>
      <c r="J6" s="137"/>
    </row>
    <row r="7" spans="1:10">
      <c r="A7" s="137"/>
      <c r="B7" s="137"/>
      <c r="C7" s="137"/>
      <c r="D7" s="137"/>
      <c r="E7" s="137"/>
      <c r="F7" s="626"/>
      <c r="G7" s="626"/>
      <c r="H7" s="626"/>
      <c r="I7" s="627"/>
      <c r="J7" s="137"/>
    </row>
    <row r="14" spans="1:10" ht="14.4">
      <c r="A14" s="233"/>
      <c r="B14" s="301"/>
      <c r="C14" s="301"/>
    </row>
    <row r="15" spans="1:10" ht="14.4">
      <c r="A15" s="363"/>
    </row>
    <row r="16" spans="1:10" ht="14.4">
      <c r="A16" s="363"/>
    </row>
    <row r="17" spans="1:1" ht="14.4">
      <c r="A17" s="363"/>
    </row>
    <row r="18" spans="1:1" ht="14.4">
      <c r="A18" s="363"/>
    </row>
    <row r="19" spans="1:1" ht="14.4">
      <c r="A19" s="363"/>
    </row>
    <row r="20" spans="1:1" ht="14.4">
      <c r="A20" s="363"/>
    </row>
    <row r="21" spans="1:1" ht="14.4">
      <c r="A21" s="363"/>
    </row>
    <row r="22" spans="1:1" ht="14.4">
      <c r="A22" s="363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7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>
      <c r="A2" s="137"/>
      <c r="B2" s="137"/>
      <c r="C2" s="137"/>
      <c r="D2" s="137"/>
      <c r="E2" s="137"/>
      <c r="F2" s="167"/>
      <c r="G2" s="167"/>
      <c r="H2" s="167"/>
      <c r="I2" s="628"/>
      <c r="J2" s="137"/>
      <c r="K2" s="137"/>
    </row>
    <row r="3" spans="1:11">
      <c r="A3" s="137"/>
      <c r="B3" s="137"/>
      <c r="C3" s="137"/>
      <c r="D3" s="137"/>
      <c r="E3" s="137"/>
      <c r="F3" s="167"/>
      <c r="G3" s="167"/>
      <c r="H3" s="167"/>
      <c r="I3" s="628"/>
      <c r="J3" s="137"/>
      <c r="K3" s="137"/>
    </row>
    <row r="4" spans="1:11">
      <c r="A4" s="137"/>
      <c r="B4" s="137"/>
      <c r="C4" s="137"/>
      <c r="D4" s="137"/>
      <c r="E4" s="137"/>
      <c r="F4" s="167"/>
      <c r="G4" s="167"/>
      <c r="H4" s="167"/>
      <c r="I4" s="628"/>
      <c r="J4" s="137"/>
      <c r="K4" s="137"/>
    </row>
    <row r="5" spans="1:11">
      <c r="A5" s="137"/>
      <c r="B5" s="137"/>
      <c r="C5" s="137"/>
      <c r="D5" s="137"/>
      <c r="E5" s="137"/>
      <c r="F5" s="167"/>
      <c r="G5" s="167"/>
      <c r="H5" s="167"/>
      <c r="I5" s="628"/>
      <c r="J5" s="137"/>
      <c r="K5" s="137"/>
    </row>
    <row r="6" spans="1:11">
      <c r="A6" s="137"/>
      <c r="B6" s="137"/>
      <c r="C6" s="137"/>
      <c r="D6" s="137"/>
      <c r="E6" s="137"/>
      <c r="F6" s="167"/>
      <c r="G6" s="167"/>
      <c r="H6" s="167"/>
      <c r="I6" s="628"/>
      <c r="J6" s="137"/>
      <c r="K6" s="137"/>
    </row>
    <row r="7" spans="1:11">
      <c r="A7" s="137"/>
      <c r="B7" s="137"/>
      <c r="C7" s="137"/>
      <c r="D7" s="137"/>
      <c r="E7" s="137"/>
      <c r="F7" s="167"/>
      <c r="G7" s="167"/>
      <c r="H7" s="167"/>
      <c r="I7" s="628"/>
      <c r="J7" s="137"/>
    </row>
    <row r="8" spans="1:11">
      <c r="F8" s="663"/>
      <c r="G8" s="663"/>
      <c r="H8" s="663"/>
      <c r="I8" s="664"/>
    </row>
    <row r="10" spans="1:11">
      <c r="A10" s="137"/>
    </row>
    <row r="11" spans="1:11">
      <c r="A11" s="137"/>
    </row>
    <row r="12" spans="1:11" ht="14.4">
      <c r="A12" s="363"/>
    </row>
    <row r="13" spans="1:11" ht="14.4">
      <c r="A13" s="363"/>
      <c r="B13" s="665"/>
      <c r="C13" s="500"/>
    </row>
    <row r="14" spans="1:11" ht="14.4">
      <c r="A14" s="307"/>
      <c r="C14" s="500"/>
    </row>
    <row r="15" spans="1:11" ht="14.4">
      <c r="A15" s="363"/>
      <c r="D15" s="23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7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37"/>
      <c r="E2" s="137"/>
      <c r="F2" s="626"/>
      <c r="G2" s="626"/>
      <c r="H2" s="626"/>
      <c r="I2" s="627"/>
      <c r="J2" s="137"/>
    </row>
    <row r="3" spans="1:10">
      <c r="A3" s="137"/>
      <c r="B3" s="137"/>
      <c r="C3" s="137"/>
      <c r="D3" s="137"/>
      <c r="E3" s="137"/>
      <c r="F3" s="626"/>
      <c r="G3" s="626"/>
      <c r="H3" s="626"/>
      <c r="I3" s="627"/>
      <c r="J3" s="137"/>
    </row>
    <row r="4" spans="1:10">
      <c r="A4" s="137"/>
      <c r="B4" s="137"/>
      <c r="C4" s="137"/>
      <c r="D4" s="137"/>
      <c r="E4" s="137"/>
      <c r="F4" s="626"/>
      <c r="G4" s="626"/>
      <c r="H4" s="626"/>
      <c r="I4" s="627"/>
      <c r="J4" s="137"/>
    </row>
    <row r="5" spans="1:10">
      <c r="A5" s="137"/>
      <c r="B5" s="137"/>
      <c r="C5" s="137"/>
      <c r="D5" s="137"/>
      <c r="E5" s="137"/>
      <c r="F5" s="626"/>
      <c r="G5" s="626"/>
      <c r="H5" s="626"/>
      <c r="I5" s="627"/>
      <c r="J5" s="137"/>
    </row>
    <row r="6" spans="1:10">
      <c r="A6" s="137"/>
      <c r="B6" s="137"/>
      <c r="C6" s="137"/>
      <c r="D6" s="137"/>
      <c r="E6" s="137"/>
      <c r="F6" s="626"/>
      <c r="G6" s="626"/>
      <c r="H6" s="626"/>
      <c r="I6" s="627"/>
      <c r="J6" s="137"/>
    </row>
    <row r="7" spans="1:10">
      <c r="A7" s="137"/>
      <c r="B7" s="137"/>
      <c r="C7" s="137"/>
      <c r="D7" s="137"/>
      <c r="E7" s="137"/>
      <c r="F7" s="626"/>
      <c r="G7" s="626"/>
      <c r="H7" s="626"/>
      <c r="I7" s="627"/>
      <c r="J7" s="137"/>
    </row>
    <row r="8" spans="1:10">
      <c r="A8" s="137"/>
      <c r="B8" s="137"/>
      <c r="C8" s="137"/>
      <c r="D8" s="137"/>
      <c r="E8" s="137"/>
      <c r="F8" s="137"/>
      <c r="G8" s="137"/>
      <c r="H8" s="137"/>
      <c r="I8" s="268"/>
      <c r="J8" s="137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 ht="14.4">
      <c r="A10" s="363"/>
    </row>
    <row r="11" spans="1:10" ht="14.4">
      <c r="A11" s="363"/>
      <c r="B11" s="500"/>
    </row>
    <row r="12" spans="1:10" ht="14.4">
      <c r="A12" s="363"/>
    </row>
    <row r="13" spans="1:10" ht="14.4">
      <c r="A13" s="363"/>
    </row>
    <row r="14" spans="1:10" ht="14.4">
      <c r="A14" s="363"/>
    </row>
    <row r="15" spans="1:10" ht="14.4">
      <c r="A15" s="363"/>
    </row>
    <row r="16" spans="1:10" ht="14.4">
      <c r="A16" s="363"/>
    </row>
    <row r="17" spans="1:2" ht="14.4">
      <c r="A17" s="363"/>
      <c r="B17" s="233"/>
    </row>
    <row r="18" spans="1:2" ht="14.4">
      <c r="A18" s="363"/>
    </row>
    <row r="19" spans="1:2" ht="14.4">
      <c r="A19" s="363"/>
    </row>
    <row r="20" spans="1:2" ht="14.4">
      <c r="A20" s="363"/>
    </row>
    <row r="21" spans="1:2" ht="14.4">
      <c r="A21" s="363"/>
    </row>
  </sheetData>
  <pageMargins left="0.7" right="0.7" top="0.75" bottom="0.75" header="0.3" footer="0.3"/>
  <pageSetup paperSize="9" orientation="portrait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1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>
      <c r="A2" s="167"/>
      <c r="B2" s="167"/>
      <c r="C2" s="167"/>
      <c r="D2" s="167"/>
      <c r="E2" s="167"/>
      <c r="F2" s="167"/>
      <c r="G2" s="167"/>
      <c r="H2" s="167"/>
      <c r="I2" s="628"/>
      <c r="J2" s="137"/>
      <c r="K2" s="137"/>
    </row>
    <row r="3" spans="1:11">
      <c r="A3" s="167"/>
      <c r="B3" s="167"/>
      <c r="C3" s="167"/>
      <c r="D3" s="167"/>
      <c r="E3" s="167"/>
      <c r="F3" s="167"/>
      <c r="G3" s="167"/>
      <c r="H3" s="167"/>
      <c r="I3" s="628"/>
      <c r="J3" s="137"/>
      <c r="K3" s="137"/>
    </row>
    <row r="4" spans="1:11">
      <c r="A4" s="167"/>
      <c r="B4" s="167"/>
      <c r="C4" s="167"/>
      <c r="D4" s="167"/>
      <c r="E4" s="167"/>
      <c r="F4" s="167"/>
      <c r="G4" s="167"/>
      <c r="H4" s="167"/>
      <c r="I4" s="628"/>
      <c r="J4" s="137"/>
      <c r="K4" s="137"/>
    </row>
    <row r="5" spans="1:11">
      <c r="A5" s="167"/>
      <c r="B5" s="167"/>
      <c r="C5" s="167"/>
      <c r="D5" s="167"/>
      <c r="E5" s="167"/>
      <c r="F5" s="167"/>
      <c r="G5" s="167"/>
      <c r="H5" s="167"/>
      <c r="I5" s="628"/>
      <c r="J5" s="137"/>
      <c r="K5" s="137"/>
    </row>
    <row r="6" spans="1:11">
      <c r="A6" s="167"/>
      <c r="B6" s="167"/>
      <c r="C6" s="167"/>
      <c r="D6" s="167"/>
      <c r="E6" s="167"/>
      <c r="F6" s="167"/>
      <c r="G6" s="167"/>
      <c r="H6" s="167"/>
      <c r="I6" s="628"/>
      <c r="J6" s="137"/>
      <c r="K6" s="137"/>
    </row>
    <row r="7" spans="1:11">
      <c r="A7" s="167"/>
      <c r="B7" s="167"/>
      <c r="C7" s="167"/>
      <c r="D7" s="167"/>
      <c r="E7" s="167"/>
      <c r="F7" s="167"/>
      <c r="G7" s="167"/>
      <c r="H7" s="167"/>
      <c r="I7" s="628"/>
      <c r="J7" s="137"/>
      <c r="K7" s="137"/>
    </row>
    <row r="8" spans="1:11">
      <c r="A8" s="167"/>
      <c r="B8" s="167"/>
      <c r="C8" s="167"/>
      <c r="D8" s="167"/>
      <c r="E8" s="167"/>
      <c r="F8" s="167"/>
      <c r="G8" s="167"/>
      <c r="H8" s="167"/>
      <c r="I8" s="284"/>
    </row>
    <row r="9" spans="1:11">
      <c r="D9" s="167"/>
      <c r="E9" s="167"/>
      <c r="F9" s="167"/>
      <c r="G9" s="167"/>
      <c r="H9" s="167"/>
      <c r="I9" s="167"/>
    </row>
    <row r="11" spans="1:11" ht="14.4">
      <c r="A11" s="363"/>
    </row>
    <row r="14" spans="1:11" ht="14.4">
      <c r="A14" s="307"/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37"/>
      <c r="E2" s="137"/>
      <c r="F2" s="626"/>
      <c r="G2" s="626"/>
      <c r="H2" s="626"/>
      <c r="I2" s="627"/>
      <c r="J2" s="137"/>
    </row>
    <row r="3" spans="1:10">
      <c r="A3" s="137"/>
      <c r="B3" s="137"/>
      <c r="C3" s="137"/>
      <c r="D3" s="137"/>
      <c r="E3" s="137"/>
      <c r="F3" s="626"/>
      <c r="G3" s="626"/>
      <c r="H3" s="626"/>
      <c r="I3" s="627"/>
      <c r="J3" s="137"/>
    </row>
    <row r="4" spans="1:10">
      <c r="A4" s="137"/>
      <c r="B4" s="137"/>
      <c r="C4" s="137"/>
      <c r="D4" s="137"/>
      <c r="E4" s="137"/>
      <c r="F4" s="626"/>
      <c r="G4" s="626"/>
      <c r="H4" s="626"/>
      <c r="I4" s="627"/>
      <c r="J4" s="137"/>
    </row>
    <row r="5" spans="1:10">
      <c r="A5" s="137"/>
      <c r="B5" s="137"/>
      <c r="C5" s="137"/>
      <c r="D5" s="137"/>
      <c r="E5" s="137"/>
      <c r="F5" s="626"/>
      <c r="G5" s="626"/>
      <c r="H5" s="626"/>
      <c r="I5" s="627"/>
      <c r="J5" s="137"/>
    </row>
    <row r="6" spans="1:10">
      <c r="A6" s="137"/>
      <c r="B6" s="137"/>
      <c r="C6" s="137"/>
      <c r="D6" s="137"/>
      <c r="E6" s="137"/>
      <c r="F6" s="626"/>
      <c r="G6" s="626"/>
      <c r="H6" s="626"/>
      <c r="I6" s="627"/>
      <c r="J6" s="137"/>
    </row>
    <row r="7" spans="1:10">
      <c r="A7" s="137"/>
      <c r="B7" s="137"/>
      <c r="C7" s="137"/>
      <c r="D7" s="137"/>
      <c r="E7" s="137"/>
      <c r="F7" s="626"/>
      <c r="G7" s="626"/>
      <c r="H7" s="626"/>
      <c r="I7" s="627"/>
      <c r="J7" s="137"/>
    </row>
    <row r="8" spans="1:10">
      <c r="A8" s="137"/>
      <c r="B8" s="137"/>
      <c r="C8" s="137"/>
      <c r="D8" s="137"/>
      <c r="E8" s="137"/>
      <c r="F8" s="137"/>
      <c r="G8" s="137"/>
      <c r="H8" s="137"/>
      <c r="I8" s="137"/>
      <c r="J8" s="137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>
      <c r="A10" s="137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 ht="14.4">
      <c r="A11" s="307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63"/>
      <c r="B12" s="137"/>
      <c r="C12" s="137"/>
      <c r="D12" s="137"/>
      <c r="E12" s="137"/>
      <c r="F12" s="137"/>
      <c r="G12" s="137"/>
      <c r="H12" s="137"/>
      <c r="I12" s="137"/>
      <c r="J12" s="137"/>
    </row>
    <row r="16" spans="1:10" ht="14.4">
      <c r="B16" s="301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7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24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37"/>
      <c r="E2" s="137"/>
      <c r="F2" s="626"/>
      <c r="G2" s="626"/>
      <c r="H2" s="675"/>
      <c r="I2" s="676"/>
      <c r="J2" s="137"/>
    </row>
    <row r="3" spans="1:10">
      <c r="A3" s="137"/>
      <c r="B3" s="137"/>
      <c r="C3" s="137"/>
      <c r="D3" s="137"/>
      <c r="E3" s="137"/>
      <c r="F3" s="626"/>
      <c r="G3" s="626"/>
      <c r="H3" s="675"/>
      <c r="I3" s="676"/>
      <c r="J3" s="137"/>
    </row>
    <row r="4" spans="1:10">
      <c r="A4" s="137"/>
      <c r="B4" s="137"/>
      <c r="C4" s="137"/>
      <c r="D4" s="137"/>
      <c r="E4" s="137"/>
      <c r="F4" s="626"/>
      <c r="G4" s="626"/>
      <c r="H4" s="675"/>
      <c r="I4" s="676"/>
      <c r="J4" s="137"/>
    </row>
    <row r="5" spans="1:10">
      <c r="A5" s="137"/>
      <c r="B5" s="137"/>
      <c r="C5" s="137"/>
      <c r="D5" s="137"/>
      <c r="E5" s="137"/>
      <c r="F5" s="626"/>
      <c r="G5" s="626"/>
      <c r="H5" s="675"/>
      <c r="I5" s="676"/>
      <c r="J5" s="137"/>
    </row>
    <row r="6" spans="1:10">
      <c r="A6" s="137"/>
      <c r="B6" s="137"/>
      <c r="C6" s="137"/>
      <c r="D6" s="137"/>
      <c r="E6" s="137"/>
      <c r="F6" s="626"/>
      <c r="G6" s="626"/>
      <c r="H6" s="675"/>
      <c r="I6" s="676"/>
      <c r="J6" s="137"/>
    </row>
    <row r="7" spans="1:10">
      <c r="A7" s="137"/>
      <c r="B7" s="137"/>
      <c r="C7" s="137"/>
      <c r="D7" s="137"/>
      <c r="E7" s="137"/>
      <c r="F7" s="626"/>
      <c r="G7" s="626"/>
      <c r="H7" s="675"/>
      <c r="I7" s="676"/>
      <c r="J7" s="137"/>
    </row>
    <row r="8" spans="1:10">
      <c r="A8" s="137"/>
      <c r="B8" s="137"/>
      <c r="C8" s="137"/>
      <c r="D8" s="137"/>
      <c r="E8" s="137"/>
      <c r="F8" s="137"/>
      <c r="G8" s="137"/>
      <c r="H8" s="167"/>
      <c r="I8" s="167"/>
      <c r="J8" s="137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>
      <c r="A10" s="137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 ht="14.4">
      <c r="A11" s="307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63"/>
      <c r="B12" s="137"/>
      <c r="C12" s="137"/>
      <c r="D12" s="137"/>
      <c r="E12" s="137"/>
      <c r="F12" s="137"/>
      <c r="G12" s="137"/>
      <c r="H12" s="137"/>
      <c r="I12" s="137"/>
      <c r="J12" s="137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67"/>
      <c r="E2" s="167"/>
      <c r="F2" s="167"/>
      <c r="G2" s="167"/>
      <c r="H2" s="167"/>
      <c r="I2" s="628"/>
      <c r="J2" s="167"/>
    </row>
    <row r="3" spans="1:10">
      <c r="A3" s="137"/>
      <c r="B3" s="137"/>
      <c r="C3" s="137"/>
      <c r="D3" s="167"/>
      <c r="E3" s="167"/>
      <c r="F3" s="167"/>
      <c r="G3" s="167"/>
      <c r="H3" s="167"/>
      <c r="I3" s="628"/>
      <c r="J3" s="167"/>
    </row>
    <row r="4" spans="1:10">
      <c r="A4" s="137"/>
      <c r="B4" s="137"/>
      <c r="C4" s="137"/>
      <c r="D4" s="167"/>
      <c r="E4" s="167"/>
      <c r="F4" s="167"/>
      <c r="G4" s="167"/>
      <c r="H4" s="167"/>
      <c r="I4" s="628"/>
      <c r="J4" s="167"/>
    </row>
    <row r="5" spans="1:10">
      <c r="A5" s="137"/>
      <c r="B5" s="137"/>
      <c r="C5" s="137"/>
      <c r="D5" s="167"/>
      <c r="E5" s="167"/>
      <c r="F5" s="167"/>
      <c r="G5" s="167"/>
      <c r="H5" s="167"/>
      <c r="I5" s="628"/>
      <c r="J5" s="167"/>
    </row>
    <row r="6" spans="1:10">
      <c r="A6" s="137"/>
      <c r="B6" s="137"/>
      <c r="C6" s="137"/>
      <c r="D6" s="167"/>
      <c r="E6" s="167"/>
      <c r="F6" s="167"/>
      <c r="G6" s="167"/>
      <c r="H6" s="167"/>
      <c r="I6" s="628"/>
      <c r="J6" s="167"/>
    </row>
    <row r="7" spans="1:10">
      <c r="A7" s="137"/>
      <c r="B7" s="137"/>
      <c r="C7" s="137"/>
      <c r="D7" s="167"/>
      <c r="E7" s="167"/>
      <c r="F7" s="167"/>
      <c r="G7" s="167"/>
      <c r="H7" s="167"/>
      <c r="I7" s="628"/>
      <c r="J7" s="167"/>
    </row>
    <row r="8" spans="1:10">
      <c r="A8" s="137"/>
      <c r="B8" s="137"/>
      <c r="C8" s="137"/>
      <c r="D8" s="167"/>
      <c r="E8" s="167"/>
      <c r="F8" s="167"/>
      <c r="G8" s="167"/>
      <c r="H8" s="167"/>
      <c r="I8" s="167"/>
      <c r="J8" s="167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>
      <c r="A10" s="137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 ht="14.4">
      <c r="A11" s="363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6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0" ht="14.4">
      <c r="A13" s="363"/>
      <c r="B13" s="137"/>
      <c r="C13" s="137"/>
      <c r="D13" s="137"/>
      <c r="E13" s="137"/>
      <c r="F13" s="137"/>
      <c r="G13" s="137"/>
      <c r="H13" s="137"/>
      <c r="I13" s="137"/>
      <c r="J13" s="137"/>
    </row>
    <row r="14" spans="1:10" ht="14.4">
      <c r="A14" s="363"/>
      <c r="B14" s="137"/>
      <c r="C14" s="137"/>
      <c r="D14" s="137"/>
      <c r="E14" s="137"/>
      <c r="F14" s="137"/>
      <c r="G14" s="137"/>
      <c r="H14" s="137"/>
      <c r="I14" s="137"/>
      <c r="J14" s="137"/>
    </row>
    <row r="15" spans="1:10" ht="14.4">
      <c r="A15" s="363"/>
      <c r="B15" s="307"/>
      <c r="C15" s="137"/>
      <c r="D15" s="137"/>
      <c r="E15" s="137"/>
      <c r="F15" s="137"/>
      <c r="G15" s="137"/>
      <c r="H15" s="137"/>
      <c r="I15" s="137"/>
      <c r="J15" s="137"/>
    </row>
    <row r="16" spans="1:10" ht="14.4">
      <c r="A16" s="363"/>
      <c r="B16" s="302"/>
      <c r="C16" s="137"/>
      <c r="D16" s="137"/>
      <c r="E16" s="137"/>
      <c r="F16" s="137"/>
      <c r="G16" s="137"/>
      <c r="H16" s="137"/>
      <c r="I16" s="137"/>
      <c r="J16" s="137"/>
    </row>
    <row r="17" spans="1:10" ht="14.4">
      <c r="A17" s="363"/>
      <c r="B17" s="302"/>
      <c r="C17" s="137"/>
      <c r="D17" s="137"/>
      <c r="E17" s="137"/>
      <c r="F17" s="137"/>
      <c r="G17" s="137"/>
      <c r="H17" s="137"/>
      <c r="I17" s="137"/>
      <c r="J17" s="137"/>
    </row>
    <row r="18" spans="1:10" ht="14.4">
      <c r="A18" s="363"/>
      <c r="B18" s="137"/>
      <c r="C18" s="137"/>
      <c r="D18" s="137"/>
      <c r="E18" s="137"/>
      <c r="F18" s="137"/>
      <c r="G18" s="137"/>
      <c r="H18" s="137"/>
      <c r="I18" s="137"/>
      <c r="J18" s="137"/>
    </row>
    <row r="22" spans="1:10" ht="14.4">
      <c r="A22" s="363"/>
    </row>
    <row r="23" spans="1:10" ht="14.4">
      <c r="A23" s="363"/>
    </row>
    <row r="24" spans="1:10" ht="14.4">
      <c r="A24" s="363"/>
    </row>
    <row r="25" spans="1:10" ht="14.4">
      <c r="A25" s="363"/>
    </row>
    <row r="26" spans="1:10" ht="14.4">
      <c r="A26" s="363"/>
    </row>
    <row r="27" spans="1:10" ht="14.4">
      <c r="A27" s="363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>
      <c r="A2" s="137"/>
      <c r="B2" s="137"/>
      <c r="C2" s="137"/>
      <c r="D2" s="137"/>
      <c r="E2" s="137"/>
      <c r="F2" s="626"/>
      <c r="G2" s="626"/>
      <c r="H2" s="626"/>
      <c r="I2" s="626"/>
      <c r="J2" s="137"/>
    </row>
    <row r="3" spans="1:10">
      <c r="A3" s="137"/>
      <c r="B3" s="137"/>
      <c r="C3" s="137"/>
      <c r="D3" s="137"/>
      <c r="E3" s="137"/>
      <c r="F3" s="626"/>
      <c r="G3" s="626"/>
      <c r="H3" s="626"/>
      <c r="I3" s="626"/>
      <c r="J3" s="137"/>
    </row>
    <row r="4" spans="1:10">
      <c r="A4" s="137"/>
      <c r="B4" s="137"/>
      <c r="C4" s="137"/>
      <c r="D4" s="137"/>
      <c r="E4" s="137"/>
      <c r="F4" s="626"/>
      <c r="G4" s="626"/>
      <c r="H4" s="626"/>
      <c r="I4" s="626"/>
      <c r="J4" s="137"/>
    </row>
    <row r="5" spans="1:10">
      <c r="A5" s="137"/>
      <c r="B5" s="137"/>
      <c r="C5" s="137"/>
      <c r="D5" s="137"/>
      <c r="E5" s="137"/>
      <c r="F5" s="626"/>
      <c r="G5" s="626"/>
      <c r="H5" s="626"/>
      <c r="I5" s="626"/>
      <c r="J5" s="137"/>
    </row>
    <row r="6" spans="1:10">
      <c r="A6" s="137"/>
      <c r="B6" s="137"/>
      <c r="C6" s="137"/>
      <c r="D6" s="137"/>
      <c r="E6" s="137"/>
      <c r="F6" s="626"/>
      <c r="G6" s="626"/>
      <c r="H6" s="626"/>
      <c r="I6" s="626"/>
      <c r="J6" s="137"/>
    </row>
    <row r="7" spans="1:10">
      <c r="A7" s="137"/>
      <c r="B7" s="137"/>
      <c r="C7" s="137"/>
      <c r="D7" s="137"/>
      <c r="E7" s="137"/>
      <c r="F7" s="626"/>
      <c r="G7" s="626"/>
      <c r="H7" s="626"/>
      <c r="I7" s="626"/>
      <c r="J7" s="137"/>
    </row>
    <row r="8" spans="1:10">
      <c r="A8" s="137"/>
      <c r="B8" s="137"/>
      <c r="C8" s="137"/>
      <c r="D8" s="137"/>
      <c r="E8" s="137"/>
      <c r="F8" s="137"/>
      <c r="G8" s="137"/>
      <c r="H8" s="137"/>
      <c r="I8" s="137"/>
      <c r="J8" s="137"/>
    </row>
    <row r="9" spans="1:10">
      <c r="A9" s="137"/>
      <c r="B9" s="137"/>
      <c r="C9" s="137"/>
      <c r="D9" s="137"/>
      <c r="E9" s="137"/>
      <c r="F9" s="137"/>
      <c r="G9" s="137"/>
      <c r="H9" s="137"/>
      <c r="I9" s="137"/>
      <c r="J9" s="137"/>
    </row>
    <row r="10" spans="1:10">
      <c r="A10" s="137"/>
      <c r="B10" s="137"/>
      <c r="C10" s="137"/>
      <c r="D10" s="137"/>
      <c r="E10" s="137"/>
      <c r="F10" s="137"/>
      <c r="G10" s="137"/>
      <c r="H10" s="137"/>
      <c r="I10" s="137"/>
      <c r="J10" s="137"/>
    </row>
    <row r="11" spans="1:10">
      <c r="A11" s="137"/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0" ht="14.4">
      <c r="A12" s="36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0" ht="14.4">
      <c r="A13" s="363"/>
      <c r="B13" s="137"/>
      <c r="C13" s="137"/>
      <c r="D13" s="137"/>
      <c r="E13" s="137"/>
      <c r="F13" s="137"/>
      <c r="G13" s="137"/>
      <c r="H13" s="137"/>
      <c r="I13" s="137"/>
      <c r="J13" s="137"/>
    </row>
    <row r="14" spans="1:10" ht="14.4">
      <c r="A14" s="363"/>
      <c r="B14" s="137"/>
      <c r="C14" s="137"/>
      <c r="D14" s="137"/>
      <c r="E14" s="137"/>
      <c r="F14" s="137"/>
      <c r="G14" s="137"/>
      <c r="H14" s="482"/>
      <c r="I14" s="137"/>
      <c r="J14" s="137"/>
    </row>
    <row r="15" spans="1:10" ht="14.4">
      <c r="A15" s="363"/>
      <c r="B15" s="137"/>
      <c r="C15" s="137"/>
      <c r="D15" s="137"/>
      <c r="E15" s="137"/>
      <c r="F15" s="137"/>
      <c r="G15" s="137"/>
      <c r="H15" s="137"/>
      <c r="I15" s="137"/>
      <c r="J15" s="137"/>
    </row>
    <row r="16" spans="1:10">
      <c r="A16" s="137"/>
      <c r="B16" s="137"/>
      <c r="C16" s="137"/>
      <c r="D16" s="137"/>
      <c r="E16" s="137"/>
      <c r="F16" s="137"/>
      <c r="G16" s="137"/>
      <c r="H16" s="137"/>
      <c r="I16" s="137"/>
      <c r="J16" s="137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2" spans="1:9">
      <c r="I2" s="137"/>
    </row>
    <row r="3" spans="1:9">
      <c r="I3" s="137"/>
    </row>
    <row r="4" spans="1:9">
      <c r="I4" s="137"/>
    </row>
    <row r="5" spans="1:9">
      <c r="I5" s="137"/>
    </row>
    <row r="6" spans="1:9">
      <c r="I6" s="137"/>
    </row>
    <row r="7" spans="1:9">
      <c r="I7" s="137"/>
    </row>
    <row r="8" spans="1:9">
      <c r="I8" s="167"/>
    </row>
    <row r="11" spans="1:9">
      <c r="A11" s="233"/>
      <c r="B11" s="233"/>
      <c r="C11" s="233"/>
    </row>
    <row r="12" spans="1:9">
      <c r="A12" s="233"/>
      <c r="B12" s="233"/>
      <c r="C12" s="233"/>
    </row>
    <row r="13" spans="1:9">
      <c r="A13" s="233"/>
      <c r="B13" s="233"/>
      <c r="C13" s="233"/>
    </row>
    <row r="14" spans="1:9">
      <c r="B14" s="233"/>
      <c r="C14" s="233"/>
    </row>
    <row r="15" spans="1:9">
      <c r="A15" s="479"/>
    </row>
    <row r="18" spans="1:2">
      <c r="A18" s="233"/>
      <c r="B18" s="233"/>
    </row>
    <row r="19" spans="1:2">
      <c r="A19" s="233"/>
      <c r="B19" s="233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16" customWidth="1"/>
    <col min="6" max="8" width="12.109375" style="11" customWidth="1"/>
    <col min="9" max="9" width="11.44140625" style="116" customWidth="1"/>
    <col min="10" max="12" width="12.88671875" style="11" customWidth="1"/>
    <col min="13" max="13" width="11.44140625" style="116" customWidth="1"/>
    <col min="14" max="16" width="12" style="11" customWidth="1"/>
    <col min="17" max="18" width="11.44140625" style="116" customWidth="1"/>
    <col min="19" max="16384" width="9.109375" style="12"/>
  </cols>
  <sheetData>
    <row r="1" spans="1:19" s="18" customFormat="1" ht="15" customHeight="1">
      <c r="A1" s="29" t="s">
        <v>159</v>
      </c>
      <c r="B1" s="791" t="s">
        <v>161</v>
      </c>
      <c r="C1" s="778"/>
      <c r="D1" s="778"/>
      <c r="E1" s="778"/>
      <c r="F1" s="791" t="s">
        <v>162</v>
      </c>
      <c r="G1" s="778"/>
      <c r="H1" s="778"/>
      <c r="I1" s="778"/>
      <c r="J1" s="791" t="s">
        <v>167</v>
      </c>
      <c r="K1" s="778"/>
      <c r="L1" s="778"/>
      <c r="M1" s="778"/>
      <c r="N1" s="791" t="s">
        <v>160</v>
      </c>
      <c r="O1" s="778"/>
      <c r="P1" s="778"/>
      <c r="Q1" s="778"/>
      <c r="R1" s="146"/>
    </row>
    <row r="2" spans="1:19" s="18" customFormat="1" ht="15" customHeight="1">
      <c r="A2" s="5" t="s">
        <v>0</v>
      </c>
      <c r="B2" s="39" t="s">
        <v>10</v>
      </c>
      <c r="C2" s="39" t="s">
        <v>11</v>
      </c>
      <c r="D2" s="39" t="s">
        <v>12</v>
      </c>
      <c r="E2" s="152" t="s">
        <v>118</v>
      </c>
      <c r="F2" s="39" t="s">
        <v>7</v>
      </c>
      <c r="G2" s="39" t="s">
        <v>8</v>
      </c>
      <c r="H2" s="39" t="s">
        <v>9</v>
      </c>
      <c r="I2" s="152" t="s">
        <v>117</v>
      </c>
      <c r="J2" s="39" t="s">
        <v>4</v>
      </c>
      <c r="K2" s="39" t="s">
        <v>5</v>
      </c>
      <c r="L2" s="39" t="s">
        <v>6</v>
      </c>
      <c r="M2" s="152" t="s">
        <v>116</v>
      </c>
      <c r="N2" s="39" t="s">
        <v>1</v>
      </c>
      <c r="O2" s="39" t="s">
        <v>2</v>
      </c>
      <c r="P2" s="39" t="s">
        <v>3</v>
      </c>
      <c r="Q2" s="152" t="s">
        <v>110</v>
      </c>
      <c r="R2" s="82" t="s">
        <v>119</v>
      </c>
    </row>
    <row r="3" spans="1:19" s="18" customFormat="1" ht="1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9" s="18" customFormat="1" ht="15" customHeight="1">
      <c r="A4" s="6" t="s">
        <v>36</v>
      </c>
      <c r="B4" s="72" t="e">
        <f>Target!#REF!</f>
        <v>#REF!</v>
      </c>
      <c r="C4" s="72" t="e">
        <f>Target!#REF!</f>
        <v>#REF!</v>
      </c>
      <c r="D4" s="72" t="e">
        <f>Target!#REF!</f>
        <v>#REF!</v>
      </c>
      <c r="E4" s="153" t="e">
        <f>SUM(B4:D4)</f>
        <v>#REF!</v>
      </c>
      <c r="F4" s="72" t="e">
        <f>Target!#REF!</f>
        <v>#REF!</v>
      </c>
      <c r="G4" s="72" t="e">
        <f>Target!#REF!</f>
        <v>#REF!</v>
      </c>
      <c r="H4" s="72" t="e">
        <f>Target!#REF!</f>
        <v>#REF!</v>
      </c>
      <c r="I4" s="153" t="e">
        <f>SUM(F4:H4)</f>
        <v>#REF!</v>
      </c>
      <c r="J4" s="72" t="e">
        <f>Target!#REF!</f>
        <v>#REF!</v>
      </c>
      <c r="K4" s="72" t="e">
        <f>Target!#REF!</f>
        <v>#REF!</v>
      </c>
      <c r="L4" s="72" t="e">
        <f>Target!#REF!</f>
        <v>#REF!</v>
      </c>
      <c r="M4" s="153" t="e">
        <f>SUM(J4:L4)</f>
        <v>#REF!</v>
      </c>
      <c r="N4" s="72" t="e">
        <f>Target!#REF!</f>
        <v>#REF!</v>
      </c>
      <c r="O4" s="72" t="e">
        <f>Target!#REF!</f>
        <v>#REF!</v>
      </c>
      <c r="P4" s="72" t="e">
        <f>Target!#REF!</f>
        <v>#REF!</v>
      </c>
      <c r="Q4" s="153" t="e">
        <f>SUM(N4:P4)</f>
        <v>#REF!</v>
      </c>
      <c r="R4" s="84" t="e">
        <f>Q4+M4+I4+E4</f>
        <v>#REF!</v>
      </c>
    </row>
    <row r="5" spans="1:19" s="18" customFormat="1" ht="15" customHeight="1">
      <c r="A5" s="7" t="s">
        <v>35</v>
      </c>
      <c r="B5" s="68" t="e">
        <f>B4</f>
        <v>#REF!</v>
      </c>
      <c r="C5" s="68" t="e">
        <f>C4+B5</f>
        <v>#REF!</v>
      </c>
      <c r="D5" s="68" t="e">
        <f>D4+C5</f>
        <v>#REF!</v>
      </c>
      <c r="E5" s="154"/>
      <c r="F5" s="68" t="e">
        <f>F4</f>
        <v>#REF!</v>
      </c>
      <c r="G5" s="68" t="e">
        <f>G4+F5</f>
        <v>#REF!</v>
      </c>
      <c r="H5" s="68" t="e">
        <f>H4+G5</f>
        <v>#REF!</v>
      </c>
      <c r="I5" s="154"/>
      <c r="J5" s="68" t="e">
        <f>J4</f>
        <v>#REF!</v>
      </c>
      <c r="K5" s="68" t="e">
        <f>K4+J5</f>
        <v>#REF!</v>
      </c>
      <c r="L5" s="68" t="e">
        <f>L4+K5</f>
        <v>#REF!</v>
      </c>
      <c r="M5" s="154"/>
      <c r="N5" s="68" t="e">
        <f>N4</f>
        <v>#REF!</v>
      </c>
      <c r="O5" s="68" t="e">
        <f>O4+N5</f>
        <v>#REF!</v>
      </c>
      <c r="P5" s="68" t="e">
        <f>P4+O5</f>
        <v>#REF!</v>
      </c>
      <c r="Q5" s="154"/>
      <c r="R5" s="293" t="e">
        <f>R6/R4</f>
        <v>#REF!</v>
      </c>
    </row>
    <row r="6" spans="1:19" s="18" customFormat="1" ht="15" customHeight="1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3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3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3">
        <f>SUM(J6:L6)</f>
        <v>0</v>
      </c>
      <c r="N6" s="66">
        <f>SUMIF(I!A:A,$A$1,I!I:I)</f>
        <v>0</v>
      </c>
      <c r="O6" s="26">
        <f>SUMIF(II!A:A,$A$1,II!I:I)</f>
        <v>0</v>
      </c>
      <c r="P6" s="26">
        <f>SUMIF(III!A:A,$A$1,III!I:I)</f>
        <v>0</v>
      </c>
      <c r="Q6" s="153">
        <f>SUM(N6:P6)</f>
        <v>0</v>
      </c>
      <c r="R6" s="84">
        <f>Q6+M6+I6+E6</f>
        <v>0</v>
      </c>
    </row>
    <row r="7" spans="1:19" s="18" customFormat="1" ht="15" customHeight="1">
      <c r="A7" s="7" t="s">
        <v>38</v>
      </c>
      <c r="B7" s="68">
        <f>B6</f>
        <v>0</v>
      </c>
      <c r="C7" s="68">
        <f>C6+B7</f>
        <v>0</v>
      </c>
      <c r="D7" s="68">
        <f>D6+C7</f>
        <v>0</v>
      </c>
      <c r="E7" s="154"/>
      <c r="F7" s="68">
        <f>F6</f>
        <v>0</v>
      </c>
      <c r="G7" s="68">
        <f>G6+F7</f>
        <v>0</v>
      </c>
      <c r="H7" s="68">
        <f>H6+G7</f>
        <v>0</v>
      </c>
      <c r="I7" s="154"/>
      <c r="J7" s="68">
        <f>J6</f>
        <v>0</v>
      </c>
      <c r="K7" s="68">
        <f>K6+J7</f>
        <v>0</v>
      </c>
      <c r="L7" s="68">
        <f>L6+K7</f>
        <v>0</v>
      </c>
      <c r="M7" s="154"/>
      <c r="N7" s="68">
        <f>N6</f>
        <v>0</v>
      </c>
      <c r="O7" s="68">
        <f>O6+N7</f>
        <v>0</v>
      </c>
      <c r="P7" s="68">
        <f>P6+O7</f>
        <v>0</v>
      </c>
      <c r="Q7" s="154"/>
      <c r="R7" s="86"/>
    </row>
    <row r="8" spans="1:19" s="18" customFormat="1" ht="15" customHeight="1">
      <c r="A8" s="23" t="s">
        <v>39</v>
      </c>
      <c r="B8" s="73" t="e">
        <f t="shared" ref="B8:D9" si="0">B6/B4</f>
        <v>#REF!</v>
      </c>
      <c r="C8" s="73" t="e">
        <f t="shared" si="0"/>
        <v>#REF!</v>
      </c>
      <c r="D8" s="73" t="e">
        <f t="shared" si="0"/>
        <v>#REF!</v>
      </c>
      <c r="E8" s="155"/>
      <c r="F8" s="73" t="e">
        <f t="shared" ref="F8:H9" si="1">F6/F4</f>
        <v>#REF!</v>
      </c>
      <c r="G8" s="73" t="e">
        <f t="shared" si="1"/>
        <v>#REF!</v>
      </c>
      <c r="H8" s="73" t="e">
        <f t="shared" si="1"/>
        <v>#REF!</v>
      </c>
      <c r="I8" s="155"/>
      <c r="J8" s="73" t="e">
        <f>J6/J4</f>
        <v>#REF!</v>
      </c>
      <c r="K8" s="73" t="e">
        <f t="shared" ref="J8:L9" si="2">K6/K4</f>
        <v>#REF!</v>
      </c>
      <c r="L8" s="73" t="e">
        <f t="shared" si="2"/>
        <v>#REF!</v>
      </c>
      <c r="M8" s="155"/>
      <c r="N8" s="73" t="e">
        <f t="shared" ref="N8:P9" si="3">N6/N4</f>
        <v>#REF!</v>
      </c>
      <c r="O8" s="73" t="e">
        <f t="shared" si="3"/>
        <v>#REF!</v>
      </c>
      <c r="P8" s="73" t="e">
        <f t="shared" si="3"/>
        <v>#REF!</v>
      </c>
      <c r="Q8" s="155"/>
      <c r="R8" s="89"/>
    </row>
    <row r="9" spans="1:19" s="19" customFormat="1" ht="15" customHeight="1">
      <c r="A9" s="23" t="s">
        <v>40</v>
      </c>
      <c r="B9" s="73" t="e">
        <f t="shared" si="0"/>
        <v>#REF!</v>
      </c>
      <c r="C9" s="73" t="e">
        <f t="shared" si="0"/>
        <v>#REF!</v>
      </c>
      <c r="D9" s="73" t="e">
        <f t="shared" si="0"/>
        <v>#REF!</v>
      </c>
      <c r="E9" s="155"/>
      <c r="F9" s="73" t="e">
        <f>F7/F5</f>
        <v>#REF!</v>
      </c>
      <c r="G9" s="73" t="e">
        <f t="shared" si="1"/>
        <v>#REF!</v>
      </c>
      <c r="H9" s="73" t="e">
        <f t="shared" si="1"/>
        <v>#REF!</v>
      </c>
      <c r="I9" s="155"/>
      <c r="J9" s="73" t="e">
        <f t="shared" si="2"/>
        <v>#REF!</v>
      </c>
      <c r="K9" s="73" t="e">
        <f>K7/K5</f>
        <v>#REF!</v>
      </c>
      <c r="L9" s="73" t="e">
        <f t="shared" si="2"/>
        <v>#REF!</v>
      </c>
      <c r="M9" s="155"/>
      <c r="N9" s="73" t="e">
        <f t="shared" si="3"/>
        <v>#REF!</v>
      </c>
      <c r="O9" s="73" t="e">
        <f>O7/O5</f>
        <v>#REF!</v>
      </c>
      <c r="P9" s="73" t="e">
        <f t="shared" si="3"/>
        <v>#REF!</v>
      </c>
      <c r="Q9" s="155"/>
      <c r="R9" s="90"/>
    </row>
    <row r="10" spans="1:19" s="36" customFormat="1" ht="15" customHeight="1">
      <c r="A10" s="7" t="s">
        <v>48</v>
      </c>
      <c r="B10" s="74" t="e">
        <f>B7-B5</f>
        <v>#REF!</v>
      </c>
      <c r="C10" s="74" t="e">
        <f>C7-C5</f>
        <v>#REF!</v>
      </c>
      <c r="D10" s="74" t="e">
        <f>D7-D5</f>
        <v>#REF!</v>
      </c>
      <c r="E10" s="154"/>
      <c r="F10" s="74" t="e">
        <f>F7-F5</f>
        <v>#REF!</v>
      </c>
      <c r="G10" s="74" t="e">
        <f>G7-G5</f>
        <v>#REF!</v>
      </c>
      <c r="H10" s="74" t="e">
        <f>H7-H5</f>
        <v>#REF!</v>
      </c>
      <c r="I10" s="154"/>
      <c r="J10" s="74" t="e">
        <f>J7-J5</f>
        <v>#REF!</v>
      </c>
      <c r="K10" s="74" t="e">
        <f>K7-K5</f>
        <v>#REF!</v>
      </c>
      <c r="L10" s="74" t="e">
        <f>L7-L5</f>
        <v>#REF!</v>
      </c>
      <c r="M10" s="154"/>
      <c r="N10" s="74" t="e">
        <f>N7-N5</f>
        <v>#REF!</v>
      </c>
      <c r="O10" s="74" t="e">
        <f>O7-O5</f>
        <v>#REF!</v>
      </c>
      <c r="P10" s="74" t="e">
        <f>P7-P5</f>
        <v>#REF!</v>
      </c>
      <c r="Q10" s="154"/>
      <c r="R10" s="86"/>
    </row>
    <row r="11" spans="1:19" s="18" customFormat="1" ht="15" customHeight="1">
      <c r="A11" s="6" t="s">
        <v>41</v>
      </c>
      <c r="B11" s="72" t="e">
        <f>Target!#REF!</f>
        <v>#REF!</v>
      </c>
      <c r="C11" s="72" t="e">
        <f>Target!#REF!</f>
        <v>#REF!</v>
      </c>
      <c r="D11" s="72" t="e">
        <f>Target!#REF!</f>
        <v>#REF!</v>
      </c>
      <c r="E11" s="153" t="e">
        <f>SUM(B11:D11)</f>
        <v>#REF!</v>
      </c>
      <c r="F11" s="72" t="e">
        <f>Target!#REF!</f>
        <v>#REF!</v>
      </c>
      <c r="G11" s="72" t="e">
        <f>Target!#REF!</f>
        <v>#REF!</v>
      </c>
      <c r="H11" s="72" t="e">
        <f>Target!#REF!</f>
        <v>#REF!</v>
      </c>
      <c r="I11" s="153" t="e">
        <f>SUM(F11:H11)</f>
        <v>#REF!</v>
      </c>
      <c r="J11" s="72" t="e">
        <f>Target!#REF!</f>
        <v>#REF!</v>
      </c>
      <c r="K11" s="72" t="e">
        <f>Target!#REF!</f>
        <v>#REF!</v>
      </c>
      <c r="L11" s="72" t="e">
        <f>Target!#REF!</f>
        <v>#REF!</v>
      </c>
      <c r="M11" s="153" t="e">
        <f>SUM(J11:L11)</f>
        <v>#REF!</v>
      </c>
      <c r="N11" s="72" t="e">
        <f>Target!#REF!</f>
        <v>#REF!</v>
      </c>
      <c r="O11" s="72" t="e">
        <f>Target!#REF!</f>
        <v>#REF!</v>
      </c>
      <c r="P11" s="72" t="e">
        <f>Target!#REF!</f>
        <v>#REF!</v>
      </c>
      <c r="Q11" s="153" t="e">
        <f>SUM(N11:P11)</f>
        <v>#REF!</v>
      </c>
      <c r="R11" s="84" t="e">
        <f>Q11+M11+I11+E11</f>
        <v>#REF!</v>
      </c>
      <c r="S11" s="11"/>
    </row>
    <row r="12" spans="1:19" s="18" customFormat="1" ht="15" customHeight="1">
      <c r="A12" s="7" t="s">
        <v>42</v>
      </c>
      <c r="B12" s="68" t="e">
        <f>B11</f>
        <v>#REF!</v>
      </c>
      <c r="C12" s="68" t="e">
        <f>C11+B12</f>
        <v>#REF!</v>
      </c>
      <c r="D12" s="68" t="e">
        <f>D11+C12</f>
        <v>#REF!</v>
      </c>
      <c r="E12" s="154"/>
      <c r="F12" s="68" t="e">
        <f>F11</f>
        <v>#REF!</v>
      </c>
      <c r="G12" s="68" t="e">
        <f>G11+F12</f>
        <v>#REF!</v>
      </c>
      <c r="H12" s="68" t="e">
        <f>H11+G12</f>
        <v>#REF!</v>
      </c>
      <c r="I12" s="154"/>
      <c r="J12" s="68" t="e">
        <f>J11</f>
        <v>#REF!</v>
      </c>
      <c r="K12" s="68" t="e">
        <f>K11+J12</f>
        <v>#REF!</v>
      </c>
      <c r="L12" s="68" t="e">
        <f>L11+K12</f>
        <v>#REF!</v>
      </c>
      <c r="M12" s="154"/>
      <c r="N12" s="68" t="e">
        <f>N11</f>
        <v>#REF!</v>
      </c>
      <c r="O12" s="68" t="e">
        <f>O11+N12</f>
        <v>#REF!</v>
      </c>
      <c r="P12" s="68" t="e">
        <f>P11+O12</f>
        <v>#REF!</v>
      </c>
      <c r="Q12" s="154"/>
      <c r="R12" s="293" t="e">
        <f>R13/R11</f>
        <v>#REF!</v>
      </c>
    </row>
    <row r="13" spans="1:19" s="18" customFormat="1" ht="15" customHeight="1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3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3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3">
        <f>SUM(J13:L13)</f>
        <v>0</v>
      </c>
      <c r="N13" s="66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3">
        <f>SUM(N13:P13)</f>
        <v>0</v>
      </c>
      <c r="R13" s="84">
        <f>Q13+M13+I13+E13</f>
        <v>0</v>
      </c>
    </row>
    <row r="14" spans="1:19" customFormat="1">
      <c r="A14" s="7" t="s">
        <v>44</v>
      </c>
      <c r="B14" s="68">
        <f>B13</f>
        <v>0</v>
      </c>
      <c r="C14" s="68">
        <f>C13+B14</f>
        <v>0</v>
      </c>
      <c r="D14" s="68">
        <f>D13+C14</f>
        <v>0</v>
      </c>
      <c r="E14" s="154"/>
      <c r="F14" s="68">
        <f>F13</f>
        <v>0</v>
      </c>
      <c r="G14" s="68">
        <f>G13+F14</f>
        <v>0</v>
      </c>
      <c r="H14" s="68">
        <f>H13+G14</f>
        <v>0</v>
      </c>
      <c r="I14" s="154"/>
      <c r="J14" s="68">
        <f>J13</f>
        <v>0</v>
      </c>
      <c r="K14" s="68">
        <f>K13+J14</f>
        <v>0</v>
      </c>
      <c r="L14" s="68">
        <f>L13+K14</f>
        <v>0</v>
      </c>
      <c r="M14" s="154"/>
      <c r="N14" s="68">
        <f>N13</f>
        <v>0</v>
      </c>
      <c r="O14" s="68">
        <f>O13+N14</f>
        <v>0</v>
      </c>
      <c r="P14" s="68">
        <f>P13+O14</f>
        <v>0</v>
      </c>
      <c r="Q14" s="154"/>
      <c r="R14" s="86"/>
    </row>
    <row r="15" spans="1:19" s="18" customFormat="1" ht="15" customHeight="1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5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5"/>
      <c r="J15" s="24" t="e">
        <f t="shared" ref="J15:L16" si="6">J13/J11</f>
        <v>#REF!</v>
      </c>
      <c r="K15" s="24" t="e">
        <f t="shared" si="6"/>
        <v>#REF!</v>
      </c>
      <c r="L15" s="24" t="e">
        <f t="shared" si="6"/>
        <v>#REF!</v>
      </c>
      <c r="M15" s="155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5"/>
      <c r="R15" s="89"/>
    </row>
    <row r="16" spans="1:19" s="18" customFormat="1" ht="15" customHeight="1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5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5"/>
      <c r="J16" s="24" t="e">
        <f t="shared" si="6"/>
        <v>#REF!</v>
      </c>
      <c r="K16" s="24" t="e">
        <f>K14/K12</f>
        <v>#REF!</v>
      </c>
      <c r="L16" s="24" t="e">
        <f t="shared" si="6"/>
        <v>#REF!</v>
      </c>
      <c r="M16" s="155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5"/>
      <c r="R16" s="90"/>
    </row>
    <row r="17" spans="1:19" s="18" customFormat="1" ht="11.25" customHeight="1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4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4"/>
      <c r="J17" s="22" t="e">
        <f>J14-J12</f>
        <v>#REF!</v>
      </c>
      <c r="K17" s="22" t="e">
        <f>K14-K12</f>
        <v>#REF!</v>
      </c>
      <c r="L17" s="22" t="e">
        <f>L14-L12</f>
        <v>#REF!</v>
      </c>
      <c r="M17" s="154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4"/>
      <c r="R17" s="91"/>
    </row>
    <row r="18" spans="1:19" s="18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56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6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6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6"/>
      <c r="R18" s="93"/>
    </row>
    <row r="19" spans="1:19" s="18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6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56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6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6"/>
      <c r="R19" s="93"/>
    </row>
    <row r="20" spans="1:19" s="52" customFormat="1" ht="15" customHeight="1">
      <c r="B20" s="76"/>
      <c r="C20" s="76"/>
      <c r="D20" s="76"/>
      <c r="E20" s="157"/>
      <c r="F20" s="76"/>
      <c r="G20" s="76"/>
      <c r="H20" s="76"/>
      <c r="I20" s="157"/>
      <c r="J20" s="76"/>
      <c r="K20" s="76"/>
      <c r="L20" s="76"/>
      <c r="M20" s="157"/>
      <c r="O20" s="76"/>
      <c r="P20" s="76"/>
      <c r="Q20" s="157"/>
      <c r="R20" s="94"/>
      <c r="S20" s="51"/>
    </row>
    <row r="21" spans="1:19" s="18" customFormat="1" ht="15" customHeight="1">
      <c r="A21" s="41"/>
      <c r="B21" s="148"/>
      <c r="C21" s="148"/>
      <c r="D21" s="148"/>
      <c r="E21" s="158"/>
      <c r="F21" s="148"/>
      <c r="G21" s="148"/>
      <c r="H21" s="148"/>
      <c r="I21" s="158"/>
      <c r="J21" s="148"/>
      <c r="K21" s="148"/>
      <c r="L21" s="75"/>
      <c r="M21" s="158"/>
      <c r="N21" s="147" t="s">
        <v>26</v>
      </c>
      <c r="O21" s="148"/>
      <c r="P21" s="148"/>
      <c r="Q21" s="148"/>
      <c r="R21" s="98"/>
    </row>
    <row r="22" spans="1:19" s="18" customFormat="1" ht="15" customHeight="1">
      <c r="A22" s="54" t="s">
        <v>74</v>
      </c>
      <c r="B22" s="56">
        <v>3450</v>
      </c>
      <c r="C22" s="56">
        <v>3450</v>
      </c>
      <c r="D22" s="56">
        <v>3450</v>
      </c>
      <c r="E22" s="159"/>
      <c r="F22" s="56">
        <v>3450</v>
      </c>
      <c r="G22" s="56">
        <v>3450</v>
      </c>
      <c r="H22" s="56">
        <v>3450</v>
      </c>
      <c r="I22" s="159"/>
      <c r="J22" s="56">
        <v>3450</v>
      </c>
      <c r="K22" s="56">
        <v>3450</v>
      </c>
      <c r="L22" s="56">
        <v>3450</v>
      </c>
      <c r="M22" s="159"/>
      <c r="N22" s="56">
        <v>3450</v>
      </c>
      <c r="O22" s="56">
        <v>3450</v>
      </c>
      <c r="P22" s="56">
        <v>3450</v>
      </c>
      <c r="Q22" s="159"/>
      <c r="R22" s="98"/>
    </row>
    <row r="23" spans="1:19" s="18" customFormat="1" ht="15" customHeight="1">
      <c r="A23" s="17" t="s">
        <v>50</v>
      </c>
      <c r="B23" s="57" t="e">
        <f>B5</f>
        <v>#REF!</v>
      </c>
      <c r="C23" s="57" t="e">
        <f>C5</f>
        <v>#REF!</v>
      </c>
      <c r="D23" s="57" t="e">
        <f>D5</f>
        <v>#REF!</v>
      </c>
      <c r="E23" s="160"/>
      <c r="F23" s="57" t="e">
        <f>F5</f>
        <v>#REF!</v>
      </c>
      <c r="G23" s="57" t="e">
        <f>G5</f>
        <v>#REF!</v>
      </c>
      <c r="H23" s="57" t="e">
        <f>H5</f>
        <v>#REF!</v>
      </c>
      <c r="I23" s="160"/>
      <c r="J23" s="57" t="e">
        <f>J5</f>
        <v>#REF!</v>
      </c>
      <c r="K23" s="57" t="e">
        <f>K5</f>
        <v>#REF!</v>
      </c>
      <c r="L23" s="57" t="e">
        <f>L5</f>
        <v>#REF!</v>
      </c>
      <c r="M23" s="160"/>
      <c r="N23" s="57" t="e">
        <f>N5</f>
        <v>#REF!</v>
      </c>
      <c r="O23" s="57" t="e">
        <f>O5</f>
        <v>#REF!</v>
      </c>
      <c r="P23" s="57" t="e">
        <f>P5</f>
        <v>#REF!</v>
      </c>
      <c r="Q23" s="160"/>
      <c r="R23" s="100"/>
    </row>
    <row r="24" spans="1:19" s="18" customFormat="1" ht="15" customHeight="1">
      <c r="A24" s="32" t="s">
        <v>51</v>
      </c>
      <c r="B24" s="59">
        <f>B7</f>
        <v>0</v>
      </c>
      <c r="C24" s="59">
        <f>C7</f>
        <v>0</v>
      </c>
      <c r="D24" s="59">
        <f>D7</f>
        <v>0</v>
      </c>
      <c r="E24" s="161"/>
      <c r="F24" s="59">
        <f>F7</f>
        <v>0</v>
      </c>
      <c r="G24" s="59">
        <f>G7</f>
        <v>0</v>
      </c>
      <c r="H24" s="59">
        <f>H7</f>
        <v>0</v>
      </c>
      <c r="I24" s="161"/>
      <c r="J24" s="59">
        <f>J7</f>
        <v>0</v>
      </c>
      <c r="K24" s="59">
        <f>K7</f>
        <v>0</v>
      </c>
      <c r="L24" s="59">
        <f>L7</f>
        <v>0</v>
      </c>
      <c r="M24" s="161"/>
      <c r="N24" s="59">
        <f>N7</f>
        <v>0</v>
      </c>
      <c r="O24" s="59">
        <f>O7</f>
        <v>0</v>
      </c>
      <c r="P24" s="59">
        <f>P7</f>
        <v>0</v>
      </c>
      <c r="Q24" s="161"/>
      <c r="R24" s="100"/>
    </row>
    <row r="25" spans="1:19" s="20" customFormat="1" ht="15" customHeight="1">
      <c r="A25" s="32" t="s">
        <v>52</v>
      </c>
      <c r="B25" s="102" t="e">
        <f>B24/B23</f>
        <v>#REF!</v>
      </c>
      <c r="C25" s="102" t="e">
        <f>C24/C23</f>
        <v>#REF!</v>
      </c>
      <c r="D25" s="102" t="e">
        <f>D24/D23</f>
        <v>#REF!</v>
      </c>
      <c r="E25" s="162"/>
      <c r="F25" s="102" t="e">
        <f>F24/F23</f>
        <v>#REF!</v>
      </c>
      <c r="G25" s="102" t="e">
        <f>G24/G23</f>
        <v>#REF!</v>
      </c>
      <c r="H25" s="102" t="e">
        <f>H24/H23</f>
        <v>#REF!</v>
      </c>
      <c r="I25" s="162"/>
      <c r="J25" s="102" t="e">
        <f>J24/J23</f>
        <v>#REF!</v>
      </c>
      <c r="K25" s="102" t="e">
        <f>K24/K23</f>
        <v>#REF!</v>
      </c>
      <c r="L25" s="102" t="e">
        <f>L24/L23</f>
        <v>#REF!</v>
      </c>
      <c r="M25" s="162"/>
      <c r="N25" s="102" t="e">
        <f>N24/N23</f>
        <v>#REF!</v>
      </c>
      <c r="O25" s="102" t="e">
        <f>O24/O23</f>
        <v>#REF!</v>
      </c>
      <c r="P25" s="102" t="e">
        <f>P24/P23</f>
        <v>#REF!</v>
      </c>
      <c r="Q25" s="162"/>
      <c r="R25" s="100"/>
    </row>
    <row r="26" spans="1:19" s="18" customFormat="1" ht="15" customHeight="1">
      <c r="A26" s="31" t="s">
        <v>60</v>
      </c>
      <c r="B26" s="63">
        <f>B22*0.3</f>
        <v>1035</v>
      </c>
      <c r="C26" s="63">
        <f>C22*0.3</f>
        <v>1035</v>
      </c>
      <c r="D26" s="63">
        <f>D22*0.3</f>
        <v>1035</v>
      </c>
      <c r="E26" s="163"/>
      <c r="F26" s="63">
        <f>F22*0.3</f>
        <v>1035</v>
      </c>
      <c r="G26" s="63">
        <f>G22*0.3</f>
        <v>1035</v>
      </c>
      <c r="H26" s="63">
        <f>H22*0.3</f>
        <v>1035</v>
      </c>
      <c r="I26" s="163"/>
      <c r="J26" s="63">
        <f>J22*0.3</f>
        <v>1035</v>
      </c>
      <c r="K26" s="63">
        <f>K22*0.3</f>
        <v>1035</v>
      </c>
      <c r="L26" s="63">
        <f>L22*0.3</f>
        <v>1035</v>
      </c>
      <c r="M26" s="163"/>
      <c r="N26" s="63">
        <f>N22*0.3</f>
        <v>1035</v>
      </c>
      <c r="O26" s="63">
        <f>O22*0.3</f>
        <v>1035</v>
      </c>
      <c r="P26" s="63">
        <f>P22*0.3</f>
        <v>1035</v>
      </c>
      <c r="Q26" s="163"/>
      <c r="R26" s="103"/>
      <c r="S26" s="11"/>
    </row>
    <row r="27" spans="1:19" s="18" customFormat="1" ht="15" customHeight="1">
      <c r="A27" s="32" t="s">
        <v>53</v>
      </c>
      <c r="B27" s="59" t="e">
        <f>IF(B25&lt;80%,0,IF(B25&lt;90%,0.5,IF(B25&lt;95%,0.75,1)))</f>
        <v>#REF!</v>
      </c>
      <c r="C27" s="59" t="e">
        <f>IF(C25&lt;80%,0,IF(C25&lt;90%,0.5,IF(C25&lt;95%,0.75,1)))</f>
        <v>#REF!</v>
      </c>
      <c r="D27" s="59" t="e">
        <f>IF(D25&lt;80%,0,IF(D25&lt;90%,0.5,IF(D25&lt;95%,0.75,1)))</f>
        <v>#REF!</v>
      </c>
      <c r="E27" s="161"/>
      <c r="F27" s="59" t="e">
        <f>IF(F25&lt;80%,0,IF(F25&lt;90%,0.5,IF(F25&lt;95%,0.75,1)))</f>
        <v>#REF!</v>
      </c>
      <c r="G27" s="59" t="e">
        <f>IF(G25&lt;80%,0,IF(G25&lt;90%,0.5,IF(G25&lt;95%,0.75,1)))</f>
        <v>#REF!</v>
      </c>
      <c r="H27" s="59" t="e">
        <f>IF(H25&lt;80%,0,IF(H25&lt;90%,0.5,IF(H25&lt;95%,0.75,1)))</f>
        <v>#REF!</v>
      </c>
      <c r="I27" s="161"/>
      <c r="J27" s="59" t="e">
        <f>IF(J25&lt;80%,0,IF(J25&lt;90%,0.5,IF(J25&lt;95%,0.75,1)))</f>
        <v>#REF!</v>
      </c>
      <c r="K27" s="59" t="e">
        <f>IF(K25&lt;80%,0,IF(K25&lt;90%,0.5,IF(K25&lt;95%,0.75,1)))</f>
        <v>#REF!</v>
      </c>
      <c r="L27" s="59" t="e">
        <f>IF(L25&lt;80%,0,IF(L25&lt;90%,0.5,IF(L25&lt;95%,0.75,1)))</f>
        <v>#REF!</v>
      </c>
      <c r="M27" s="161"/>
      <c r="N27" s="59" t="e">
        <f>IF(N25&lt;80%,0,IF(N25&lt;90%,0.5,IF(N25&lt;95%,0.75,1)))</f>
        <v>#REF!</v>
      </c>
      <c r="O27" s="59" t="e">
        <f>IF(O25&lt;80%,0,IF(O25&lt;90%,0.5,IF(O25&lt;95%,0.75,1)))</f>
        <v>#REF!</v>
      </c>
      <c r="P27" s="59" t="e">
        <f>IF(P25&lt;80%,0,IF(P25&lt;90%,0.5,IF(P25&lt;95%,0.75,1)))</f>
        <v>#REF!</v>
      </c>
      <c r="Q27" s="161"/>
      <c r="R27" s="100"/>
      <c r="S27" s="11"/>
    </row>
    <row r="28" spans="1:19" s="19" customFormat="1" ht="15" customHeight="1">
      <c r="A28" s="43" t="s">
        <v>54</v>
      </c>
      <c r="B28" s="58" t="e">
        <f>B27*B26</f>
        <v>#REF!</v>
      </c>
      <c r="C28" s="58" t="e">
        <f>C27*C26</f>
        <v>#REF!</v>
      </c>
      <c r="D28" s="58" t="e">
        <f>D27*D26</f>
        <v>#REF!</v>
      </c>
      <c r="E28" s="164"/>
      <c r="F28" s="58" t="e">
        <f>F27*F26</f>
        <v>#REF!</v>
      </c>
      <c r="G28" s="58" t="e">
        <f>G27*G26</f>
        <v>#REF!</v>
      </c>
      <c r="H28" s="58" t="e">
        <f>H27*H26</f>
        <v>#REF!</v>
      </c>
      <c r="I28" s="164"/>
      <c r="J28" s="58" t="e">
        <f>J27*J26</f>
        <v>#REF!</v>
      </c>
      <c r="K28" s="58" t="e">
        <f>K27*K26</f>
        <v>#REF!</v>
      </c>
      <c r="L28" s="58" t="e">
        <f>L27*L26</f>
        <v>#REF!</v>
      </c>
      <c r="M28" s="164"/>
      <c r="N28" s="58" t="e">
        <f>N27*N26</f>
        <v>#REF!</v>
      </c>
      <c r="O28" s="58" t="e">
        <f>O27*O26</f>
        <v>#REF!</v>
      </c>
      <c r="P28" s="58" t="e">
        <f>P27*P26</f>
        <v>#REF!</v>
      </c>
      <c r="Q28" s="164"/>
      <c r="R28" s="104"/>
    </row>
    <row r="29" spans="1:19" s="18" customFormat="1" ht="15" customHeight="1">
      <c r="A29" s="17" t="s">
        <v>49</v>
      </c>
      <c r="B29" s="57" t="e">
        <f>B12</f>
        <v>#REF!</v>
      </c>
      <c r="C29" s="57" t="e">
        <f>C12</f>
        <v>#REF!</v>
      </c>
      <c r="D29" s="57" t="e">
        <f>D12</f>
        <v>#REF!</v>
      </c>
      <c r="E29" s="160"/>
      <c r="F29" s="57" t="e">
        <f>F12</f>
        <v>#REF!</v>
      </c>
      <c r="G29" s="57" t="e">
        <f>G12</f>
        <v>#REF!</v>
      </c>
      <c r="H29" s="57" t="e">
        <f>H12</f>
        <v>#REF!</v>
      </c>
      <c r="I29" s="160"/>
      <c r="J29" s="57" t="e">
        <f>J12</f>
        <v>#REF!</v>
      </c>
      <c r="K29" s="57" t="e">
        <f>K12</f>
        <v>#REF!</v>
      </c>
      <c r="L29" s="57" t="e">
        <f>L12</f>
        <v>#REF!</v>
      </c>
      <c r="M29" s="160"/>
      <c r="N29" s="57" t="e">
        <f>N12</f>
        <v>#REF!</v>
      </c>
      <c r="O29" s="57" t="e">
        <f>O12</f>
        <v>#REF!</v>
      </c>
      <c r="P29" s="57" t="e">
        <f>P12</f>
        <v>#REF!</v>
      </c>
      <c r="Q29" s="160"/>
      <c r="R29" s="100"/>
    </row>
    <row r="30" spans="1:19" s="18" customFormat="1" ht="15" customHeight="1">
      <c r="A30" s="32" t="s">
        <v>55</v>
      </c>
      <c r="B30" s="59">
        <f>B14</f>
        <v>0</v>
      </c>
      <c r="C30" s="59">
        <f>C14</f>
        <v>0</v>
      </c>
      <c r="D30" s="59">
        <f>D14</f>
        <v>0</v>
      </c>
      <c r="E30" s="161"/>
      <c r="F30" s="59">
        <f>F14</f>
        <v>0</v>
      </c>
      <c r="G30" s="59">
        <f>G14</f>
        <v>0</v>
      </c>
      <c r="H30" s="59">
        <f>H14</f>
        <v>0</v>
      </c>
      <c r="I30" s="161"/>
      <c r="J30" s="59">
        <f>J14</f>
        <v>0</v>
      </c>
      <c r="K30" s="59">
        <f>K14</f>
        <v>0</v>
      </c>
      <c r="L30" s="59">
        <f>L14</f>
        <v>0</v>
      </c>
      <c r="M30" s="161"/>
      <c r="N30" s="59">
        <f>N14</f>
        <v>0</v>
      </c>
      <c r="O30" s="59">
        <f>O14</f>
        <v>0</v>
      </c>
      <c r="P30" s="59">
        <f>P14</f>
        <v>0</v>
      </c>
      <c r="Q30" s="161"/>
      <c r="R30" s="100"/>
    </row>
    <row r="31" spans="1:19" s="20" customFormat="1" ht="15" customHeight="1">
      <c r="A31" s="32" t="s">
        <v>56</v>
      </c>
      <c r="B31" s="102" t="e">
        <f>B30/B29</f>
        <v>#REF!</v>
      </c>
      <c r="C31" s="102" t="e">
        <f>C30/C29</f>
        <v>#REF!</v>
      </c>
      <c r="D31" s="102" t="e">
        <f>D30/D29</f>
        <v>#REF!</v>
      </c>
      <c r="E31" s="162"/>
      <c r="F31" s="102" t="e">
        <f>F30/F29</f>
        <v>#REF!</v>
      </c>
      <c r="G31" s="102" t="e">
        <f>G30/G29</f>
        <v>#REF!</v>
      </c>
      <c r="H31" s="102" t="e">
        <f>H30/H29</f>
        <v>#REF!</v>
      </c>
      <c r="I31" s="162"/>
      <c r="J31" s="102" t="e">
        <f>J30/J29</f>
        <v>#REF!</v>
      </c>
      <c r="K31" s="102" t="e">
        <f>K30/K29</f>
        <v>#REF!</v>
      </c>
      <c r="L31" s="102" t="e">
        <f>L30/L29</f>
        <v>#REF!</v>
      </c>
      <c r="M31" s="162"/>
      <c r="N31" s="102" t="e">
        <f>N30/N29</f>
        <v>#REF!</v>
      </c>
      <c r="O31" s="102" t="e">
        <f>O30/O29</f>
        <v>#REF!</v>
      </c>
      <c r="P31" s="102" t="e">
        <f>P30/P29</f>
        <v>#REF!</v>
      </c>
      <c r="Q31" s="162"/>
      <c r="R31" s="100"/>
    </row>
    <row r="32" spans="1:19" s="20" customFormat="1" ht="15" customHeight="1">
      <c r="A32" s="65" t="s">
        <v>61</v>
      </c>
      <c r="B32" s="59">
        <f>B22*0.15</f>
        <v>517.5</v>
      </c>
      <c r="C32" s="59">
        <f>C22*0.15</f>
        <v>517.5</v>
      </c>
      <c r="D32" s="59">
        <f>D22*0.15</f>
        <v>517.5</v>
      </c>
      <c r="E32" s="161"/>
      <c r="F32" s="59">
        <f>F22*0.15</f>
        <v>517.5</v>
      </c>
      <c r="G32" s="59">
        <f>G22*0.15</f>
        <v>517.5</v>
      </c>
      <c r="H32" s="59">
        <f>H22*0.15</f>
        <v>517.5</v>
      </c>
      <c r="I32" s="161"/>
      <c r="J32" s="59">
        <f>J22*0.15</f>
        <v>517.5</v>
      </c>
      <c r="K32" s="59">
        <f>K22*0.15</f>
        <v>517.5</v>
      </c>
      <c r="L32" s="59">
        <f>L22*0.15</f>
        <v>517.5</v>
      </c>
      <c r="M32" s="161"/>
      <c r="N32" s="59">
        <f>N22*0.15</f>
        <v>517.5</v>
      </c>
      <c r="O32" s="59">
        <f>O22*0.15</f>
        <v>517.5</v>
      </c>
      <c r="P32" s="59">
        <f>P22*0.15</f>
        <v>517.5</v>
      </c>
      <c r="Q32" s="161"/>
      <c r="R32" s="100"/>
    </row>
    <row r="33" spans="1:19" s="30" customFormat="1" ht="15" customHeight="1">
      <c r="A33" s="32" t="s">
        <v>57</v>
      </c>
      <c r="B33" s="63" t="e">
        <f>IF(B31&lt;80%,0,IF(B31&lt;90%,0.5,IF(B31&lt;95%,0.75,1)))</f>
        <v>#REF!</v>
      </c>
      <c r="C33" s="63" t="e">
        <f>IF(C31&lt;80%,0,IF(C31&lt;90%,0.5,IF(C31&lt;95%,0.75,1)))</f>
        <v>#REF!</v>
      </c>
      <c r="D33" s="63" t="e">
        <f>IF(D31&lt;80%,0,IF(D31&lt;90%,0.5,IF(D31&lt;95%,0.75,1)))</f>
        <v>#REF!</v>
      </c>
      <c r="E33" s="163"/>
      <c r="F33" s="63" t="e">
        <f>IF(F31&lt;80%,0,IF(F31&lt;90%,0.5,IF(F31&lt;95%,0.75,1)))</f>
        <v>#REF!</v>
      </c>
      <c r="G33" s="63" t="e">
        <f>IF(G31&lt;80%,0,IF(G31&lt;90%,0.5,IF(G31&lt;95%,0.75,1)))</f>
        <v>#REF!</v>
      </c>
      <c r="H33" s="63" t="e">
        <f>IF(H31&lt;80%,0,IF(H31&lt;90%,0.5,IF(H31&lt;95%,0.75,1)))</f>
        <v>#REF!</v>
      </c>
      <c r="I33" s="163"/>
      <c r="J33" s="63" t="e">
        <f>IF(J31&lt;80%,0,IF(J31&lt;90%,0.5,IF(J31&lt;95%,0.75,1)))</f>
        <v>#REF!</v>
      </c>
      <c r="K33" s="63" t="e">
        <f>IF(K31&lt;80%,0,IF(K31&lt;90%,0.5,IF(K31&lt;95%,0.75,1)))</f>
        <v>#REF!</v>
      </c>
      <c r="L33" s="63" t="e">
        <f>IF(L31&lt;80%,0,IF(L31&lt;90%,0.5,IF(L31&lt;95%,0.75,1)))</f>
        <v>#REF!</v>
      </c>
      <c r="M33" s="163"/>
      <c r="N33" s="63" t="e">
        <f>IF(N31&lt;80%,0,IF(N31&lt;90%,0.5,IF(N31&lt;95%,0.75,1)))</f>
        <v>#REF!</v>
      </c>
      <c r="O33" s="63" t="e">
        <f>IF(O31&lt;80%,0,IF(O31&lt;90%,0.5,IF(O31&lt;95%,0.75,1)))</f>
        <v>#REF!</v>
      </c>
      <c r="P33" s="63" t="e">
        <f>IF(P31&lt;80%,0,IF(P31&lt;90%,0.5,IF(P31&lt;95%,0.75,1)))</f>
        <v>#REF!</v>
      </c>
      <c r="Q33" s="163"/>
      <c r="R33" s="100"/>
    </row>
    <row r="34" spans="1:19" s="18" customFormat="1" ht="15" customHeight="1">
      <c r="A34" s="43" t="s">
        <v>58</v>
      </c>
      <c r="B34" s="58" t="e">
        <f>B33*B32</f>
        <v>#REF!</v>
      </c>
      <c r="C34" s="58" t="e">
        <f>C33*C32</f>
        <v>#REF!</v>
      </c>
      <c r="D34" s="58" t="e">
        <f>D33*D32</f>
        <v>#REF!</v>
      </c>
      <c r="E34" s="164"/>
      <c r="F34" s="58" t="e">
        <f>F33*F32</f>
        <v>#REF!</v>
      </c>
      <c r="G34" s="58" t="e">
        <f>G33*G32</f>
        <v>#REF!</v>
      </c>
      <c r="H34" s="58" t="e">
        <f>H33*H32</f>
        <v>#REF!</v>
      </c>
      <c r="I34" s="164"/>
      <c r="J34" s="58" t="e">
        <f>J33*J32</f>
        <v>#REF!</v>
      </c>
      <c r="K34" s="58" t="e">
        <f>K33*K32</f>
        <v>#REF!</v>
      </c>
      <c r="L34" s="58" t="e">
        <f>L33*L32</f>
        <v>#REF!</v>
      </c>
      <c r="M34" s="164"/>
      <c r="N34" s="58" t="e">
        <f>N33*N32</f>
        <v>#REF!</v>
      </c>
      <c r="O34" s="58" t="e">
        <f>O33*O32</f>
        <v>#REF!</v>
      </c>
      <c r="P34" s="58" t="e">
        <f>P33*P32</f>
        <v>#REF!</v>
      </c>
      <c r="Q34" s="164"/>
      <c r="R34" s="104"/>
    </row>
    <row r="35" spans="1:19" s="20" customFormat="1" ht="15" customHeight="1">
      <c r="A35" s="17" t="s">
        <v>34</v>
      </c>
      <c r="B35" s="57">
        <v>1</v>
      </c>
      <c r="C35" s="57">
        <v>1</v>
      </c>
      <c r="D35" s="57">
        <v>1</v>
      </c>
      <c r="E35" s="160"/>
      <c r="F35" s="57">
        <v>1</v>
      </c>
      <c r="G35" s="57">
        <v>1</v>
      </c>
      <c r="H35" s="57">
        <v>1</v>
      </c>
      <c r="I35" s="160"/>
      <c r="J35" s="57">
        <v>1</v>
      </c>
      <c r="K35" s="57">
        <v>1</v>
      </c>
      <c r="L35" s="57">
        <v>1</v>
      </c>
      <c r="M35" s="160"/>
      <c r="N35" s="57">
        <v>1</v>
      </c>
      <c r="O35" s="57">
        <v>1</v>
      </c>
      <c r="P35" s="57">
        <v>1</v>
      </c>
      <c r="Q35" s="160"/>
      <c r="R35" s="105"/>
    </row>
    <row r="36" spans="1:19" s="20" customFormat="1" ht="15" customHeight="1">
      <c r="A36" s="38" t="s">
        <v>59</v>
      </c>
      <c r="B36" s="106">
        <f>B22*0.05</f>
        <v>172.5</v>
      </c>
      <c r="C36" s="106">
        <f>C22*0.05</f>
        <v>172.5</v>
      </c>
      <c r="D36" s="106">
        <f>D22*0.05</f>
        <v>172.5</v>
      </c>
      <c r="E36" s="165"/>
      <c r="F36" s="106">
        <f>F22*0.05</f>
        <v>172.5</v>
      </c>
      <c r="G36" s="106">
        <f>G22*0.05</f>
        <v>172.5</v>
      </c>
      <c r="H36" s="106">
        <f>H22*0.05</f>
        <v>172.5</v>
      </c>
      <c r="I36" s="165"/>
      <c r="J36" s="106">
        <f>J22*0.05</f>
        <v>172.5</v>
      </c>
      <c r="K36" s="106">
        <f>K22*0.05</f>
        <v>172.5</v>
      </c>
      <c r="L36" s="106">
        <f>L22*0.05</f>
        <v>172.5</v>
      </c>
      <c r="M36" s="165"/>
      <c r="N36" s="106">
        <f>N22*0.05</f>
        <v>172.5</v>
      </c>
      <c r="O36" s="106">
        <f>O22*0.05</f>
        <v>172.5</v>
      </c>
      <c r="P36" s="106">
        <f>P22*0.05</f>
        <v>172.5</v>
      </c>
      <c r="Q36" s="165"/>
      <c r="R36" s="103"/>
    </row>
    <row r="37" spans="1:19" s="30" customFormat="1" ht="15" customHeight="1">
      <c r="A37" s="32" t="s">
        <v>62</v>
      </c>
      <c r="B37" s="59"/>
      <c r="C37" s="59"/>
      <c r="D37" s="59"/>
      <c r="E37" s="161"/>
      <c r="F37" s="59">
        <v>1</v>
      </c>
      <c r="G37" s="59">
        <v>1</v>
      </c>
      <c r="H37" s="59"/>
      <c r="I37" s="161"/>
      <c r="J37" s="59">
        <v>1</v>
      </c>
      <c r="K37" s="59">
        <v>1</v>
      </c>
      <c r="L37" s="59">
        <v>1</v>
      </c>
      <c r="M37" s="161"/>
      <c r="N37" s="59">
        <v>1</v>
      </c>
      <c r="O37" s="59">
        <v>1</v>
      </c>
      <c r="P37" s="59">
        <v>1</v>
      </c>
      <c r="Q37" s="161"/>
      <c r="R37" s="100"/>
    </row>
    <row r="38" spans="1:19" s="19" customFormat="1" ht="15" customHeight="1">
      <c r="A38" s="48" t="s">
        <v>63</v>
      </c>
      <c r="B38" s="58">
        <f>B37*B36</f>
        <v>0</v>
      </c>
      <c r="C38" s="58">
        <f>C37*C36</f>
        <v>0</v>
      </c>
      <c r="D38" s="58">
        <f>D37*D36</f>
        <v>0</v>
      </c>
      <c r="E38" s="164"/>
      <c r="F38" s="58">
        <f>F37*F36</f>
        <v>172.5</v>
      </c>
      <c r="G38" s="58">
        <f>G37*G36</f>
        <v>172.5</v>
      </c>
      <c r="H38" s="58">
        <f>H37*H36</f>
        <v>0</v>
      </c>
      <c r="I38" s="164"/>
      <c r="J38" s="58">
        <f>J37*J36</f>
        <v>172.5</v>
      </c>
      <c r="K38" s="58">
        <f>K37*K36</f>
        <v>172.5</v>
      </c>
      <c r="L38" s="58">
        <f>L37*L36</f>
        <v>172.5</v>
      </c>
      <c r="M38" s="164"/>
      <c r="N38" s="58">
        <f>N37*N36</f>
        <v>172.5</v>
      </c>
      <c r="O38" s="58">
        <f>O37*O36</f>
        <v>172.5</v>
      </c>
      <c r="P38" s="58">
        <f>P37*P36</f>
        <v>172.5</v>
      </c>
      <c r="Q38" s="164"/>
      <c r="R38" s="107"/>
      <c r="S38" s="13"/>
    </row>
    <row r="39" spans="1:19" s="35" customFormat="1" ht="15" customHeight="1">
      <c r="A39" s="41" t="s">
        <v>67</v>
      </c>
      <c r="B39" s="61" t="e">
        <f>B34+B28+B38</f>
        <v>#REF!</v>
      </c>
      <c r="C39" s="61" t="e">
        <f>C34+C28+C38</f>
        <v>#REF!</v>
      </c>
      <c r="D39" s="61" t="e">
        <f>D34+D28+D38</f>
        <v>#REF!</v>
      </c>
      <c r="E39" s="166"/>
      <c r="F39" s="61" t="e">
        <f>F34+F28+F38</f>
        <v>#REF!</v>
      </c>
      <c r="G39" s="61" t="e">
        <f>G34+G28+G38</f>
        <v>#REF!</v>
      </c>
      <c r="H39" s="61" t="e">
        <f>H34+H28+H38</f>
        <v>#REF!</v>
      </c>
      <c r="I39" s="166"/>
      <c r="J39" s="61" t="e">
        <f>J34+J28+J38</f>
        <v>#REF!</v>
      </c>
      <c r="K39" s="61" t="e">
        <f>K34+K28+K38+129.37</f>
        <v>#REF!</v>
      </c>
      <c r="L39" s="61" t="e">
        <f>L34+L28+L38</f>
        <v>#REF!</v>
      </c>
      <c r="M39" s="166"/>
      <c r="N39" s="61" t="e">
        <f>N34+N28+N38</f>
        <v>#REF!</v>
      </c>
      <c r="O39" s="61" t="e">
        <f>O34+O28+O38</f>
        <v>#REF!</v>
      </c>
      <c r="P39" s="61" t="e">
        <f>P34+P28+P38</f>
        <v>#REF!</v>
      </c>
      <c r="Q39" s="166"/>
      <c r="R39" s="108"/>
      <c r="S39" s="15"/>
    </row>
    <row r="40" spans="1:19" s="18" customFormat="1" ht="15" customHeight="1">
      <c r="A40" s="99" t="s">
        <v>115</v>
      </c>
      <c r="B40" s="774" t="e">
        <f>D5</f>
        <v>#REF!</v>
      </c>
      <c r="C40" s="775"/>
      <c r="D40" s="775"/>
      <c r="E40" s="808"/>
      <c r="F40" s="774" t="e">
        <f>H5</f>
        <v>#REF!</v>
      </c>
      <c r="G40" s="775"/>
      <c r="H40" s="775"/>
      <c r="I40" s="808"/>
      <c r="J40" s="774" t="e">
        <f>L5</f>
        <v>#REF!</v>
      </c>
      <c r="K40" s="775"/>
      <c r="L40" s="775"/>
      <c r="M40" s="808"/>
      <c r="N40" s="774" t="e">
        <f>P5</f>
        <v>#REF!</v>
      </c>
      <c r="O40" s="775"/>
      <c r="P40" s="775"/>
      <c r="Q40" s="808"/>
      <c r="R40" s="103"/>
    </row>
    <row r="41" spans="1:19" s="30" customFormat="1" ht="15" customHeight="1">
      <c r="A41" s="101" t="s">
        <v>69</v>
      </c>
      <c r="B41" s="831">
        <f>D7</f>
        <v>0</v>
      </c>
      <c r="C41" s="832"/>
      <c r="D41" s="832"/>
      <c r="E41" s="808"/>
      <c r="F41" s="831">
        <f>H7</f>
        <v>0</v>
      </c>
      <c r="G41" s="832"/>
      <c r="H41" s="832"/>
      <c r="I41" s="808"/>
      <c r="J41" s="831">
        <f>L7</f>
        <v>0</v>
      </c>
      <c r="K41" s="832"/>
      <c r="L41" s="832"/>
      <c r="M41" s="808"/>
      <c r="N41" s="831">
        <f>P7</f>
        <v>0</v>
      </c>
      <c r="O41" s="832"/>
      <c r="P41" s="832"/>
      <c r="Q41" s="808"/>
      <c r="R41" s="103"/>
    </row>
    <row r="42" spans="1:19" s="18" customFormat="1" ht="15" customHeight="1">
      <c r="A42" s="101" t="s">
        <v>68</v>
      </c>
      <c r="B42" s="833" t="e">
        <f>B41/B40</f>
        <v>#REF!</v>
      </c>
      <c r="C42" s="834"/>
      <c r="D42" s="834"/>
      <c r="E42" s="808"/>
      <c r="F42" s="833" t="e">
        <f>F41/F40</f>
        <v>#REF!</v>
      </c>
      <c r="G42" s="834"/>
      <c r="H42" s="834"/>
      <c r="I42" s="808"/>
      <c r="J42" s="833" t="e">
        <f>J41/J40</f>
        <v>#REF!</v>
      </c>
      <c r="K42" s="834"/>
      <c r="L42" s="834"/>
      <c r="M42" s="808"/>
      <c r="N42" s="833" t="e">
        <f>N41/N40</f>
        <v>#REF!</v>
      </c>
      <c r="O42" s="834"/>
      <c r="P42" s="834"/>
      <c r="Q42" s="808"/>
      <c r="R42" s="109"/>
    </row>
    <row r="43" spans="1:19" s="19" customFormat="1" ht="15" customHeight="1">
      <c r="A43" s="101" t="s">
        <v>65</v>
      </c>
      <c r="B43" s="829">
        <f>D22</f>
        <v>3450</v>
      </c>
      <c r="C43" s="830"/>
      <c r="D43" s="830"/>
      <c r="E43" s="808"/>
      <c r="F43" s="829">
        <f>H22</f>
        <v>3450</v>
      </c>
      <c r="G43" s="830"/>
      <c r="H43" s="830"/>
      <c r="I43" s="808"/>
      <c r="J43" s="829">
        <f>L22</f>
        <v>3450</v>
      </c>
      <c r="K43" s="830"/>
      <c r="L43" s="830"/>
      <c r="M43" s="808"/>
      <c r="N43" s="829">
        <f>P22</f>
        <v>3450</v>
      </c>
      <c r="O43" s="830"/>
      <c r="P43" s="830"/>
      <c r="Q43" s="808"/>
      <c r="R43" s="103"/>
    </row>
    <row r="44" spans="1:19" s="30" customFormat="1" ht="15" customHeight="1">
      <c r="A44" s="65" t="s">
        <v>66</v>
      </c>
      <c r="B44" s="789" t="e">
        <f>IF(B42&lt;100%,0,IF(B42&lt;110%,0.5,1))</f>
        <v>#REF!</v>
      </c>
      <c r="C44" s="790"/>
      <c r="D44" s="790"/>
      <c r="E44" s="779"/>
      <c r="F44" s="789" t="e">
        <f>IF(F42&lt;100%,0,IF(F42&lt;110%,0.5,1))</f>
        <v>#REF!</v>
      </c>
      <c r="G44" s="790"/>
      <c r="H44" s="790"/>
      <c r="I44" s="779"/>
      <c r="J44" s="789" t="e">
        <f>IF(J42&lt;100%,0,IF(J42&lt;110%,0.5,1))</f>
        <v>#REF!</v>
      </c>
      <c r="K44" s="790"/>
      <c r="L44" s="790"/>
      <c r="M44" s="779"/>
      <c r="N44" s="789" t="e">
        <f>IF(N42&lt;100%,0,IF(N42&lt;110%,0.5,1))</f>
        <v>#REF!</v>
      </c>
      <c r="O44" s="790"/>
      <c r="P44" s="790"/>
      <c r="Q44" s="779"/>
      <c r="R44" s="110"/>
    </row>
    <row r="45" spans="1:19" s="18" customFormat="1" ht="15" customHeight="1">
      <c r="A45" s="41" t="s">
        <v>64</v>
      </c>
      <c r="B45" s="787" t="e">
        <f>B44*B43</f>
        <v>#REF!</v>
      </c>
      <c r="C45" s="788"/>
      <c r="D45" s="788"/>
      <c r="E45" s="779"/>
      <c r="F45" s="787" t="e">
        <f>F44*F43</f>
        <v>#REF!</v>
      </c>
      <c r="G45" s="788"/>
      <c r="H45" s="788"/>
      <c r="I45" s="779"/>
      <c r="J45" s="787" t="e">
        <f>J44*J43</f>
        <v>#REF!</v>
      </c>
      <c r="K45" s="788"/>
      <c r="L45" s="788"/>
      <c r="M45" s="779"/>
      <c r="N45" s="787" t="e">
        <f>N44*N43</f>
        <v>#REF!</v>
      </c>
      <c r="O45" s="788"/>
      <c r="P45" s="788"/>
      <c r="Q45" s="779"/>
      <c r="R45" s="111"/>
    </row>
    <row r="46" spans="1:19" s="18" customFormat="1" ht="15" customHeight="1" thickBot="1">
      <c r="A46" s="46"/>
      <c r="B46" s="47"/>
      <c r="C46" s="47"/>
      <c r="D46" s="47"/>
      <c r="E46" s="113"/>
      <c r="F46" s="47"/>
      <c r="G46" s="47"/>
      <c r="H46" s="47"/>
      <c r="I46" s="113"/>
      <c r="J46" s="47"/>
      <c r="K46" s="47"/>
      <c r="L46" s="47"/>
      <c r="M46" s="113"/>
      <c r="N46" s="47"/>
      <c r="O46" s="47"/>
      <c r="P46" s="47"/>
      <c r="Q46" s="113"/>
      <c r="R46" s="114"/>
    </row>
    <row r="47" spans="1:19" ht="13.8" thickBot="1">
      <c r="A47" s="272" t="s">
        <v>91</v>
      </c>
      <c r="B47" s="297" t="s">
        <v>92</v>
      </c>
      <c r="C47" s="297" t="s">
        <v>11</v>
      </c>
      <c r="D47" s="297" t="s">
        <v>12</v>
      </c>
      <c r="E47" s="281" t="s">
        <v>93</v>
      </c>
      <c r="F47" s="347" t="s">
        <v>7</v>
      </c>
      <c r="G47" s="347" t="s">
        <v>8</v>
      </c>
      <c r="H47" s="297" t="s">
        <v>9</v>
      </c>
      <c r="I47" s="281" t="s">
        <v>93</v>
      </c>
      <c r="J47" s="283" t="s">
        <v>4</v>
      </c>
      <c r="K47" s="283" t="s">
        <v>5</v>
      </c>
      <c r="L47" s="283" t="s">
        <v>6</v>
      </c>
      <c r="M47" s="281" t="s">
        <v>93</v>
      </c>
      <c r="N47" s="283" t="s">
        <v>1</v>
      </c>
      <c r="O47" s="283" t="s">
        <v>2</v>
      </c>
      <c r="P47" s="283" t="s">
        <v>3</v>
      </c>
      <c r="Q47" s="281" t="s">
        <v>93</v>
      </c>
      <c r="R47" s="281" t="s">
        <v>93</v>
      </c>
    </row>
    <row r="48" spans="1:19" ht="13.8" thickTop="1">
      <c r="A48" s="273" t="s">
        <v>94</v>
      </c>
      <c r="B48" s="129"/>
      <c r="C48" s="129"/>
      <c r="D48" s="129"/>
      <c r="E48" s="282">
        <f>SUM(B48:D48)</f>
        <v>0</v>
      </c>
      <c r="F48" s="340"/>
      <c r="G48" s="340"/>
      <c r="H48" s="129"/>
      <c r="I48" s="282">
        <f>SUM(F48:H48)</f>
        <v>0</v>
      </c>
      <c r="J48" s="129"/>
      <c r="K48" s="129"/>
      <c r="L48" s="129"/>
      <c r="M48" s="282">
        <f>SUM(J48:L48)</f>
        <v>0</v>
      </c>
      <c r="N48" s="129"/>
      <c r="O48" s="129"/>
      <c r="P48" s="129"/>
      <c r="Q48" s="282">
        <f>SUM(N48:P48)</f>
        <v>0</v>
      </c>
      <c r="R48" s="282">
        <f>M48+I48+E48+Q48</f>
        <v>0</v>
      </c>
      <c r="S48" s="50"/>
    </row>
    <row r="49" spans="1:19">
      <c r="A49" s="274" t="s">
        <v>95</v>
      </c>
      <c r="B49" s="130"/>
      <c r="C49" s="130"/>
      <c r="D49" s="130"/>
      <c r="E49" s="170"/>
      <c r="F49" s="339"/>
      <c r="G49" s="339"/>
      <c r="H49" s="130"/>
      <c r="I49" s="170"/>
      <c r="J49" s="130"/>
      <c r="K49" s="130"/>
      <c r="L49" s="130"/>
      <c r="M49" s="170"/>
      <c r="N49" s="130"/>
      <c r="O49" s="130"/>
      <c r="P49" s="130"/>
      <c r="Q49" s="170"/>
      <c r="R49" s="170"/>
      <c r="S49" s="50"/>
    </row>
    <row r="50" spans="1:19">
      <c r="A50" s="274" t="s">
        <v>96</v>
      </c>
      <c r="B50" s="130"/>
      <c r="C50" s="130"/>
      <c r="D50" s="130"/>
      <c r="E50" s="170"/>
      <c r="F50" s="339"/>
      <c r="G50" s="339"/>
      <c r="H50" s="130"/>
      <c r="I50" s="170"/>
      <c r="J50" s="130"/>
      <c r="K50" s="130"/>
      <c r="L50" s="130"/>
      <c r="M50" s="170"/>
      <c r="N50" s="130"/>
      <c r="O50" s="130"/>
      <c r="P50" s="130"/>
      <c r="Q50" s="170"/>
      <c r="R50" s="170"/>
      <c r="S50" s="50"/>
    </row>
    <row r="51" spans="1:19">
      <c r="A51" s="274" t="s">
        <v>125</v>
      </c>
      <c r="B51" s="130"/>
      <c r="C51" s="130"/>
      <c r="D51" s="130"/>
      <c r="E51" s="170"/>
      <c r="F51" s="339"/>
      <c r="G51" s="339"/>
      <c r="H51" s="130"/>
      <c r="I51" s="170"/>
      <c r="J51" s="130"/>
      <c r="K51" s="130"/>
      <c r="L51" s="130"/>
      <c r="M51" s="170"/>
      <c r="N51" s="130"/>
      <c r="O51" s="130"/>
      <c r="P51" s="130"/>
      <c r="Q51" s="170"/>
      <c r="R51" s="170"/>
      <c r="S51" s="50"/>
    </row>
    <row r="52" spans="1:19">
      <c r="A52" s="274" t="s">
        <v>97</v>
      </c>
      <c r="B52" s="298"/>
      <c r="C52" s="298"/>
      <c r="D52" s="298"/>
      <c r="E52" s="171"/>
      <c r="F52" s="348"/>
      <c r="G52" s="348"/>
      <c r="H52" s="298"/>
      <c r="I52" s="171"/>
      <c r="J52" s="324"/>
      <c r="K52" s="324"/>
      <c r="L52" s="324"/>
      <c r="M52" s="171"/>
      <c r="N52" s="324"/>
      <c r="O52" s="324"/>
      <c r="P52" s="324"/>
      <c r="Q52" s="171"/>
      <c r="R52" s="171"/>
      <c r="S52" s="50"/>
    </row>
    <row r="53" spans="1:19" ht="13.8" thickBot="1">
      <c r="A53" s="275" t="s">
        <v>98</v>
      </c>
      <c r="B53" s="131"/>
      <c r="C53" s="131"/>
      <c r="D53" s="131"/>
      <c r="E53" s="282">
        <f t="shared" ref="E53:E54" si="12">SUM(B53:D53)</f>
        <v>0</v>
      </c>
      <c r="F53" s="341"/>
      <c r="G53" s="341"/>
      <c r="H53" s="131"/>
      <c r="I53" s="282">
        <f t="shared" ref="I53:I54" si="13">SUM(F53:H53)</f>
        <v>0</v>
      </c>
      <c r="J53" s="131"/>
      <c r="K53" s="131"/>
      <c r="L53" s="131"/>
      <c r="M53" s="282">
        <f t="shared" ref="M53:M54" si="14">SUM(J53:L53)</f>
        <v>0</v>
      </c>
      <c r="N53" s="131"/>
      <c r="O53" s="131"/>
      <c r="P53" s="131"/>
      <c r="Q53" s="282">
        <f t="shared" ref="Q53:Q54" si="15">SUM(N53:P53)</f>
        <v>0</v>
      </c>
      <c r="R53" s="282">
        <f>M53+I53+E53+Q53</f>
        <v>0</v>
      </c>
      <c r="S53" s="50"/>
    </row>
    <row r="54" spans="1:19" ht="13.8" thickTop="1">
      <c r="A54" s="276" t="s">
        <v>126</v>
      </c>
      <c r="B54" s="132"/>
      <c r="C54" s="132"/>
      <c r="D54" s="132"/>
      <c r="E54" s="282">
        <f t="shared" si="12"/>
        <v>0</v>
      </c>
      <c r="F54" s="342"/>
      <c r="G54" s="342"/>
      <c r="H54" s="132"/>
      <c r="I54" s="282">
        <f t="shared" si="13"/>
        <v>0</v>
      </c>
      <c r="J54" s="132"/>
      <c r="K54" s="132"/>
      <c r="L54" s="132"/>
      <c r="M54" s="282">
        <f t="shared" si="14"/>
        <v>0</v>
      </c>
      <c r="N54" s="132"/>
      <c r="O54" s="132"/>
      <c r="P54" s="132"/>
      <c r="Q54" s="282">
        <f t="shared" si="15"/>
        <v>0</v>
      </c>
      <c r="R54" s="282">
        <f>M54+I54+E54+Q54</f>
        <v>0</v>
      </c>
      <c r="S54" s="50"/>
    </row>
    <row r="55" spans="1:19">
      <c r="A55" s="274" t="s">
        <v>99</v>
      </c>
      <c r="B55" s="130"/>
      <c r="C55" s="130"/>
      <c r="D55" s="130"/>
      <c r="E55" s="172"/>
      <c r="F55" s="339"/>
      <c r="G55" s="339"/>
      <c r="H55" s="130"/>
      <c r="I55" s="172"/>
      <c r="J55" s="130"/>
      <c r="K55" s="130"/>
      <c r="L55" s="130"/>
      <c r="M55" s="172"/>
      <c r="N55" s="130"/>
      <c r="O55" s="130"/>
      <c r="P55" s="130"/>
      <c r="Q55" s="172"/>
      <c r="R55" s="172"/>
      <c r="S55" s="50"/>
    </row>
    <row r="56" spans="1:19">
      <c r="A56" s="274" t="s">
        <v>100</v>
      </c>
      <c r="B56" s="130"/>
      <c r="C56" s="130"/>
      <c r="D56" s="130"/>
      <c r="E56" s="282">
        <f t="shared" ref="E56:E60" si="16">SUM(B56:D56)</f>
        <v>0</v>
      </c>
      <c r="F56" s="339"/>
      <c r="G56" s="339"/>
      <c r="H56" s="130"/>
      <c r="I56" s="282">
        <f t="shared" ref="I56:I60" si="17">SUM(F56:H56)</f>
        <v>0</v>
      </c>
      <c r="J56" s="130"/>
      <c r="K56" s="130"/>
      <c r="L56" s="130"/>
      <c r="M56" s="282">
        <f t="shared" ref="M56:M60" si="18">SUM(J56:L56)</f>
        <v>0</v>
      </c>
      <c r="N56" s="130"/>
      <c r="O56" s="130"/>
      <c r="P56" s="130"/>
      <c r="Q56" s="282">
        <f t="shared" ref="Q56:Q60" si="19">SUM(N56:P56)</f>
        <v>0</v>
      </c>
      <c r="R56" s="282">
        <f>M56+I56+E56+Q56</f>
        <v>0</v>
      </c>
      <c r="S56" s="50"/>
    </row>
    <row r="57" spans="1:19" ht="13.8" thickBot="1">
      <c r="A57" s="277" t="s">
        <v>101</v>
      </c>
      <c r="B57" s="133"/>
      <c r="C57" s="133"/>
      <c r="D57" s="133"/>
      <c r="E57" s="282">
        <f t="shared" si="16"/>
        <v>0</v>
      </c>
      <c r="F57" s="343"/>
      <c r="G57" s="343"/>
      <c r="H57" s="133"/>
      <c r="I57" s="282">
        <f t="shared" si="17"/>
        <v>0</v>
      </c>
      <c r="J57" s="133"/>
      <c r="K57" s="133"/>
      <c r="L57" s="133"/>
      <c r="M57" s="282">
        <f t="shared" si="18"/>
        <v>0</v>
      </c>
      <c r="N57" s="133"/>
      <c r="O57" s="133"/>
      <c r="P57" s="133"/>
      <c r="Q57" s="282">
        <f t="shared" si="19"/>
        <v>0</v>
      </c>
      <c r="R57" s="282">
        <f>M57+I57+E57+Q57</f>
        <v>0</v>
      </c>
      <c r="S57" s="50"/>
    </row>
    <row r="58" spans="1:19" ht="13.8" thickTop="1">
      <c r="A58" s="273" t="s">
        <v>173</v>
      </c>
      <c r="B58" s="129"/>
      <c r="C58" s="129"/>
      <c r="D58" s="129"/>
      <c r="E58" s="282">
        <f t="shared" si="16"/>
        <v>0</v>
      </c>
      <c r="F58" s="340"/>
      <c r="G58" s="340"/>
      <c r="H58" s="129"/>
      <c r="I58" s="282">
        <f t="shared" si="17"/>
        <v>0</v>
      </c>
      <c r="J58" s="129"/>
      <c r="K58" s="129"/>
      <c r="L58" s="129"/>
      <c r="M58" s="282">
        <f t="shared" si="18"/>
        <v>0</v>
      </c>
      <c r="N58" s="129"/>
      <c r="O58" s="129"/>
      <c r="P58" s="129"/>
      <c r="Q58" s="282">
        <f t="shared" si="19"/>
        <v>0</v>
      </c>
      <c r="R58" s="282">
        <f>M58+I58+E58+Q58</f>
        <v>0</v>
      </c>
      <c r="S58" s="50"/>
    </row>
    <row r="59" spans="1:19" ht="13.8" thickBot="1">
      <c r="A59" s="275" t="s">
        <v>102</v>
      </c>
      <c r="B59" s="131"/>
      <c r="C59" s="131"/>
      <c r="D59" s="131"/>
      <c r="E59" s="282">
        <f t="shared" si="16"/>
        <v>0</v>
      </c>
      <c r="F59" s="341"/>
      <c r="G59" s="341"/>
      <c r="H59" s="131"/>
      <c r="I59" s="282">
        <f t="shared" si="17"/>
        <v>0</v>
      </c>
      <c r="J59" s="131"/>
      <c r="K59" s="131"/>
      <c r="L59" s="131"/>
      <c r="M59" s="282">
        <f t="shared" si="18"/>
        <v>0</v>
      </c>
      <c r="N59" s="131"/>
      <c r="O59" s="131"/>
      <c r="P59" s="131"/>
      <c r="Q59" s="282">
        <f t="shared" si="19"/>
        <v>0</v>
      </c>
      <c r="R59" s="282">
        <f>M59+I59+E59+Q59</f>
        <v>0</v>
      </c>
      <c r="S59" s="50"/>
    </row>
    <row r="60" spans="1:19" ht="14.4" thickTop="1" thickBot="1">
      <c r="A60" s="275" t="s">
        <v>103</v>
      </c>
      <c r="B60" s="131"/>
      <c r="C60" s="131"/>
      <c r="D60" s="131"/>
      <c r="E60" s="282">
        <f t="shared" si="16"/>
        <v>0</v>
      </c>
      <c r="F60" s="341"/>
      <c r="G60" s="341"/>
      <c r="H60" s="131"/>
      <c r="I60" s="282">
        <f t="shared" si="17"/>
        <v>0</v>
      </c>
      <c r="J60" s="131"/>
      <c r="K60" s="131"/>
      <c r="L60" s="131"/>
      <c r="M60" s="282">
        <f t="shared" si="18"/>
        <v>0</v>
      </c>
      <c r="N60" s="131"/>
      <c r="O60" s="131"/>
      <c r="P60" s="131"/>
      <c r="Q60" s="282">
        <f t="shared" si="19"/>
        <v>0</v>
      </c>
      <c r="R60" s="282">
        <f>M60+I60+E60+Q60</f>
        <v>0</v>
      </c>
      <c r="S60" s="50"/>
    </row>
    <row r="61" spans="1:19" ht="13.8" thickTop="1">
      <c r="A61" s="278" t="s">
        <v>104</v>
      </c>
      <c r="B61" s="135"/>
      <c r="C61" s="135"/>
      <c r="D61" s="135"/>
      <c r="E61" s="128"/>
      <c r="F61" s="344"/>
      <c r="G61" s="344"/>
      <c r="H61" s="168"/>
      <c r="I61" s="128"/>
      <c r="J61" s="135"/>
      <c r="K61" s="135"/>
      <c r="L61" s="135"/>
      <c r="M61" s="128"/>
      <c r="N61" s="135"/>
      <c r="O61" s="135"/>
      <c r="P61" s="135"/>
      <c r="Q61" s="128"/>
      <c r="R61" s="128"/>
      <c r="S61" s="50"/>
    </row>
    <row r="62" spans="1:19">
      <c r="A62" s="279" t="s">
        <v>105</v>
      </c>
      <c r="B62" s="136"/>
      <c r="C62" s="136"/>
      <c r="D62" s="136"/>
      <c r="E62" s="282">
        <f t="shared" ref="E62:E64" si="20">SUM(B62:D62)</f>
        <v>0</v>
      </c>
      <c r="F62" s="345"/>
      <c r="G62" s="345"/>
      <c r="H62" s="169"/>
      <c r="I62" s="282">
        <f t="shared" ref="I62:I64" si="21">SUM(F62:H62)</f>
        <v>0</v>
      </c>
      <c r="J62" s="136"/>
      <c r="K62" s="136"/>
      <c r="L62" s="136"/>
      <c r="M62" s="282">
        <f t="shared" ref="M62:M64" si="22">SUM(J62:L62)</f>
        <v>0</v>
      </c>
      <c r="N62" s="136"/>
      <c r="O62" s="136"/>
      <c r="P62" s="136"/>
      <c r="Q62" s="282">
        <f t="shared" ref="Q62:Q64" si="23">SUM(N62:P62)</f>
        <v>0</v>
      </c>
      <c r="R62" s="282">
        <f>M62+I62+E62+Q62</f>
        <v>0</v>
      </c>
      <c r="S62" s="50"/>
    </row>
    <row r="63" spans="1:19">
      <c r="A63" s="279" t="s">
        <v>106</v>
      </c>
      <c r="B63" s="136"/>
      <c r="C63" s="308"/>
      <c r="D63" s="310"/>
      <c r="E63" s="282">
        <f t="shared" si="20"/>
        <v>0</v>
      </c>
      <c r="F63" s="345"/>
      <c r="G63" s="345"/>
      <c r="H63" s="169"/>
      <c r="I63" s="282">
        <f t="shared" si="21"/>
        <v>0</v>
      </c>
      <c r="J63" s="136"/>
      <c r="K63" s="136"/>
      <c r="L63" s="136"/>
      <c r="M63" s="282">
        <f t="shared" si="22"/>
        <v>0</v>
      </c>
      <c r="N63" s="136"/>
      <c r="O63" s="136"/>
      <c r="P63" s="136"/>
      <c r="Q63" s="282">
        <f t="shared" si="23"/>
        <v>0</v>
      </c>
      <c r="R63" s="282">
        <f>M63+I63+E63+Q63</f>
        <v>0</v>
      </c>
      <c r="S63" s="50"/>
    </row>
    <row r="64" spans="1:19">
      <c r="A64" s="279" t="s">
        <v>107</v>
      </c>
      <c r="B64" s="136"/>
      <c r="C64" s="308"/>
      <c r="D64" s="310"/>
      <c r="E64" s="282">
        <f t="shared" si="20"/>
        <v>0</v>
      </c>
      <c r="F64" s="345"/>
      <c r="G64" s="345"/>
      <c r="H64" s="169"/>
      <c r="I64" s="282">
        <f t="shared" si="21"/>
        <v>0</v>
      </c>
      <c r="J64" s="136"/>
      <c r="K64" s="136"/>
      <c r="L64" s="136"/>
      <c r="M64" s="282">
        <f t="shared" si="22"/>
        <v>0</v>
      </c>
      <c r="N64" s="136"/>
      <c r="O64" s="136"/>
      <c r="P64" s="136"/>
      <c r="Q64" s="282">
        <f t="shared" si="23"/>
        <v>0</v>
      </c>
      <c r="R64" s="282">
        <f>M64+I64+E64+Q64</f>
        <v>0</v>
      </c>
      <c r="S64" s="50"/>
    </row>
    <row r="65" spans="1:19" ht="13.8" thickBot="1">
      <c r="A65" s="280" t="s">
        <v>108</v>
      </c>
      <c r="B65" s="287"/>
      <c r="C65" s="309"/>
      <c r="D65" s="311"/>
      <c r="E65" s="173"/>
      <c r="F65" s="346"/>
      <c r="G65" s="346"/>
      <c r="H65" s="289"/>
      <c r="I65" s="173"/>
      <c r="J65" s="287"/>
      <c r="K65" s="287"/>
      <c r="L65" s="287"/>
      <c r="M65" s="173"/>
      <c r="N65" s="287"/>
      <c r="O65" s="287"/>
      <c r="P65" s="287"/>
      <c r="Q65" s="173"/>
      <c r="R65" s="173"/>
      <c r="S65" s="50"/>
    </row>
    <row r="66" spans="1:19" ht="13.8" thickTop="1">
      <c r="A66"/>
      <c r="B66" s="50"/>
      <c r="C66" s="50"/>
      <c r="D66" s="134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16" customWidth="1"/>
    <col min="6" max="8" width="12.109375" style="11" customWidth="1"/>
    <col min="9" max="9" width="11.44140625" style="116" customWidth="1"/>
    <col min="10" max="12" width="12.88671875" style="11" customWidth="1"/>
    <col min="13" max="13" width="11.44140625" style="116" customWidth="1"/>
    <col min="14" max="16" width="12" style="11" customWidth="1"/>
    <col min="17" max="18" width="11.44140625" style="116" customWidth="1"/>
  </cols>
  <sheetData>
    <row r="1" spans="1:18">
      <c r="A1" s="29" t="s">
        <v>168</v>
      </c>
      <c r="B1" s="791" t="s">
        <v>170</v>
      </c>
      <c r="C1" s="778"/>
      <c r="D1" s="778"/>
      <c r="E1" s="778"/>
      <c r="F1" s="791" t="s">
        <v>171</v>
      </c>
      <c r="G1" s="778"/>
      <c r="H1" s="778"/>
      <c r="I1" s="778"/>
      <c r="J1" s="791" t="s">
        <v>172</v>
      </c>
      <c r="K1" s="835"/>
      <c r="L1" s="835"/>
      <c r="M1" s="836"/>
      <c r="N1" s="791" t="s">
        <v>169</v>
      </c>
      <c r="O1" s="835"/>
      <c r="P1" s="835"/>
      <c r="Q1" s="836"/>
      <c r="R1" s="146"/>
    </row>
    <row r="2" spans="1:18">
      <c r="A2" s="5" t="s">
        <v>0</v>
      </c>
      <c r="B2" s="39" t="s">
        <v>10</v>
      </c>
      <c r="C2" s="39" t="s">
        <v>11</v>
      </c>
      <c r="D2" s="39" t="s">
        <v>12</v>
      </c>
      <c r="E2" s="152" t="s">
        <v>118</v>
      </c>
      <c r="F2" s="39" t="s">
        <v>7</v>
      </c>
      <c r="G2" s="39" t="s">
        <v>8</v>
      </c>
      <c r="H2" s="39" t="s">
        <v>9</v>
      </c>
      <c r="I2" s="152" t="s">
        <v>117</v>
      </c>
      <c r="J2" s="39" t="s">
        <v>4</v>
      </c>
      <c r="K2" s="39" t="s">
        <v>5</v>
      </c>
      <c r="L2" s="39" t="s">
        <v>6</v>
      </c>
      <c r="M2" s="152" t="s">
        <v>116</v>
      </c>
      <c r="N2" s="39" t="s">
        <v>1</v>
      </c>
      <c r="O2" s="39" t="s">
        <v>2</v>
      </c>
      <c r="P2" s="39" t="s">
        <v>3</v>
      </c>
      <c r="Q2" s="152" t="s">
        <v>110</v>
      </c>
      <c r="R2" s="82" t="s">
        <v>119</v>
      </c>
    </row>
    <row r="3" spans="1:18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>
      <c r="A4" s="6" t="s">
        <v>36</v>
      </c>
      <c r="B4" s="72" t="e">
        <f>Target!#REF!</f>
        <v>#REF!</v>
      </c>
      <c r="C4" s="72" t="e">
        <f>Target!#REF!</f>
        <v>#REF!</v>
      </c>
      <c r="D4" s="72" t="e">
        <f>Target!#REF!</f>
        <v>#REF!</v>
      </c>
      <c r="E4" s="153" t="e">
        <f>SUM(B4:D4)</f>
        <v>#REF!</v>
      </c>
      <c r="F4" s="72" t="e">
        <f>Target!#REF!</f>
        <v>#REF!</v>
      </c>
      <c r="G4" s="72" t="e">
        <f>Target!#REF!</f>
        <v>#REF!</v>
      </c>
      <c r="H4" s="72" t="e">
        <f>Target!#REF!</f>
        <v>#REF!</v>
      </c>
      <c r="I4" s="153" t="e">
        <f>SUM(F4:H4)</f>
        <v>#REF!</v>
      </c>
      <c r="J4" s="72" t="e">
        <f>Target!#REF!</f>
        <v>#REF!</v>
      </c>
      <c r="K4" s="72" t="e">
        <f>Target!#REF!</f>
        <v>#REF!</v>
      </c>
      <c r="L4" s="72" t="e">
        <f>Target!#REF!</f>
        <v>#REF!</v>
      </c>
      <c r="M4" s="153"/>
      <c r="N4" s="72" t="e">
        <f>Target!#REF!</f>
        <v>#REF!</v>
      </c>
      <c r="O4" s="72" t="e">
        <f>Target!#REF!</f>
        <v>#REF!</v>
      </c>
      <c r="P4" s="72" t="e">
        <f>Target!#REF!</f>
        <v>#REF!</v>
      </c>
      <c r="Q4" s="153" t="e">
        <f>SUM(N4:P4)</f>
        <v>#REF!</v>
      </c>
      <c r="R4" s="84" t="e">
        <f>Q4+M4+I4+E4</f>
        <v>#REF!</v>
      </c>
    </row>
    <row r="5" spans="1:18">
      <c r="A5" s="7" t="s">
        <v>35</v>
      </c>
      <c r="B5" s="68" t="e">
        <f>B4</f>
        <v>#REF!</v>
      </c>
      <c r="C5" s="68" t="e">
        <f>C4+B5</f>
        <v>#REF!</v>
      </c>
      <c r="D5" s="68" t="e">
        <f>D4+C5</f>
        <v>#REF!</v>
      </c>
      <c r="E5" s="154"/>
      <c r="F5" s="68" t="e">
        <f>F4</f>
        <v>#REF!</v>
      </c>
      <c r="G5" s="68" t="e">
        <f>G4+F5</f>
        <v>#REF!</v>
      </c>
      <c r="H5" s="68" t="e">
        <f>H4+G5</f>
        <v>#REF!</v>
      </c>
      <c r="I5" s="154"/>
      <c r="J5" s="68" t="e">
        <f>J4</f>
        <v>#REF!</v>
      </c>
      <c r="K5" s="68" t="e">
        <f>K4+J5</f>
        <v>#REF!</v>
      </c>
      <c r="L5" s="68" t="e">
        <f>L4+K5</f>
        <v>#REF!</v>
      </c>
      <c r="M5" s="154"/>
      <c r="N5" s="68" t="e">
        <f>N4</f>
        <v>#REF!</v>
      </c>
      <c r="O5" s="68" t="e">
        <f>O4+N5</f>
        <v>#REF!</v>
      </c>
      <c r="P5" s="68" t="e">
        <f>P4+O5</f>
        <v>#REF!</v>
      </c>
      <c r="Q5" s="154"/>
      <c r="R5" s="86"/>
    </row>
    <row r="6" spans="1:18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3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3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3">
        <f>SUM(J6:L6)</f>
        <v>0</v>
      </c>
      <c r="N6" s="66">
        <f>SUMIF(I!A:A,$A$1,I!I:I)</f>
        <v>0</v>
      </c>
      <c r="O6" s="26">
        <f>SUMIF(II!A:A,$A$1,II!I:I)</f>
        <v>0</v>
      </c>
      <c r="P6" s="26">
        <f>SUMIF(III!A:A,$A$1,III!I:I)</f>
        <v>0</v>
      </c>
      <c r="Q6" s="153">
        <f>SUM(N6:P6)</f>
        <v>0</v>
      </c>
      <c r="R6" s="84">
        <f>Q6+M6+I6+E6</f>
        <v>0</v>
      </c>
    </row>
    <row r="7" spans="1:18">
      <c r="A7" s="7" t="s">
        <v>38</v>
      </c>
      <c r="B7" s="68">
        <f>B6</f>
        <v>0</v>
      </c>
      <c r="C7" s="68">
        <f>C6+B7</f>
        <v>0</v>
      </c>
      <c r="D7" s="68">
        <f>D6+C7</f>
        <v>0</v>
      </c>
      <c r="E7" s="154"/>
      <c r="F7" s="68">
        <f>F6</f>
        <v>0</v>
      </c>
      <c r="G7" s="68">
        <f>G6+F7</f>
        <v>0</v>
      </c>
      <c r="H7" s="68">
        <f>H6+G7</f>
        <v>0</v>
      </c>
      <c r="I7" s="154"/>
      <c r="J7" s="68">
        <f>J6</f>
        <v>0</v>
      </c>
      <c r="K7" s="68">
        <f>K6+J7</f>
        <v>0</v>
      </c>
      <c r="L7" s="68">
        <f>L6+K7</f>
        <v>0</v>
      </c>
      <c r="M7" s="154"/>
      <c r="N7" s="68">
        <f>N6</f>
        <v>0</v>
      </c>
      <c r="O7" s="68">
        <f>O6+N7</f>
        <v>0</v>
      </c>
      <c r="P7" s="68">
        <f>P6+O7</f>
        <v>0</v>
      </c>
      <c r="Q7" s="154"/>
      <c r="R7" s="86"/>
    </row>
    <row r="8" spans="1:18">
      <c r="A8" s="23" t="s">
        <v>39</v>
      </c>
      <c r="B8" s="73" t="e">
        <f t="shared" ref="B8:D9" si="0">B6/B4</f>
        <v>#REF!</v>
      </c>
      <c r="C8" s="73" t="e">
        <f t="shared" si="0"/>
        <v>#REF!</v>
      </c>
      <c r="D8" s="73" t="e">
        <f t="shared" si="0"/>
        <v>#REF!</v>
      </c>
      <c r="E8" s="155"/>
      <c r="F8" s="73" t="e">
        <f t="shared" ref="F8:H9" si="1">F6/F4</f>
        <v>#REF!</v>
      </c>
      <c r="G8" s="73" t="e">
        <f t="shared" si="1"/>
        <v>#REF!</v>
      </c>
      <c r="H8" s="73" t="e">
        <f t="shared" si="1"/>
        <v>#REF!</v>
      </c>
      <c r="I8" s="155"/>
      <c r="J8" s="73" t="e">
        <f t="shared" ref="J8:L9" si="2">J6/J4</f>
        <v>#REF!</v>
      </c>
      <c r="K8" s="73" t="e">
        <f t="shared" si="2"/>
        <v>#REF!</v>
      </c>
      <c r="L8" s="73" t="e">
        <f t="shared" si="2"/>
        <v>#REF!</v>
      </c>
      <c r="M8" s="155"/>
      <c r="N8" s="73" t="e">
        <f t="shared" ref="N8:P9" si="3">N6/N4</f>
        <v>#REF!</v>
      </c>
      <c r="O8" s="73" t="e">
        <f t="shared" si="3"/>
        <v>#REF!</v>
      </c>
      <c r="P8" s="73" t="e">
        <f t="shared" si="3"/>
        <v>#REF!</v>
      </c>
      <c r="Q8" s="155"/>
      <c r="R8" s="89"/>
    </row>
    <row r="9" spans="1:18">
      <c r="A9" s="23" t="s">
        <v>40</v>
      </c>
      <c r="B9" s="73" t="e">
        <f t="shared" si="0"/>
        <v>#REF!</v>
      </c>
      <c r="C9" s="73" t="e">
        <f t="shared" si="0"/>
        <v>#REF!</v>
      </c>
      <c r="D9" s="73" t="e">
        <f t="shared" si="0"/>
        <v>#REF!</v>
      </c>
      <c r="E9" s="155"/>
      <c r="F9" s="73" t="e">
        <f>F7/F5</f>
        <v>#REF!</v>
      </c>
      <c r="G9" s="73" t="e">
        <f t="shared" si="1"/>
        <v>#REF!</v>
      </c>
      <c r="H9" s="73" t="e">
        <f t="shared" si="1"/>
        <v>#REF!</v>
      </c>
      <c r="I9" s="155"/>
      <c r="J9" s="73" t="e">
        <f t="shared" si="2"/>
        <v>#REF!</v>
      </c>
      <c r="K9" s="73" t="e">
        <f>K7/K5</f>
        <v>#REF!</v>
      </c>
      <c r="L9" s="73" t="e">
        <f t="shared" si="2"/>
        <v>#REF!</v>
      </c>
      <c r="M9" s="155"/>
      <c r="N9" s="73" t="e">
        <f t="shared" si="3"/>
        <v>#REF!</v>
      </c>
      <c r="O9" s="73" t="e">
        <f t="shared" si="3"/>
        <v>#REF!</v>
      </c>
      <c r="P9" s="73" t="e">
        <f t="shared" si="3"/>
        <v>#REF!</v>
      </c>
      <c r="Q9" s="155"/>
      <c r="R9" s="90"/>
    </row>
    <row r="10" spans="1:18">
      <c r="A10" s="7" t="s">
        <v>48</v>
      </c>
      <c r="B10" s="74" t="e">
        <f>B7-B5</f>
        <v>#REF!</v>
      </c>
      <c r="C10" s="74" t="e">
        <f>C7-C5</f>
        <v>#REF!</v>
      </c>
      <c r="D10" s="74" t="e">
        <f>D7-D5</f>
        <v>#REF!</v>
      </c>
      <c r="E10" s="154"/>
      <c r="F10" s="74" t="e">
        <f>F7-F5</f>
        <v>#REF!</v>
      </c>
      <c r="G10" s="74" t="e">
        <f>G7-G5</f>
        <v>#REF!</v>
      </c>
      <c r="H10" s="74" t="e">
        <f>H7-H5</f>
        <v>#REF!</v>
      </c>
      <c r="I10" s="154"/>
      <c r="J10" s="74" t="e">
        <f>J7-J5</f>
        <v>#REF!</v>
      </c>
      <c r="K10" s="74" t="e">
        <f>K7-K5</f>
        <v>#REF!</v>
      </c>
      <c r="L10" s="74" t="e">
        <f>L7-L5</f>
        <v>#REF!</v>
      </c>
      <c r="M10" s="154"/>
      <c r="N10" s="74" t="e">
        <f>N7-N5</f>
        <v>#REF!</v>
      </c>
      <c r="O10" s="74" t="e">
        <f>O7-O5</f>
        <v>#REF!</v>
      </c>
      <c r="P10" s="74" t="e">
        <f>P7-P5</f>
        <v>#REF!</v>
      </c>
      <c r="Q10" s="154"/>
      <c r="R10" s="86"/>
    </row>
    <row r="11" spans="1:18">
      <c r="A11" s="6" t="s">
        <v>41</v>
      </c>
      <c r="B11" s="72" t="e">
        <f>Target!#REF!</f>
        <v>#REF!</v>
      </c>
      <c r="C11" s="72" t="e">
        <f>Target!#REF!</f>
        <v>#REF!</v>
      </c>
      <c r="D11" s="72" t="e">
        <f>Target!#REF!</f>
        <v>#REF!</v>
      </c>
      <c r="E11" s="153" t="e">
        <f>SUM(B11:D11)</f>
        <v>#REF!</v>
      </c>
      <c r="F11" s="72" t="e">
        <f>Target!#REF!</f>
        <v>#REF!</v>
      </c>
      <c r="G11" s="72" t="e">
        <f>Target!#REF!</f>
        <v>#REF!</v>
      </c>
      <c r="H11" s="72" t="e">
        <f>Target!#REF!</f>
        <v>#REF!</v>
      </c>
      <c r="I11" s="153" t="e">
        <f>SUM(F11:H11)</f>
        <v>#REF!</v>
      </c>
      <c r="J11" s="72"/>
      <c r="K11" s="72" t="e">
        <f>Target!#REF!</f>
        <v>#REF!</v>
      </c>
      <c r="L11" s="72" t="e">
        <f>Target!#REF!</f>
        <v>#REF!</v>
      </c>
      <c r="M11" s="153" t="e">
        <f>SUM(J11:L11)</f>
        <v>#REF!</v>
      </c>
      <c r="N11" s="72" t="e">
        <f>Target!#REF!</f>
        <v>#REF!</v>
      </c>
      <c r="O11" s="72" t="e">
        <f>Target!#REF!</f>
        <v>#REF!</v>
      </c>
      <c r="P11" s="72" t="e">
        <f>Target!#REF!</f>
        <v>#REF!</v>
      </c>
      <c r="Q11" s="153" t="e">
        <f>SUM(N11:P11)</f>
        <v>#REF!</v>
      </c>
      <c r="R11" s="84" t="e">
        <f>Q11+M11+I11+E11</f>
        <v>#REF!</v>
      </c>
    </row>
    <row r="12" spans="1:18">
      <c r="A12" s="7" t="s">
        <v>42</v>
      </c>
      <c r="B12" s="68" t="e">
        <f>B11</f>
        <v>#REF!</v>
      </c>
      <c r="C12" s="68" t="e">
        <f>C11+B12</f>
        <v>#REF!</v>
      </c>
      <c r="D12" s="68" t="e">
        <f>D11+C12</f>
        <v>#REF!</v>
      </c>
      <c r="E12" s="154"/>
      <c r="F12" s="68" t="e">
        <f>F11</f>
        <v>#REF!</v>
      </c>
      <c r="G12" s="68" t="e">
        <f>G11+F12</f>
        <v>#REF!</v>
      </c>
      <c r="H12" s="68" t="e">
        <f>H11+G12</f>
        <v>#REF!</v>
      </c>
      <c r="I12" s="154"/>
      <c r="J12" s="68">
        <f>J11</f>
        <v>0</v>
      </c>
      <c r="K12" s="68" t="e">
        <f>K11+J12</f>
        <v>#REF!</v>
      </c>
      <c r="L12" s="68" t="e">
        <f>L11+K12</f>
        <v>#REF!</v>
      </c>
      <c r="M12" s="154"/>
      <c r="N12" s="68" t="e">
        <f>N11</f>
        <v>#REF!</v>
      </c>
      <c r="O12" s="68" t="e">
        <f>O11+N12</f>
        <v>#REF!</v>
      </c>
      <c r="P12" s="68" t="e">
        <f>P11+O12</f>
        <v>#REF!</v>
      </c>
      <c r="Q12" s="154"/>
      <c r="R12" s="86"/>
    </row>
    <row r="13" spans="1:18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3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3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3">
        <f>SUM(J13:L13)</f>
        <v>0</v>
      </c>
      <c r="N13" s="66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3">
        <f>SUM(N13:P13)</f>
        <v>0</v>
      </c>
      <c r="R13" s="84">
        <f>Q13+M13+I13+E13</f>
        <v>0</v>
      </c>
    </row>
    <row r="14" spans="1:18">
      <c r="A14" s="7" t="s">
        <v>44</v>
      </c>
      <c r="B14" s="68">
        <f>B13</f>
        <v>0</v>
      </c>
      <c r="C14" s="68">
        <f>C13+B14</f>
        <v>0</v>
      </c>
      <c r="D14" s="68">
        <f>D13+C14</f>
        <v>0</v>
      </c>
      <c r="E14" s="154"/>
      <c r="F14" s="68">
        <f>F13</f>
        <v>0</v>
      </c>
      <c r="G14" s="68">
        <f>G13+F14</f>
        <v>0</v>
      </c>
      <c r="H14" s="68">
        <f>H13+G14</f>
        <v>0</v>
      </c>
      <c r="I14" s="154"/>
      <c r="J14" s="68">
        <f>J13</f>
        <v>0</v>
      </c>
      <c r="K14" s="68">
        <f>K13+J14</f>
        <v>0</v>
      </c>
      <c r="L14" s="68">
        <f>L13+K14</f>
        <v>0</v>
      </c>
      <c r="M14" s="154"/>
      <c r="N14" s="68">
        <f>N13</f>
        <v>0</v>
      </c>
      <c r="O14" s="68">
        <f>O13+N14</f>
        <v>0</v>
      </c>
      <c r="P14" s="68">
        <f>P13+O14</f>
        <v>0</v>
      </c>
      <c r="Q14" s="154"/>
      <c r="R14" s="86"/>
    </row>
    <row r="15" spans="1:18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5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5"/>
      <c r="J15" s="24" t="e">
        <f t="shared" ref="J15:L16" si="6">J13/J11</f>
        <v>#DIV/0!</v>
      </c>
      <c r="K15" s="24" t="e">
        <f t="shared" si="6"/>
        <v>#REF!</v>
      </c>
      <c r="L15" s="24" t="e">
        <f t="shared" si="6"/>
        <v>#REF!</v>
      </c>
      <c r="M15" s="155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5"/>
      <c r="R15" s="89"/>
    </row>
    <row r="16" spans="1:18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5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5"/>
      <c r="J16" s="24" t="e">
        <f t="shared" si="6"/>
        <v>#DIV/0!</v>
      </c>
      <c r="K16" s="24" t="e">
        <f>K14/K12</f>
        <v>#REF!</v>
      </c>
      <c r="L16" s="24" t="e">
        <f t="shared" si="6"/>
        <v>#REF!</v>
      </c>
      <c r="M16" s="155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5"/>
      <c r="R16" s="90"/>
    </row>
    <row r="17" spans="1:18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4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4"/>
      <c r="J17" s="22">
        <f>J14-J12</f>
        <v>0</v>
      </c>
      <c r="K17" s="22" t="e">
        <f>K14-K12</f>
        <v>#REF!</v>
      </c>
      <c r="L17" s="22" t="e">
        <f>L14-L12</f>
        <v>#REF!</v>
      </c>
      <c r="M17" s="154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4"/>
      <c r="R17" s="91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56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6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6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6"/>
      <c r="R18" s="93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6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56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6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6"/>
      <c r="R19" s="93"/>
    </row>
    <row r="20" spans="1:18">
      <c r="A20" s="52"/>
      <c r="B20" s="76"/>
      <c r="C20" s="76"/>
      <c r="D20" s="76"/>
      <c r="E20" s="157"/>
      <c r="F20" s="76"/>
      <c r="G20" s="76"/>
      <c r="H20" s="76"/>
      <c r="I20" s="157"/>
      <c r="J20" s="76"/>
      <c r="K20" s="76"/>
      <c r="L20" s="76"/>
      <c r="M20" s="157"/>
      <c r="N20" s="52"/>
      <c r="O20" s="76"/>
      <c r="P20" s="76"/>
      <c r="Q20" s="157"/>
      <c r="R20" s="94"/>
    </row>
    <row r="21" spans="1:18" ht="15.6">
      <c r="A21" s="41"/>
      <c r="B21" s="258"/>
      <c r="C21" s="258"/>
      <c r="D21" s="258"/>
      <c r="E21" s="158"/>
      <c r="F21" s="258"/>
      <c r="G21" s="258"/>
      <c r="H21" s="258"/>
      <c r="I21" s="158"/>
      <c r="J21" s="258"/>
      <c r="K21" s="258"/>
      <c r="L21" s="75"/>
      <c r="M21" s="158"/>
      <c r="N21" s="257" t="s">
        <v>26</v>
      </c>
      <c r="O21" s="258"/>
      <c r="P21" s="258"/>
      <c r="Q21" s="258"/>
      <c r="R21" s="98"/>
    </row>
    <row r="22" spans="1:18" ht="15.6">
      <c r="A22" s="54" t="s">
        <v>74</v>
      </c>
      <c r="B22" s="56">
        <v>0</v>
      </c>
      <c r="C22" s="56">
        <v>0</v>
      </c>
      <c r="D22" s="56">
        <v>0</v>
      </c>
      <c r="E22" s="159"/>
      <c r="F22" s="56">
        <v>0</v>
      </c>
      <c r="G22" s="56">
        <v>0</v>
      </c>
      <c r="H22" s="56">
        <v>0</v>
      </c>
      <c r="I22" s="159"/>
      <c r="J22" s="56">
        <v>0</v>
      </c>
      <c r="K22" s="56">
        <v>0</v>
      </c>
      <c r="L22" s="56">
        <v>0</v>
      </c>
      <c r="M22" s="159"/>
      <c r="N22" s="56">
        <v>0</v>
      </c>
      <c r="O22" s="56">
        <v>0</v>
      </c>
      <c r="P22" s="56">
        <v>0</v>
      </c>
      <c r="Q22" s="159"/>
      <c r="R22" s="98"/>
    </row>
    <row r="23" spans="1:18">
      <c r="A23" s="17" t="s">
        <v>50</v>
      </c>
      <c r="B23" s="57" t="e">
        <f>B5</f>
        <v>#REF!</v>
      </c>
      <c r="C23" s="57" t="e">
        <f>C5</f>
        <v>#REF!</v>
      </c>
      <c r="D23" s="57" t="e">
        <f>D5</f>
        <v>#REF!</v>
      </c>
      <c r="E23" s="160"/>
      <c r="F23" s="57" t="e">
        <f>F5</f>
        <v>#REF!</v>
      </c>
      <c r="G23" s="57" t="e">
        <f>G5</f>
        <v>#REF!</v>
      </c>
      <c r="H23" s="57" t="e">
        <f>H5</f>
        <v>#REF!</v>
      </c>
      <c r="I23" s="160"/>
      <c r="J23" s="57" t="e">
        <f>J5</f>
        <v>#REF!</v>
      </c>
      <c r="K23" s="57" t="e">
        <f>K5</f>
        <v>#REF!</v>
      </c>
      <c r="L23" s="57" t="e">
        <f>L5</f>
        <v>#REF!</v>
      </c>
      <c r="M23" s="160"/>
      <c r="N23" s="57" t="e">
        <f>N5</f>
        <v>#REF!</v>
      </c>
      <c r="O23" s="57" t="e">
        <f>O5</f>
        <v>#REF!</v>
      </c>
      <c r="P23" s="57" t="e">
        <f>P5</f>
        <v>#REF!</v>
      </c>
      <c r="Q23" s="160"/>
      <c r="R23" s="100"/>
    </row>
    <row r="24" spans="1:18">
      <c r="A24" s="32" t="s">
        <v>51</v>
      </c>
      <c r="B24" s="40">
        <f>B7</f>
        <v>0</v>
      </c>
      <c r="C24" s="40">
        <f>C7</f>
        <v>0</v>
      </c>
      <c r="D24" s="40">
        <f>D7</f>
        <v>0</v>
      </c>
      <c r="E24" s="161"/>
      <c r="F24" s="40">
        <f>F7</f>
        <v>0</v>
      </c>
      <c r="G24" s="40">
        <f>G7</f>
        <v>0</v>
      </c>
      <c r="H24" s="40">
        <f>H7</f>
        <v>0</v>
      </c>
      <c r="I24" s="161"/>
      <c r="J24" s="40">
        <f>J7</f>
        <v>0</v>
      </c>
      <c r="K24" s="40">
        <f>K7</f>
        <v>0</v>
      </c>
      <c r="L24" s="40">
        <f>L7</f>
        <v>0</v>
      </c>
      <c r="M24" s="161"/>
      <c r="N24" s="40">
        <f>N7</f>
        <v>0</v>
      </c>
      <c r="O24" s="40">
        <f>O7</f>
        <v>0</v>
      </c>
      <c r="P24" s="40">
        <f>P7</f>
        <v>0</v>
      </c>
      <c r="Q24" s="161"/>
      <c r="R24" s="100"/>
    </row>
    <row r="25" spans="1:18">
      <c r="A25" s="32" t="s">
        <v>52</v>
      </c>
      <c r="B25" s="70" t="e">
        <f>B24/B23</f>
        <v>#REF!</v>
      </c>
      <c r="C25" s="70" t="e">
        <f>C24/C23</f>
        <v>#REF!</v>
      </c>
      <c r="D25" s="70" t="e">
        <f>D24/D23</f>
        <v>#REF!</v>
      </c>
      <c r="E25" s="162"/>
      <c r="F25" s="70" t="e">
        <f>F24/F23</f>
        <v>#REF!</v>
      </c>
      <c r="G25" s="70" t="e">
        <f>G24/G23</f>
        <v>#REF!</v>
      </c>
      <c r="H25" s="70" t="e">
        <f>H24/H23</f>
        <v>#REF!</v>
      </c>
      <c r="I25" s="162"/>
      <c r="J25" s="70" t="e">
        <f>J24/J23</f>
        <v>#REF!</v>
      </c>
      <c r="K25" s="70" t="e">
        <f>K24/K23</f>
        <v>#REF!</v>
      </c>
      <c r="L25" s="70" t="e">
        <f>L24/L23</f>
        <v>#REF!</v>
      </c>
      <c r="M25" s="162"/>
      <c r="N25" s="70" t="e">
        <f>N24/N23</f>
        <v>#REF!</v>
      </c>
      <c r="O25" s="70" t="e">
        <f>O24/O23</f>
        <v>#REF!</v>
      </c>
      <c r="P25" s="70" t="e">
        <f>P24/P23</f>
        <v>#REF!</v>
      </c>
      <c r="Q25" s="162"/>
      <c r="R25" s="100"/>
    </row>
    <row r="26" spans="1:18">
      <c r="A26" s="31" t="s">
        <v>60</v>
      </c>
      <c r="B26" s="42">
        <f>B22*0.2</f>
        <v>0</v>
      </c>
      <c r="C26" s="42">
        <f>C22*0.2</f>
        <v>0</v>
      </c>
      <c r="D26" s="42">
        <f>D22*0.2</f>
        <v>0</v>
      </c>
      <c r="E26" s="163"/>
      <c r="F26" s="42">
        <f>F22*0.2</f>
        <v>0</v>
      </c>
      <c r="G26" s="42">
        <f>G22*0.2</f>
        <v>0</v>
      </c>
      <c r="H26" s="42">
        <f>H22*0.2</f>
        <v>0</v>
      </c>
      <c r="I26" s="163"/>
      <c r="J26" s="42">
        <f>J22*0.2</f>
        <v>0</v>
      </c>
      <c r="K26" s="42">
        <f>K22*0.2</f>
        <v>0</v>
      </c>
      <c r="L26" s="42">
        <f>L22*0.2</f>
        <v>0</v>
      </c>
      <c r="M26" s="163"/>
      <c r="N26" s="42">
        <f>N22*0.2</f>
        <v>0</v>
      </c>
      <c r="O26" s="42">
        <f>O22*0.2</f>
        <v>0</v>
      </c>
      <c r="P26" s="42">
        <f>P22*0.2</f>
        <v>0</v>
      </c>
      <c r="Q26" s="163"/>
      <c r="R26" s="103"/>
    </row>
    <row r="27" spans="1:18">
      <c r="A27" s="32" t="s">
        <v>53</v>
      </c>
      <c r="B27" s="59" t="e">
        <f>IF(B25&lt;80%,0,IF(B25&lt;90%,0.5,IF(B25&lt;95%,0.75,1)))</f>
        <v>#REF!</v>
      </c>
      <c r="C27" s="59" t="e">
        <f>IF(C25&lt;80%,0,IF(C25&lt;90%,0.5,IF(C25&lt;95%,0.75,1)))</f>
        <v>#REF!</v>
      </c>
      <c r="D27" s="59" t="e">
        <f>IF(D25&lt;80%,0,IF(D25&lt;90%,0.5,IF(D25&lt;95%,0.75,1)))</f>
        <v>#REF!</v>
      </c>
      <c r="E27" s="161"/>
      <c r="F27" s="59" t="e">
        <f>IF(F25&lt;80%,0,IF(F25&lt;90%,0.5,IF(F25&lt;95%,0.75,1)))</f>
        <v>#REF!</v>
      </c>
      <c r="G27" s="59" t="e">
        <f>IF(G25&lt;80%,0,IF(G25&lt;90%,0.5,IF(G25&lt;95%,0.75,1)))</f>
        <v>#REF!</v>
      </c>
      <c r="H27" s="59" t="e">
        <f>IF(H25&lt;80%,0,IF(H25&lt;90%,0.5,IF(H25&lt;95%,0.75,1)))</f>
        <v>#REF!</v>
      </c>
      <c r="I27" s="161"/>
      <c r="J27" s="59" t="e">
        <f>IF(J25&lt;80%,0,IF(J25&lt;90%,0.5,IF(J25&lt;95%,0.75,1)))</f>
        <v>#REF!</v>
      </c>
      <c r="K27" s="59" t="e">
        <f>IF(K25&lt;80%,0,IF(K25&lt;90%,0.5,IF(K25&lt;95%,0.75,1)))</f>
        <v>#REF!</v>
      </c>
      <c r="L27" s="59" t="e">
        <f>IF(L25&lt;80%,0,IF(L25&lt;90%,0.5,IF(L25&lt;95%,0.75,1)))</f>
        <v>#REF!</v>
      </c>
      <c r="M27" s="161"/>
      <c r="N27" s="59" t="e">
        <f>IF(N25&lt;80%,0,IF(N25&lt;90%,0.5,IF(N25&lt;95%,0.75,1)))</f>
        <v>#REF!</v>
      </c>
      <c r="O27" s="59" t="e">
        <f>IF(O25&lt;80%,0,IF(O25&lt;90%,0.5,IF(O25&lt;95%,0.75,1)))</f>
        <v>#REF!</v>
      </c>
      <c r="P27" s="59" t="e">
        <f>IF(P25&lt;80%,0,IF(P25&lt;90%,0.5,IF(P25&lt;95%,0.75,1)))</f>
        <v>#REF!</v>
      </c>
      <c r="Q27" s="161"/>
      <c r="R27" s="100"/>
    </row>
    <row r="28" spans="1:18">
      <c r="A28" s="43" t="s">
        <v>54</v>
      </c>
      <c r="B28" s="55" t="e">
        <f>B27*B26</f>
        <v>#REF!</v>
      </c>
      <c r="C28" s="55" t="e">
        <f>C27*C26</f>
        <v>#REF!</v>
      </c>
      <c r="D28" s="55" t="e">
        <f>D27*D26</f>
        <v>#REF!</v>
      </c>
      <c r="E28" s="164"/>
      <c r="F28" s="55" t="e">
        <f>F27*F26</f>
        <v>#REF!</v>
      </c>
      <c r="G28" s="55" t="e">
        <f>G27*G26</f>
        <v>#REF!</v>
      </c>
      <c r="H28" s="55" t="e">
        <f>H27*H26</f>
        <v>#REF!</v>
      </c>
      <c r="I28" s="164"/>
      <c r="J28" s="55" t="e">
        <f>J27*J26</f>
        <v>#REF!</v>
      </c>
      <c r="K28" s="55" t="e">
        <f>K27*K26</f>
        <v>#REF!</v>
      </c>
      <c r="L28" s="55" t="e">
        <f>L27*L26</f>
        <v>#REF!</v>
      </c>
      <c r="M28" s="164"/>
      <c r="N28" s="55" t="e">
        <f>N27*N26</f>
        <v>#REF!</v>
      </c>
      <c r="O28" s="55" t="e">
        <f>O27*O26</f>
        <v>#REF!</v>
      </c>
      <c r="P28" s="55" t="e">
        <f>P27*P26</f>
        <v>#REF!</v>
      </c>
      <c r="Q28" s="164"/>
      <c r="R28" s="104"/>
    </row>
    <row r="29" spans="1:18">
      <c r="A29" s="17" t="s">
        <v>49</v>
      </c>
      <c r="B29" s="34" t="e">
        <f>B12</f>
        <v>#REF!</v>
      </c>
      <c r="C29" s="34" t="e">
        <f>C12</f>
        <v>#REF!</v>
      </c>
      <c r="D29" s="34" t="e">
        <f>D12</f>
        <v>#REF!</v>
      </c>
      <c r="E29" s="160"/>
      <c r="F29" s="34" t="e">
        <f>F12</f>
        <v>#REF!</v>
      </c>
      <c r="G29" s="34" t="e">
        <f>G12</f>
        <v>#REF!</v>
      </c>
      <c r="H29" s="34" t="e">
        <f>H12</f>
        <v>#REF!</v>
      </c>
      <c r="I29" s="160"/>
      <c r="J29" s="34">
        <f>J12</f>
        <v>0</v>
      </c>
      <c r="K29" s="34" t="e">
        <f>K12</f>
        <v>#REF!</v>
      </c>
      <c r="L29" s="34" t="e">
        <f>L12</f>
        <v>#REF!</v>
      </c>
      <c r="M29" s="160"/>
      <c r="N29" s="34" t="e">
        <f>N12</f>
        <v>#REF!</v>
      </c>
      <c r="O29" s="34" t="e">
        <f>O12</f>
        <v>#REF!</v>
      </c>
      <c r="P29" s="34" t="e">
        <f>P12</f>
        <v>#REF!</v>
      </c>
      <c r="Q29" s="160"/>
      <c r="R29" s="100"/>
    </row>
    <row r="30" spans="1:18">
      <c r="A30" s="32" t="s">
        <v>55</v>
      </c>
      <c r="B30" s="33">
        <f>B14</f>
        <v>0</v>
      </c>
      <c r="C30" s="33">
        <f>C14</f>
        <v>0</v>
      </c>
      <c r="D30" s="33">
        <f>D14</f>
        <v>0</v>
      </c>
      <c r="E30" s="161"/>
      <c r="F30" s="33">
        <f>F14</f>
        <v>0</v>
      </c>
      <c r="G30" s="33">
        <f>G14</f>
        <v>0</v>
      </c>
      <c r="H30" s="33">
        <f>H14</f>
        <v>0</v>
      </c>
      <c r="I30" s="161"/>
      <c r="J30" s="33">
        <f>J14</f>
        <v>0</v>
      </c>
      <c r="K30" s="33">
        <f>K14</f>
        <v>0</v>
      </c>
      <c r="L30" s="33">
        <f>L14</f>
        <v>0</v>
      </c>
      <c r="M30" s="161"/>
      <c r="N30" s="33">
        <f>N14</f>
        <v>0</v>
      </c>
      <c r="O30" s="33">
        <f>O14</f>
        <v>0</v>
      </c>
      <c r="P30" s="33">
        <f>P14</f>
        <v>0</v>
      </c>
      <c r="Q30" s="161"/>
      <c r="R30" s="100"/>
    </row>
    <row r="31" spans="1:18">
      <c r="A31" s="32" t="s">
        <v>56</v>
      </c>
      <c r="B31" s="70" t="e">
        <f>B30/B29</f>
        <v>#REF!</v>
      </c>
      <c r="C31" s="70" t="e">
        <f>C30/C29</f>
        <v>#REF!</v>
      </c>
      <c r="D31" s="70" t="e">
        <f>D30/D29</f>
        <v>#REF!</v>
      </c>
      <c r="E31" s="162"/>
      <c r="F31" s="70" t="e">
        <f>F30/F29</f>
        <v>#REF!</v>
      </c>
      <c r="G31" s="70" t="e">
        <f>G30/G29</f>
        <v>#REF!</v>
      </c>
      <c r="H31" s="70" t="e">
        <f>H30/H29</f>
        <v>#REF!</v>
      </c>
      <c r="I31" s="162"/>
      <c r="J31" s="70" t="e">
        <f>J30/J29</f>
        <v>#DIV/0!</v>
      </c>
      <c r="K31" s="70" t="e">
        <f>K30/K29</f>
        <v>#REF!</v>
      </c>
      <c r="L31" s="70" t="e">
        <f>L30/L29</f>
        <v>#REF!</v>
      </c>
      <c r="M31" s="162"/>
      <c r="N31" s="70" t="e">
        <f>N30/N29</f>
        <v>#REF!</v>
      </c>
      <c r="O31" s="70" t="e">
        <f>O30/O29</f>
        <v>#REF!</v>
      </c>
      <c r="P31" s="70" t="e">
        <f>P30/P29</f>
        <v>#REF!</v>
      </c>
      <c r="Q31" s="162"/>
      <c r="R31" s="100"/>
    </row>
    <row r="32" spans="1:18">
      <c r="A32" s="65" t="s">
        <v>61</v>
      </c>
      <c r="B32" s="64">
        <f>B22*0.2</f>
        <v>0</v>
      </c>
      <c r="C32" s="64">
        <f>C22*0.2</f>
        <v>0</v>
      </c>
      <c r="D32" s="64">
        <f>D22*0.2</f>
        <v>0</v>
      </c>
      <c r="E32" s="161"/>
      <c r="F32" s="64">
        <f>F22*0.2</f>
        <v>0</v>
      </c>
      <c r="G32" s="64">
        <f>G22*0.2</f>
        <v>0</v>
      </c>
      <c r="H32" s="64">
        <f>H22*0.2</f>
        <v>0</v>
      </c>
      <c r="I32" s="161"/>
      <c r="J32" s="64">
        <f>J22*0.2</f>
        <v>0</v>
      </c>
      <c r="K32" s="64">
        <f>K22*0.2</f>
        <v>0</v>
      </c>
      <c r="L32" s="64">
        <f>L22*0.2</f>
        <v>0</v>
      </c>
      <c r="M32" s="161"/>
      <c r="N32" s="64">
        <f>N22*0.2</f>
        <v>0</v>
      </c>
      <c r="O32" s="64">
        <f>O22*0.2</f>
        <v>0</v>
      </c>
      <c r="P32" s="64">
        <f>P22*0.2</f>
        <v>0</v>
      </c>
      <c r="Q32" s="161"/>
      <c r="R32" s="100"/>
    </row>
    <row r="33" spans="1:18">
      <c r="A33" s="32" t="s">
        <v>57</v>
      </c>
      <c r="B33" s="42" t="e">
        <f>IF(B31&lt;80%,0,IF(B31&lt;90%,0.5,IF(B31&lt;95%,0.75,1)))</f>
        <v>#REF!</v>
      </c>
      <c r="C33" s="42" t="e">
        <f>IF(C31&lt;80%,0,IF(C31&lt;90%,0.5,IF(C31&lt;95%,0.75,1)))</f>
        <v>#REF!</v>
      </c>
      <c r="D33" s="42" t="e">
        <f>IF(D31&lt;80%,0,IF(D31&lt;90%,0.5,IF(D31&lt;95%,0.75,1)))</f>
        <v>#REF!</v>
      </c>
      <c r="E33" s="163"/>
      <c r="F33" s="42" t="e">
        <f>IF(F31&lt;80%,0,IF(F31&lt;90%,0.5,IF(F31&lt;95%,0.75,1)))</f>
        <v>#REF!</v>
      </c>
      <c r="G33" s="42" t="e">
        <f>IF(G31&lt;80%,0,IF(G31&lt;90%,0.5,IF(G31&lt;95%,0.75,1)))</f>
        <v>#REF!</v>
      </c>
      <c r="H33" s="42" t="e">
        <f>IF(H31&lt;80%,0,IF(H31&lt;90%,0.5,IF(H31&lt;95%,0.75,1)))</f>
        <v>#REF!</v>
      </c>
      <c r="I33" s="163"/>
      <c r="J33" s="42" t="e">
        <f>IF(J31&lt;80%,0,IF(J31&lt;90%,0.5,IF(J31&lt;95%,0.75,1)))</f>
        <v>#DIV/0!</v>
      </c>
      <c r="K33" s="42" t="e">
        <f>IF(K31&lt;80%,0,IF(K31&lt;90%,0.5,IF(K31&lt;95%,0.75,1)))</f>
        <v>#REF!</v>
      </c>
      <c r="L33" s="42" t="e">
        <f>IF(L31&lt;80%,0,IF(L31&lt;90%,0.5,IF(L31&lt;95%,0.75,1)))</f>
        <v>#REF!</v>
      </c>
      <c r="M33" s="163"/>
      <c r="N33" s="42" t="e">
        <f>IF(N31&lt;80%,0,IF(N31&lt;90%,0.5,IF(N31&lt;95%,0.75,1)))</f>
        <v>#REF!</v>
      </c>
      <c r="O33" s="42" t="e">
        <f>IF(O31&lt;80%,0,IF(O31&lt;90%,0.5,IF(O31&lt;95%,0.75,1)))</f>
        <v>#REF!</v>
      </c>
      <c r="P33" s="42" t="e">
        <f>IF(P31&lt;80%,0,IF(P31&lt;90%,0.5,IF(P31&lt;95%,0.75,1)))</f>
        <v>#REF!</v>
      </c>
      <c r="Q33" s="163"/>
      <c r="R33" s="100"/>
    </row>
    <row r="34" spans="1:18">
      <c r="A34" s="43" t="s">
        <v>58</v>
      </c>
      <c r="B34" s="55" t="e">
        <f>B33*B32</f>
        <v>#REF!</v>
      </c>
      <c r="C34" s="55" t="e">
        <f>C33*C32</f>
        <v>#REF!</v>
      </c>
      <c r="D34" s="55" t="e">
        <f>D33*D32</f>
        <v>#REF!</v>
      </c>
      <c r="E34" s="164"/>
      <c r="F34" s="55" t="e">
        <f>F33*F32</f>
        <v>#REF!</v>
      </c>
      <c r="G34" s="55" t="e">
        <f>G33*G32</f>
        <v>#REF!</v>
      </c>
      <c r="H34" s="55" t="e">
        <f>H33*H32</f>
        <v>#REF!</v>
      </c>
      <c r="I34" s="164"/>
      <c r="J34" s="55" t="e">
        <f>J33*J32</f>
        <v>#DIV/0!</v>
      </c>
      <c r="K34" s="55" t="e">
        <f>K33*K32</f>
        <v>#REF!</v>
      </c>
      <c r="L34" s="55" t="e">
        <f>L33*L32</f>
        <v>#REF!</v>
      </c>
      <c r="M34" s="164"/>
      <c r="N34" s="55" t="e">
        <f>N33*N32</f>
        <v>#REF!</v>
      </c>
      <c r="O34" s="55" t="e">
        <f>O33*O32</f>
        <v>#REF!</v>
      </c>
      <c r="P34" s="55" t="e">
        <f>P33*P32</f>
        <v>#REF!</v>
      </c>
      <c r="Q34" s="164"/>
      <c r="R34" s="104"/>
    </row>
    <row r="35" spans="1:18">
      <c r="A35" s="17" t="s">
        <v>34</v>
      </c>
      <c r="B35" s="71">
        <v>1</v>
      </c>
      <c r="C35" s="71">
        <v>1</v>
      </c>
      <c r="D35" s="71">
        <v>1</v>
      </c>
      <c r="E35" s="160"/>
      <c r="F35" s="71">
        <v>1</v>
      </c>
      <c r="G35" s="71">
        <v>1</v>
      </c>
      <c r="H35" s="71">
        <v>1</v>
      </c>
      <c r="I35" s="160"/>
      <c r="J35" s="71">
        <v>1</v>
      </c>
      <c r="K35" s="71">
        <v>1</v>
      </c>
      <c r="L35" s="71">
        <v>1</v>
      </c>
      <c r="M35" s="160"/>
      <c r="N35" s="71">
        <v>1</v>
      </c>
      <c r="O35" s="71">
        <v>1</v>
      </c>
      <c r="P35" s="71">
        <v>1</v>
      </c>
      <c r="Q35" s="160"/>
      <c r="R35" s="105"/>
    </row>
    <row r="36" spans="1:18">
      <c r="A36" s="38" t="s">
        <v>59</v>
      </c>
      <c r="B36" s="60">
        <f>B22*0.1</f>
        <v>0</v>
      </c>
      <c r="C36" s="60">
        <f>C22*0.1</f>
        <v>0</v>
      </c>
      <c r="D36" s="60">
        <f>D22*0.1</f>
        <v>0</v>
      </c>
      <c r="E36" s="165"/>
      <c r="F36" s="60">
        <f>F22*0.1</f>
        <v>0</v>
      </c>
      <c r="G36" s="60">
        <f>G22*0.1</f>
        <v>0</v>
      </c>
      <c r="H36" s="60">
        <f>H22*0.1</f>
        <v>0</v>
      </c>
      <c r="I36" s="165"/>
      <c r="J36" s="60">
        <f>J22*0.1</f>
        <v>0</v>
      </c>
      <c r="K36" s="60">
        <f>K22*0.1</f>
        <v>0</v>
      </c>
      <c r="L36" s="60">
        <f>L22*0.1</f>
        <v>0</v>
      </c>
      <c r="M36" s="165"/>
      <c r="N36" s="60">
        <f>N22*0.1</f>
        <v>0</v>
      </c>
      <c r="O36" s="60">
        <f>O22*0.1</f>
        <v>0</v>
      </c>
      <c r="P36" s="60">
        <f>P22*0.1</f>
        <v>0</v>
      </c>
      <c r="Q36" s="165"/>
      <c r="R36" s="103"/>
    </row>
    <row r="37" spans="1:18">
      <c r="A37" s="32" t="s">
        <v>62</v>
      </c>
      <c r="B37" s="77"/>
      <c r="C37" s="77"/>
      <c r="D37" s="77"/>
      <c r="E37" s="161"/>
      <c r="F37" s="77"/>
      <c r="G37" s="77"/>
      <c r="H37" s="77"/>
      <c r="I37" s="161"/>
      <c r="J37" s="77"/>
      <c r="K37" s="77"/>
      <c r="L37" s="77"/>
      <c r="M37" s="161"/>
      <c r="N37" s="78"/>
      <c r="O37" s="77"/>
      <c r="P37" s="77"/>
      <c r="Q37" s="161"/>
      <c r="R37" s="100"/>
    </row>
    <row r="38" spans="1:18">
      <c r="A38" s="48" t="s">
        <v>63</v>
      </c>
      <c r="B38" s="58">
        <f>B37*B36</f>
        <v>0</v>
      </c>
      <c r="C38" s="58">
        <f>C37*C36</f>
        <v>0</v>
      </c>
      <c r="D38" s="58">
        <f>D37*D36</f>
        <v>0</v>
      </c>
      <c r="E38" s="164"/>
      <c r="F38" s="58">
        <f>F37*F36</f>
        <v>0</v>
      </c>
      <c r="G38" s="58">
        <f>G37*G36</f>
        <v>0</v>
      </c>
      <c r="H38" s="58">
        <f>H37*H36</f>
        <v>0</v>
      </c>
      <c r="I38" s="164"/>
      <c r="J38" s="58">
        <f>J37*J36</f>
        <v>0</v>
      </c>
      <c r="K38" s="58">
        <f>K37*K36</f>
        <v>0</v>
      </c>
      <c r="L38" s="58">
        <f>L37*L36</f>
        <v>0</v>
      </c>
      <c r="M38" s="164"/>
      <c r="N38" s="58">
        <f>N37*N36</f>
        <v>0</v>
      </c>
      <c r="O38" s="58">
        <f>O37*O36</f>
        <v>0</v>
      </c>
      <c r="P38" s="58">
        <f>P37*P36</f>
        <v>0</v>
      </c>
      <c r="Q38" s="164"/>
      <c r="R38" s="107"/>
    </row>
    <row r="39" spans="1:18">
      <c r="A39" s="41" t="s">
        <v>67</v>
      </c>
      <c r="B39" s="61" t="e">
        <f>B34+B28+B38</f>
        <v>#REF!</v>
      </c>
      <c r="C39" s="61" t="e">
        <f>C34+C28+C38</f>
        <v>#REF!</v>
      </c>
      <c r="D39" s="61" t="e">
        <f>D34+D28+D38</f>
        <v>#REF!</v>
      </c>
      <c r="E39" s="166"/>
      <c r="F39" s="61" t="e">
        <f>F34+F28+F38</f>
        <v>#REF!</v>
      </c>
      <c r="G39" s="61" t="e">
        <f>G34+G28+G38</f>
        <v>#REF!</v>
      </c>
      <c r="H39" s="61" t="e">
        <f>H34+H28+H38</f>
        <v>#REF!</v>
      </c>
      <c r="I39" s="166"/>
      <c r="J39" s="61" t="e">
        <f>J34+J28+J38</f>
        <v>#DIV/0!</v>
      </c>
      <c r="K39" s="61" t="e">
        <f>K34+K28+K38</f>
        <v>#REF!</v>
      </c>
      <c r="L39" s="61" t="e">
        <f>L34+L28+L38</f>
        <v>#REF!</v>
      </c>
      <c r="M39" s="166"/>
      <c r="N39" s="61" t="e">
        <f>N34+N28+N38</f>
        <v>#REF!</v>
      </c>
      <c r="O39" s="61" t="e">
        <f>O34+O28+O38</f>
        <v>#REF!</v>
      </c>
      <c r="P39" s="61" t="e">
        <f>P34+P28+P38</f>
        <v>#REF!</v>
      </c>
      <c r="Q39" s="166"/>
      <c r="R39" s="108"/>
    </row>
    <row r="40" spans="1:18">
      <c r="A40" s="99" t="s">
        <v>115</v>
      </c>
      <c r="B40" s="774" t="e">
        <f>D5</f>
        <v>#REF!</v>
      </c>
      <c r="C40" s="775"/>
      <c r="D40" s="775"/>
      <c r="E40" s="808"/>
      <c r="F40" s="774" t="e">
        <f>H5</f>
        <v>#REF!</v>
      </c>
      <c r="G40" s="775"/>
      <c r="H40" s="775"/>
      <c r="I40" s="808"/>
      <c r="J40" s="774" t="e">
        <f>L5</f>
        <v>#REF!</v>
      </c>
      <c r="K40" s="775"/>
      <c r="L40" s="775"/>
      <c r="M40" s="808"/>
      <c r="N40" s="774" t="e">
        <f>P5</f>
        <v>#REF!</v>
      </c>
      <c r="O40" s="775"/>
      <c r="P40" s="775"/>
      <c r="Q40" s="808"/>
      <c r="R40" s="103"/>
    </row>
    <row r="41" spans="1:18">
      <c r="A41" s="101" t="s">
        <v>69</v>
      </c>
      <c r="B41" s="831">
        <f>D7</f>
        <v>0</v>
      </c>
      <c r="C41" s="832"/>
      <c r="D41" s="832"/>
      <c r="E41" s="808"/>
      <c r="F41" s="831">
        <f>H7</f>
        <v>0</v>
      </c>
      <c r="G41" s="832"/>
      <c r="H41" s="832"/>
      <c r="I41" s="808"/>
      <c r="J41" s="831">
        <f>L7</f>
        <v>0</v>
      </c>
      <c r="K41" s="832"/>
      <c r="L41" s="832"/>
      <c r="M41" s="808"/>
      <c r="N41" s="831">
        <f>P7</f>
        <v>0</v>
      </c>
      <c r="O41" s="832"/>
      <c r="P41" s="832"/>
      <c r="Q41" s="808"/>
      <c r="R41" s="103"/>
    </row>
    <row r="42" spans="1:18">
      <c r="A42" s="101" t="s">
        <v>68</v>
      </c>
      <c r="B42" s="833" t="e">
        <f>B41/B40</f>
        <v>#REF!</v>
      </c>
      <c r="C42" s="834"/>
      <c r="D42" s="834"/>
      <c r="E42" s="808"/>
      <c r="F42" s="833" t="e">
        <f>F41/F40</f>
        <v>#REF!</v>
      </c>
      <c r="G42" s="834"/>
      <c r="H42" s="834"/>
      <c r="I42" s="808"/>
      <c r="J42" s="833" t="e">
        <f>J41/J40</f>
        <v>#REF!</v>
      </c>
      <c r="K42" s="834"/>
      <c r="L42" s="834"/>
      <c r="M42" s="808"/>
      <c r="N42" s="833" t="e">
        <f>N41/N40</f>
        <v>#REF!</v>
      </c>
      <c r="O42" s="834"/>
      <c r="P42" s="834"/>
      <c r="Q42" s="808"/>
      <c r="R42" s="109"/>
    </row>
    <row r="43" spans="1:18">
      <c r="A43" s="101" t="s">
        <v>65</v>
      </c>
      <c r="B43" s="829">
        <f>D22</f>
        <v>0</v>
      </c>
      <c r="C43" s="830"/>
      <c r="D43" s="830"/>
      <c r="E43" s="808"/>
      <c r="F43" s="829">
        <f>H22</f>
        <v>0</v>
      </c>
      <c r="G43" s="830"/>
      <c r="H43" s="830"/>
      <c r="I43" s="808"/>
      <c r="J43" s="829">
        <f>L22</f>
        <v>0</v>
      </c>
      <c r="K43" s="830"/>
      <c r="L43" s="830"/>
      <c r="M43" s="808"/>
      <c r="N43" s="829">
        <f>P22</f>
        <v>0</v>
      </c>
      <c r="O43" s="830"/>
      <c r="P43" s="830"/>
      <c r="Q43" s="808"/>
      <c r="R43" s="103"/>
    </row>
    <row r="44" spans="1:18">
      <c r="A44" s="65" t="s">
        <v>66</v>
      </c>
      <c r="B44" s="789" t="e">
        <f>IF(B42&lt;100%,0,IF(B42&lt;110%,0.5,1))</f>
        <v>#REF!</v>
      </c>
      <c r="C44" s="790"/>
      <c r="D44" s="790"/>
      <c r="E44" s="779"/>
      <c r="F44" s="789" t="e">
        <f>IF(F42&lt;100%,0,IF(F42&lt;110%,0.5,1))</f>
        <v>#REF!</v>
      </c>
      <c r="G44" s="790"/>
      <c r="H44" s="790"/>
      <c r="I44" s="779"/>
      <c r="J44" s="789" t="e">
        <f>IF(J42&lt;100%,0,IF(J42&lt;110%,0.5,1))</f>
        <v>#REF!</v>
      </c>
      <c r="K44" s="790"/>
      <c r="L44" s="790"/>
      <c r="M44" s="779"/>
      <c r="N44" s="789" t="e">
        <f>IF(N42&lt;100%,0,IF(N42&lt;110%,0.5,1))</f>
        <v>#REF!</v>
      </c>
      <c r="O44" s="790"/>
      <c r="P44" s="790"/>
      <c r="Q44" s="779"/>
      <c r="R44" s="110"/>
    </row>
    <row r="45" spans="1:18">
      <c r="A45" s="41" t="s">
        <v>64</v>
      </c>
      <c r="B45" s="787" t="e">
        <f>B44*B43</f>
        <v>#REF!</v>
      </c>
      <c r="C45" s="788"/>
      <c r="D45" s="788"/>
      <c r="E45" s="779"/>
      <c r="F45" s="787" t="e">
        <f>F44*F43</f>
        <v>#REF!</v>
      </c>
      <c r="G45" s="788"/>
      <c r="H45" s="788"/>
      <c r="I45" s="779"/>
      <c r="J45" s="787" t="e">
        <f>J44*J43</f>
        <v>#REF!</v>
      </c>
      <c r="K45" s="788"/>
      <c r="L45" s="788"/>
      <c r="M45" s="779"/>
      <c r="N45" s="787" t="e">
        <f>N44*N43</f>
        <v>#REF!</v>
      </c>
      <c r="O45" s="788"/>
      <c r="P45" s="788"/>
      <c r="Q45" s="779"/>
      <c r="R45" s="111"/>
    </row>
    <row r="46" spans="1:18" ht="13.8" thickBot="1">
      <c r="A46" s="46"/>
      <c r="B46" s="47"/>
      <c r="C46" s="47"/>
      <c r="D46" s="47"/>
      <c r="E46" s="113"/>
      <c r="F46" s="47"/>
      <c r="G46" s="47"/>
      <c r="H46" s="47"/>
      <c r="I46" s="113"/>
      <c r="J46" s="47"/>
      <c r="K46" s="47"/>
      <c r="L46" s="47"/>
      <c r="M46" s="113"/>
      <c r="N46" s="47"/>
      <c r="O46" s="47"/>
      <c r="P46" s="47"/>
      <c r="Q46" s="113"/>
      <c r="R46" s="114"/>
    </row>
    <row r="47" spans="1:18" ht="13.8" thickBot="1">
      <c r="A47" s="313" t="s">
        <v>91</v>
      </c>
      <c r="B47" s="359" t="s">
        <v>92</v>
      </c>
      <c r="C47" s="359" t="s">
        <v>11</v>
      </c>
      <c r="D47" s="314" t="s">
        <v>12</v>
      </c>
      <c r="E47" s="281" t="s">
        <v>93</v>
      </c>
      <c r="F47" s="314" t="s">
        <v>7</v>
      </c>
      <c r="G47" s="314" t="s">
        <v>8</v>
      </c>
      <c r="H47" s="314" t="s">
        <v>9</v>
      </c>
      <c r="I47" s="281" t="s">
        <v>93</v>
      </c>
      <c r="J47" s="334" t="s">
        <v>4</v>
      </c>
      <c r="K47" s="295" t="s">
        <v>5</v>
      </c>
      <c r="L47" s="295" t="s">
        <v>6</v>
      </c>
      <c r="M47" s="281" t="s">
        <v>93</v>
      </c>
      <c r="N47" s="314" t="s">
        <v>1</v>
      </c>
      <c r="O47" s="314" t="s">
        <v>2</v>
      </c>
      <c r="P47" s="314" t="s">
        <v>3</v>
      </c>
      <c r="Q47" s="281" t="s">
        <v>93</v>
      </c>
      <c r="R47" s="281" t="s">
        <v>93</v>
      </c>
    </row>
    <row r="48" spans="1:18" ht="13.8" thickTop="1">
      <c r="A48" s="315" t="s">
        <v>94</v>
      </c>
      <c r="B48" s="352"/>
      <c r="C48" s="352"/>
      <c r="D48" s="129"/>
      <c r="E48" s="282">
        <f>SUM(B48:D48)</f>
        <v>0</v>
      </c>
      <c r="F48" s="129"/>
      <c r="G48" s="129"/>
      <c r="H48" s="129"/>
      <c r="I48" s="282">
        <f>SUM(F48:H48)</f>
        <v>0</v>
      </c>
      <c r="J48" s="327"/>
      <c r="K48" s="129"/>
      <c r="L48" s="129"/>
      <c r="M48" s="282">
        <f>SUM(J48:L48)</f>
        <v>0</v>
      </c>
      <c r="N48" s="129"/>
      <c r="O48" s="129"/>
      <c r="P48" s="129"/>
      <c r="Q48" s="282">
        <f>SUM(N48:P48)</f>
        <v>0</v>
      </c>
      <c r="R48" s="282">
        <f>M48+I48+E48+Q48</f>
        <v>0</v>
      </c>
    </row>
    <row r="49" spans="1:18">
      <c r="A49" s="316" t="s">
        <v>95</v>
      </c>
      <c r="B49" s="349"/>
      <c r="C49" s="349"/>
      <c r="D49" s="130"/>
      <c r="E49" s="170"/>
      <c r="F49" s="130"/>
      <c r="G49" s="130"/>
      <c r="H49" s="130"/>
      <c r="I49" s="170"/>
      <c r="J49" s="326"/>
      <c r="K49" s="130"/>
      <c r="L49" s="130"/>
      <c r="M49" s="170"/>
      <c r="N49" s="130"/>
      <c r="O49" s="130"/>
      <c r="P49" s="130"/>
      <c r="Q49" s="170"/>
      <c r="R49" s="170"/>
    </row>
    <row r="50" spans="1:18">
      <c r="A50" s="316" t="s">
        <v>96</v>
      </c>
      <c r="B50" s="349"/>
      <c r="C50" s="349"/>
      <c r="D50" s="130"/>
      <c r="E50" s="170"/>
      <c r="F50" s="130"/>
      <c r="G50" s="130"/>
      <c r="H50" s="130"/>
      <c r="I50" s="170"/>
      <c r="J50" s="326"/>
      <c r="K50" s="130"/>
      <c r="L50" s="130"/>
      <c r="M50" s="170"/>
      <c r="N50" s="130"/>
      <c r="O50" s="130"/>
      <c r="P50" s="130"/>
      <c r="Q50" s="170"/>
      <c r="R50" s="170"/>
    </row>
    <row r="51" spans="1:18">
      <c r="A51" s="316" t="s">
        <v>125</v>
      </c>
      <c r="B51" s="349"/>
      <c r="C51" s="349"/>
      <c r="D51" s="130"/>
      <c r="E51" s="170"/>
      <c r="F51" s="130"/>
      <c r="G51" s="130"/>
      <c r="H51" s="130"/>
      <c r="I51" s="170"/>
      <c r="J51" s="326"/>
      <c r="K51" s="130"/>
      <c r="L51" s="130"/>
      <c r="M51" s="170"/>
      <c r="N51" s="130"/>
      <c r="O51" s="130"/>
      <c r="P51" s="130"/>
      <c r="Q51" s="170"/>
      <c r="R51" s="170"/>
    </row>
    <row r="52" spans="1:18">
      <c r="A52" s="316" t="s">
        <v>97</v>
      </c>
      <c r="B52" s="360"/>
      <c r="C52" s="360"/>
      <c r="D52" s="317"/>
      <c r="E52" s="171"/>
      <c r="F52" s="317"/>
      <c r="G52" s="317"/>
      <c r="H52" s="317"/>
      <c r="I52" s="171"/>
      <c r="J52" s="335"/>
      <c r="K52" s="296"/>
      <c r="L52" s="296"/>
      <c r="M52" s="171"/>
      <c r="N52" s="317"/>
      <c r="O52" s="317"/>
      <c r="P52" s="317"/>
      <c r="Q52" s="171"/>
      <c r="R52" s="171"/>
    </row>
    <row r="53" spans="1:18" ht="13.8" thickBot="1">
      <c r="A53" s="318" t="s">
        <v>98</v>
      </c>
      <c r="B53" s="353"/>
      <c r="C53" s="353"/>
      <c r="D53" s="131"/>
      <c r="E53" s="282">
        <f t="shared" ref="E53:E54" si="12">SUM(B53:D53)</f>
        <v>0</v>
      </c>
      <c r="F53" s="131"/>
      <c r="G53" s="131"/>
      <c r="H53" s="131"/>
      <c r="I53" s="282">
        <f t="shared" ref="I53:I54" si="13">SUM(F53:H53)</f>
        <v>0</v>
      </c>
      <c r="J53" s="328"/>
      <c r="K53" s="131"/>
      <c r="L53" s="131"/>
      <c r="M53" s="282">
        <f t="shared" ref="M53:M54" si="14">SUM(J53:L53)</f>
        <v>0</v>
      </c>
      <c r="N53" s="131"/>
      <c r="O53" s="131"/>
      <c r="P53" s="131"/>
      <c r="Q53" s="282">
        <f t="shared" ref="Q53:Q54" si="15">SUM(N53:P53)</f>
        <v>0</v>
      </c>
      <c r="R53" s="282">
        <f>M53+I53+E53+Q53</f>
        <v>0</v>
      </c>
    </row>
    <row r="54" spans="1:18" ht="13.8" thickTop="1">
      <c r="A54" s="319" t="s">
        <v>126</v>
      </c>
      <c r="B54" s="354"/>
      <c r="C54" s="354"/>
      <c r="D54" s="132"/>
      <c r="E54" s="282">
        <f t="shared" si="12"/>
        <v>0</v>
      </c>
      <c r="F54" s="132"/>
      <c r="G54" s="132"/>
      <c r="H54" s="132"/>
      <c r="I54" s="282">
        <f t="shared" si="13"/>
        <v>0</v>
      </c>
      <c r="J54" s="329"/>
      <c r="K54" s="132"/>
      <c r="L54" s="132"/>
      <c r="M54" s="282">
        <f t="shared" si="14"/>
        <v>0</v>
      </c>
      <c r="N54" s="132"/>
      <c r="O54" s="132"/>
      <c r="P54" s="132"/>
      <c r="Q54" s="282">
        <f t="shared" si="15"/>
        <v>0</v>
      </c>
      <c r="R54" s="282">
        <f>M54+I54+E54+Q54</f>
        <v>0</v>
      </c>
    </row>
    <row r="55" spans="1:18">
      <c r="A55" s="316" t="s">
        <v>99</v>
      </c>
      <c r="B55" s="349"/>
      <c r="C55" s="349"/>
      <c r="D55" s="130"/>
      <c r="E55" s="172"/>
      <c r="F55" s="130"/>
      <c r="G55" s="130"/>
      <c r="H55" s="130"/>
      <c r="I55" s="172"/>
      <c r="J55" s="326"/>
      <c r="K55" s="130"/>
      <c r="L55" s="130"/>
      <c r="M55" s="172"/>
      <c r="N55" s="130"/>
      <c r="O55" s="130"/>
      <c r="P55" s="130"/>
      <c r="Q55" s="172"/>
      <c r="R55" s="172"/>
    </row>
    <row r="56" spans="1:18">
      <c r="A56" s="316" t="s">
        <v>100</v>
      </c>
      <c r="B56" s="349"/>
      <c r="C56" s="349"/>
      <c r="D56" s="130"/>
      <c r="E56" s="282">
        <f t="shared" ref="E56:E60" si="16">SUM(B56:D56)</f>
        <v>0</v>
      </c>
      <c r="F56" s="130"/>
      <c r="G56" s="130"/>
      <c r="H56" s="130"/>
      <c r="I56" s="282">
        <f t="shared" ref="I56:I60" si="17">SUM(F56:H56)</f>
        <v>0</v>
      </c>
      <c r="J56" s="326"/>
      <c r="K56" s="130"/>
      <c r="L56" s="130"/>
      <c r="M56" s="282">
        <f t="shared" ref="M56:M60" si="18">SUM(J56:L56)</f>
        <v>0</v>
      </c>
      <c r="N56" s="130"/>
      <c r="O56" s="130"/>
      <c r="P56" s="130"/>
      <c r="Q56" s="282">
        <f t="shared" ref="Q56:Q60" si="19">SUM(N56:P56)</f>
        <v>0</v>
      </c>
      <c r="R56" s="282">
        <f>M56+I56+E56+Q56</f>
        <v>0</v>
      </c>
    </row>
    <row r="57" spans="1:18" ht="13.8" thickBot="1">
      <c r="A57" s="320" t="s">
        <v>101</v>
      </c>
      <c r="B57" s="355"/>
      <c r="C57" s="355"/>
      <c r="D57" s="133"/>
      <c r="E57" s="282">
        <f t="shared" si="16"/>
        <v>0</v>
      </c>
      <c r="F57" s="133"/>
      <c r="G57" s="133"/>
      <c r="H57" s="133"/>
      <c r="I57" s="282">
        <f t="shared" si="17"/>
        <v>0</v>
      </c>
      <c r="J57" s="330"/>
      <c r="K57" s="133"/>
      <c r="L57" s="133"/>
      <c r="M57" s="282">
        <f t="shared" si="18"/>
        <v>0</v>
      </c>
      <c r="N57" s="133"/>
      <c r="O57" s="133"/>
      <c r="P57" s="133"/>
      <c r="Q57" s="282">
        <f t="shared" si="19"/>
        <v>0</v>
      </c>
      <c r="R57" s="282">
        <f>M57+I57+E57+Q57</f>
        <v>0</v>
      </c>
    </row>
    <row r="58" spans="1:18" ht="13.8" thickTop="1">
      <c r="A58" s="315" t="s">
        <v>173</v>
      </c>
      <c r="B58" s="352"/>
      <c r="C58" s="352"/>
      <c r="D58" s="129"/>
      <c r="E58" s="282">
        <f t="shared" si="16"/>
        <v>0</v>
      </c>
      <c r="F58" s="129"/>
      <c r="G58" s="129"/>
      <c r="H58" s="129"/>
      <c r="I58" s="282">
        <f t="shared" si="17"/>
        <v>0</v>
      </c>
      <c r="J58" s="327"/>
      <c r="K58" s="129"/>
      <c r="L58" s="129"/>
      <c r="M58" s="282">
        <f t="shared" si="18"/>
        <v>0</v>
      </c>
      <c r="N58" s="129"/>
      <c r="O58" s="129"/>
      <c r="P58" s="129"/>
      <c r="Q58" s="282">
        <f t="shared" si="19"/>
        <v>0</v>
      </c>
      <c r="R58" s="282">
        <f>M58+I58+E58+Q58</f>
        <v>0</v>
      </c>
    </row>
    <row r="59" spans="1:18" ht="13.8" thickBot="1">
      <c r="A59" s="318" t="s">
        <v>102</v>
      </c>
      <c r="B59" s="353"/>
      <c r="C59" s="353"/>
      <c r="D59" s="131"/>
      <c r="E59" s="282">
        <f t="shared" si="16"/>
        <v>0</v>
      </c>
      <c r="F59" s="131"/>
      <c r="G59" s="131"/>
      <c r="H59" s="131"/>
      <c r="I59" s="282">
        <f t="shared" si="17"/>
        <v>0</v>
      </c>
      <c r="J59" s="328"/>
      <c r="K59" s="131"/>
      <c r="L59" s="131"/>
      <c r="M59" s="282">
        <f t="shared" si="18"/>
        <v>0</v>
      </c>
      <c r="N59" s="131"/>
      <c r="O59" s="131"/>
      <c r="P59" s="131"/>
      <c r="Q59" s="282">
        <f t="shared" si="19"/>
        <v>0</v>
      </c>
      <c r="R59" s="282">
        <f>M59+I59+E59+Q59</f>
        <v>0</v>
      </c>
    </row>
    <row r="60" spans="1:18" ht="14.4" thickTop="1" thickBot="1">
      <c r="A60" s="318" t="s">
        <v>103</v>
      </c>
      <c r="B60" s="353"/>
      <c r="C60" s="353"/>
      <c r="D60" s="131"/>
      <c r="E60" s="282">
        <f t="shared" si="16"/>
        <v>0</v>
      </c>
      <c r="F60" s="131"/>
      <c r="G60" s="131"/>
      <c r="H60" s="131"/>
      <c r="I60" s="282">
        <f t="shared" si="17"/>
        <v>0</v>
      </c>
      <c r="J60" s="328"/>
      <c r="K60" s="131"/>
      <c r="L60" s="131"/>
      <c r="M60" s="282">
        <f t="shared" si="18"/>
        <v>0</v>
      </c>
      <c r="N60" s="131"/>
      <c r="O60" s="131"/>
      <c r="P60" s="131"/>
      <c r="Q60" s="282">
        <f t="shared" si="19"/>
        <v>0</v>
      </c>
      <c r="R60" s="282">
        <f>M60+I60+E60+Q60</f>
        <v>0</v>
      </c>
    </row>
    <row r="61" spans="1:18" ht="13.8" thickTop="1">
      <c r="A61" s="321" t="s">
        <v>104</v>
      </c>
      <c r="B61" s="356"/>
      <c r="C61" s="356"/>
      <c r="D61" s="135"/>
      <c r="E61" s="128"/>
      <c r="F61" s="135"/>
      <c r="G61" s="135"/>
      <c r="H61" s="168"/>
      <c r="I61" s="128"/>
      <c r="J61" s="331"/>
      <c r="K61" s="135"/>
      <c r="L61" s="135"/>
      <c r="M61" s="128"/>
      <c r="N61" s="135"/>
      <c r="O61" s="135"/>
      <c r="P61" s="135"/>
      <c r="Q61" s="128"/>
      <c r="R61" s="128"/>
    </row>
    <row r="62" spans="1:18">
      <c r="A62" s="322" t="s">
        <v>105</v>
      </c>
      <c r="B62" s="357"/>
      <c r="C62" s="357"/>
      <c r="D62" s="136"/>
      <c r="E62" s="282">
        <f t="shared" ref="E62:E64" si="20">SUM(B62:D62)</f>
        <v>0</v>
      </c>
      <c r="F62" s="136"/>
      <c r="G62" s="136"/>
      <c r="H62" s="169"/>
      <c r="I62" s="282">
        <f t="shared" ref="I62:I64" si="21">SUM(F62:H62)</f>
        <v>0</v>
      </c>
      <c r="J62" s="332"/>
      <c r="K62" s="136"/>
      <c r="L62" s="136"/>
      <c r="M62" s="282">
        <f t="shared" ref="M62:M64" si="22">SUM(J62:L62)</f>
        <v>0</v>
      </c>
      <c r="N62" s="136"/>
      <c r="O62" s="136"/>
      <c r="P62" s="136"/>
      <c r="Q62" s="282">
        <f t="shared" ref="Q62:Q64" si="23">SUM(N62:P62)</f>
        <v>0</v>
      </c>
      <c r="R62" s="282">
        <f>M62+I62+E62+Q62</f>
        <v>0</v>
      </c>
    </row>
    <row r="63" spans="1:18">
      <c r="A63" s="322" t="s">
        <v>106</v>
      </c>
      <c r="B63" s="357"/>
      <c r="C63" s="351"/>
      <c r="D63" s="310"/>
      <c r="E63" s="282">
        <f t="shared" si="20"/>
        <v>0</v>
      </c>
      <c r="F63" s="136"/>
      <c r="G63" s="136"/>
      <c r="H63" s="169"/>
      <c r="I63" s="282">
        <f t="shared" si="21"/>
        <v>0</v>
      </c>
      <c r="J63" s="332"/>
      <c r="K63" s="136"/>
      <c r="L63" s="136"/>
      <c r="M63" s="282">
        <f t="shared" si="22"/>
        <v>0</v>
      </c>
      <c r="N63" s="136"/>
      <c r="O63" s="136"/>
      <c r="P63" s="136"/>
      <c r="Q63" s="282">
        <f t="shared" si="23"/>
        <v>0</v>
      </c>
      <c r="R63" s="282">
        <f>M63+I63+E63+Q63</f>
        <v>0</v>
      </c>
    </row>
    <row r="64" spans="1:18">
      <c r="A64" s="322" t="s">
        <v>107</v>
      </c>
      <c r="B64" s="357"/>
      <c r="C64" s="351"/>
      <c r="D64" s="310"/>
      <c r="E64" s="282">
        <f t="shared" si="20"/>
        <v>0</v>
      </c>
      <c r="F64" s="136"/>
      <c r="G64" s="136"/>
      <c r="H64" s="169"/>
      <c r="I64" s="282">
        <f t="shared" si="21"/>
        <v>0</v>
      </c>
      <c r="J64" s="332"/>
      <c r="K64" s="136"/>
      <c r="L64" s="136"/>
      <c r="M64" s="282">
        <f t="shared" si="22"/>
        <v>0</v>
      </c>
      <c r="N64" s="136"/>
      <c r="O64" s="136"/>
      <c r="P64" s="136"/>
      <c r="Q64" s="282">
        <f t="shared" si="23"/>
        <v>0</v>
      </c>
      <c r="R64" s="282">
        <f>M64+I64+E64+Q64</f>
        <v>0</v>
      </c>
    </row>
    <row r="65" spans="1:18" ht="13.8" thickBot="1">
      <c r="A65" s="323" t="s">
        <v>108</v>
      </c>
      <c r="B65" s="358"/>
      <c r="C65" s="350"/>
      <c r="D65" s="311"/>
      <c r="E65" s="173"/>
      <c r="F65" s="287"/>
      <c r="G65" s="287"/>
      <c r="H65" s="289"/>
      <c r="I65" s="173"/>
      <c r="J65" s="333"/>
      <c r="K65" s="287"/>
      <c r="L65" s="287"/>
      <c r="M65" s="173"/>
      <c r="N65" s="287"/>
      <c r="O65" s="287"/>
      <c r="P65" s="287"/>
      <c r="Q65" s="173"/>
      <c r="R65" s="173"/>
    </row>
    <row r="66" spans="1:18" ht="13.8" thickTop="1">
      <c r="A66"/>
      <c r="B66" s="50"/>
      <c r="C66" s="50"/>
      <c r="D66" s="134" t="e">
        <f>SUM(#REF!)</f>
        <v>#REF!</v>
      </c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62"/>
    </row>
    <row r="2" spans="1:6" ht="14.4">
      <c r="A2" s="462"/>
      <c r="B2" s="141"/>
      <c r="C2" s="141"/>
      <c r="D2" s="232"/>
      <c r="E2" s="126"/>
    </row>
    <row r="3" spans="1:6" ht="14.4">
      <c r="A3" s="462"/>
      <c r="B3" s="141"/>
      <c r="C3" s="141"/>
      <c r="D3" s="232"/>
      <c r="E3" s="126"/>
    </row>
    <row r="4" spans="1:6" ht="14.4">
      <c r="A4" s="462"/>
      <c r="B4" s="141"/>
      <c r="C4" s="141"/>
      <c r="D4" s="232"/>
      <c r="E4" s="126"/>
      <c r="F4" s="141"/>
    </row>
    <row r="5" spans="1:6" ht="14.4">
      <c r="A5" s="462"/>
      <c r="B5" s="141"/>
      <c r="C5" s="141"/>
      <c r="D5" s="232"/>
      <c r="E5" s="126"/>
    </row>
    <row r="6" spans="1:6" ht="14.4">
      <c r="A6" s="462"/>
      <c r="B6" s="141"/>
      <c r="C6" s="141"/>
      <c r="D6" s="232"/>
      <c r="E6" s="126"/>
    </row>
    <row r="7" spans="1:6" ht="14.4">
      <c r="A7" s="462"/>
    </row>
    <row r="8" spans="1:6" ht="14.4">
      <c r="A8" s="462"/>
    </row>
    <row r="9" spans="1:6" ht="14.4">
      <c r="A9" s="462"/>
    </row>
    <row r="10" spans="1:6" ht="14.4">
      <c r="A10" s="462"/>
    </row>
    <row r="11" spans="1:6" ht="14.4">
      <c r="A11" s="462"/>
    </row>
    <row r="12" spans="1:6" ht="14.4">
      <c r="A12" s="462"/>
    </row>
    <row r="13" spans="1:6" ht="14.4">
      <c r="A13" s="462"/>
    </row>
    <row r="14" spans="1:6" ht="13.8" customHeight="1">
      <c r="A14" s="462"/>
    </row>
    <row r="15" spans="1:6" ht="14.4">
      <c r="A15" s="462"/>
    </row>
    <row r="16" spans="1:6" ht="14.4">
      <c r="A16" s="462"/>
    </row>
    <row r="17" spans="1:1" ht="14.4">
      <c r="A17" s="462"/>
    </row>
    <row r="18" spans="1:1" ht="14.4">
      <c r="A18" s="462"/>
    </row>
    <row r="19" spans="1:1" ht="14.4">
      <c r="A19" s="462"/>
    </row>
    <row r="20" spans="1:1" ht="14.4">
      <c r="A20" s="462"/>
    </row>
    <row r="21" spans="1:1" ht="14.4">
      <c r="A21" s="462"/>
    </row>
    <row r="22" spans="1:1" ht="14.4">
      <c r="A22" s="463"/>
    </row>
    <row r="23" spans="1:1" ht="14.4">
      <c r="A23" s="463"/>
    </row>
    <row r="24" spans="1:1" ht="14.4">
      <c r="A24" s="463"/>
    </row>
    <row r="25" spans="1:1" ht="14.4">
      <c r="A25" s="463"/>
    </row>
    <row r="26" spans="1:1" ht="14.4">
      <c r="A26" s="463"/>
    </row>
    <row r="27" spans="1:1" ht="14.4">
      <c r="A27" s="463"/>
    </row>
    <row r="28" spans="1:1" ht="14.4">
      <c r="A28" s="463"/>
    </row>
    <row r="29" spans="1:1" ht="14.4">
      <c r="A29" s="463"/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7"/>
  <sheetViews>
    <sheetView zoomScale="80" zoomScaleNormal="80" workbookViewId="0">
      <selection activeCell="A27" sqref="A27:XFD27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16" customWidth="1"/>
    <col min="6" max="8" width="11.6640625" style="11" customWidth="1"/>
    <col min="9" max="9" width="11.44140625" style="116" customWidth="1"/>
    <col min="10" max="10" width="12.77734375" style="11" customWidth="1"/>
    <col min="11" max="11" width="12.21875" style="11" customWidth="1"/>
    <col min="12" max="12" width="12.88671875" style="11" customWidth="1"/>
    <col min="13" max="13" width="12.109375" style="116" customWidth="1"/>
    <col min="14" max="16" width="11.6640625" style="11" customWidth="1"/>
    <col min="17" max="17" width="11.44140625" style="116" customWidth="1"/>
    <col min="18" max="18" width="13.44140625" style="116" customWidth="1"/>
    <col min="19" max="19" width="9.109375" style="11"/>
    <col min="20" max="16384" width="9.109375" style="16"/>
  </cols>
  <sheetData>
    <row r="1" spans="1:19" s="11" customFormat="1" ht="15" customHeight="1">
      <c r="A1" s="29" t="s">
        <v>75</v>
      </c>
      <c r="B1" s="791" t="s">
        <v>121</v>
      </c>
      <c r="C1" s="778"/>
      <c r="D1" s="778"/>
      <c r="E1" s="778"/>
      <c r="F1" s="791" t="s">
        <v>136</v>
      </c>
      <c r="G1" s="778"/>
      <c r="H1" s="778"/>
      <c r="I1" s="778"/>
      <c r="J1" s="791" t="s">
        <v>143</v>
      </c>
      <c r="K1" s="778"/>
      <c r="L1" s="778"/>
      <c r="M1" s="778"/>
      <c r="N1" s="791" t="s">
        <v>147</v>
      </c>
      <c r="O1" s="778"/>
      <c r="P1" s="778"/>
      <c r="Q1" s="778"/>
      <c r="R1" s="146"/>
    </row>
    <row r="2" spans="1:19" s="11" customFormat="1" ht="15" customHeight="1">
      <c r="A2" s="81" t="s">
        <v>0</v>
      </c>
      <c r="B2" s="427" t="s">
        <v>1</v>
      </c>
      <c r="C2" s="427" t="s">
        <v>2</v>
      </c>
      <c r="D2" s="427" t="s">
        <v>3</v>
      </c>
      <c r="E2" s="152" t="s">
        <v>110</v>
      </c>
      <c r="F2" s="427" t="s">
        <v>4</v>
      </c>
      <c r="G2" s="427" t="s">
        <v>5</v>
      </c>
      <c r="H2" s="427" t="s">
        <v>6</v>
      </c>
      <c r="I2" s="152" t="s">
        <v>116</v>
      </c>
      <c r="J2" s="427" t="s">
        <v>7</v>
      </c>
      <c r="K2" s="427" t="s">
        <v>8</v>
      </c>
      <c r="L2" s="427" t="s">
        <v>9</v>
      </c>
      <c r="M2" s="152" t="s">
        <v>117</v>
      </c>
      <c r="N2" s="427" t="s">
        <v>10</v>
      </c>
      <c r="O2" s="427" t="s">
        <v>11</v>
      </c>
      <c r="P2" s="427" t="s">
        <v>12</v>
      </c>
      <c r="Q2" s="152" t="s">
        <v>118</v>
      </c>
      <c r="R2" s="82" t="s">
        <v>119</v>
      </c>
    </row>
    <row r="3" spans="1:19" s="11" customFormat="1" ht="15" customHeight="1">
      <c r="A3" s="82"/>
      <c r="B3" s="427"/>
      <c r="C3" s="427"/>
      <c r="D3" s="427"/>
      <c r="E3" s="718"/>
      <c r="F3" s="427"/>
      <c r="G3" s="427"/>
      <c r="H3" s="427"/>
      <c r="I3" s="717"/>
      <c r="J3" s="427"/>
      <c r="K3" s="427"/>
      <c r="L3" s="427"/>
      <c r="M3" s="726"/>
      <c r="N3" s="427"/>
      <c r="O3" s="427"/>
      <c r="P3" s="427"/>
      <c r="Q3" s="730"/>
      <c r="R3" s="606">
        <f>Target!O5</f>
        <v>0</v>
      </c>
    </row>
    <row r="4" spans="1:19" s="11" customFormat="1" ht="15" customHeight="1">
      <c r="A4" s="83" t="s">
        <v>197</v>
      </c>
      <c r="B4" s="425">
        <f>Target!C5</f>
        <v>0</v>
      </c>
      <c r="C4" s="425">
        <f>Target!D5</f>
        <v>0</v>
      </c>
      <c r="D4" s="425">
        <f>Target!E5</f>
        <v>0</v>
      </c>
      <c r="E4" s="166">
        <f>SUM(B4:D4)</f>
        <v>0</v>
      </c>
      <c r="F4" s="425">
        <f>Target!F5</f>
        <v>0</v>
      </c>
      <c r="G4" s="425">
        <f>Target!G5</f>
        <v>0</v>
      </c>
      <c r="H4" s="425">
        <f>Target!H5</f>
        <v>0</v>
      </c>
      <c r="I4" s="166">
        <f>SUM(F4:H4)</f>
        <v>0</v>
      </c>
      <c r="J4" s="425">
        <f>Target!I5</f>
        <v>0</v>
      </c>
      <c r="K4" s="425">
        <f>Target!J5</f>
        <v>0</v>
      </c>
      <c r="L4" s="425">
        <f>Target!K5</f>
        <v>0</v>
      </c>
      <c r="M4" s="166">
        <f>SUM(J4:L4)</f>
        <v>0</v>
      </c>
      <c r="N4" s="425">
        <f>Target!L5</f>
        <v>0</v>
      </c>
      <c r="O4" s="425">
        <f>Target!M5+2100</f>
        <v>2100</v>
      </c>
      <c r="P4" s="425">
        <f>Target!N5+2100</f>
        <v>2100</v>
      </c>
      <c r="Q4" s="166">
        <f>SUM(N4:P4)</f>
        <v>4200</v>
      </c>
      <c r="R4" s="460">
        <f>E4+I4+M4+Q4</f>
        <v>4200</v>
      </c>
      <c r="S4" s="731" t="e">
        <f>R4/Q3-1</f>
        <v>#DIV/0!</v>
      </c>
    </row>
    <row r="5" spans="1:19" s="11" customFormat="1" ht="15" customHeight="1">
      <c r="A5" s="85" t="s">
        <v>198</v>
      </c>
      <c r="B5" s="426">
        <f>B4</f>
        <v>0</v>
      </c>
      <c r="C5" s="426">
        <f>C4+B5</f>
        <v>0</v>
      </c>
      <c r="D5" s="426">
        <f>D4+C5</f>
        <v>0</v>
      </c>
      <c r="E5" s="435"/>
      <c r="F5" s="426">
        <f>F4</f>
        <v>0</v>
      </c>
      <c r="G5" s="432">
        <f>G4+F5</f>
        <v>0</v>
      </c>
      <c r="H5" s="432">
        <f>H4+G5</f>
        <v>0</v>
      </c>
      <c r="I5" s="435"/>
      <c r="J5" s="432">
        <f>J4</f>
        <v>0</v>
      </c>
      <c r="K5" s="432">
        <f>K4+J5</f>
        <v>0</v>
      </c>
      <c r="L5" s="432">
        <f>L4+K5</f>
        <v>0</v>
      </c>
      <c r="M5" s="692">
        <f>SUM(E6,I6,M6)/3</f>
        <v>0</v>
      </c>
      <c r="N5" s="432">
        <f>N4</f>
        <v>0</v>
      </c>
      <c r="O5" s="432">
        <f>O4+N5</f>
        <v>2100</v>
      </c>
      <c r="P5" s="432">
        <f>P4+O5</f>
        <v>4200</v>
      </c>
      <c r="Q5" s="435"/>
      <c r="R5" s="293">
        <f>R6/R4</f>
        <v>0</v>
      </c>
    </row>
    <row r="6" spans="1:19" s="27" customFormat="1" ht="15" customHeight="1">
      <c r="A6" s="87" t="s">
        <v>37</v>
      </c>
      <c r="B6" s="176">
        <f>SUMIF(I!A:A,$A$1,I!I:I)</f>
        <v>0</v>
      </c>
      <c r="C6" s="175">
        <f>SUMIF(II!A:A,$A$1,II!I:I)</f>
        <v>0</v>
      </c>
      <c r="D6" s="175">
        <f>SUMIF(III!A:A,$A$1,III!I:I)</f>
        <v>0</v>
      </c>
      <c r="E6" s="458">
        <f>SUM(B6:D6)</f>
        <v>0</v>
      </c>
      <c r="F6" s="175">
        <f>SUMIF(IV!A:A,$A$1,IV!I:I)</f>
        <v>0</v>
      </c>
      <c r="G6" s="175">
        <f>SUMIF(V!A:A,$A$1,V!I:I)</f>
        <v>0</v>
      </c>
      <c r="H6" s="175">
        <f>SUMIF(VI!A:A,$A$1,VI!I:I)</f>
        <v>0</v>
      </c>
      <c r="I6" s="458">
        <f>SUM(F6:H6)</f>
        <v>0</v>
      </c>
      <c r="J6" s="175">
        <f>SUMIF(VII!A:A,$A$1,VII!I:I)</f>
        <v>0</v>
      </c>
      <c r="K6" s="175">
        <f>SUMIF(VIII!A:A,$A$1,VIII!I:I)</f>
        <v>0</v>
      </c>
      <c r="L6" s="175">
        <f>SUMIF(IX!A:A,$A$1,IX!I:I)</f>
        <v>0</v>
      </c>
      <c r="M6" s="458">
        <f>SUM(J6:L6)</f>
        <v>0</v>
      </c>
      <c r="N6" s="175">
        <f>SUMIF(X!A:A,$A$1,X!I:I)</f>
        <v>0</v>
      </c>
      <c r="O6" s="175">
        <f>SUMIF(XI!A:A,$A$1,XI!I:I)</f>
        <v>0</v>
      </c>
      <c r="P6" s="175">
        <f>SUMIF(XII!A:A,$A$1,XII!I:I)</f>
        <v>0</v>
      </c>
      <c r="Q6" s="458">
        <f>SUM(N6:P6)</f>
        <v>0</v>
      </c>
      <c r="R6" s="84">
        <f>E6+I6+M6+Q6</f>
        <v>0</v>
      </c>
      <c r="S6" s="11"/>
    </row>
    <row r="7" spans="1:19" s="11" customFormat="1" ht="15" customHeight="1">
      <c r="A7" s="85" t="s">
        <v>199</v>
      </c>
      <c r="B7" s="426">
        <f>B6</f>
        <v>0</v>
      </c>
      <c r="C7" s="426">
        <f>C6+B7</f>
        <v>0</v>
      </c>
      <c r="D7" s="426">
        <f>D6+C7</f>
        <v>0</v>
      </c>
      <c r="E7" s="458"/>
      <c r="F7" s="426">
        <f>F6</f>
        <v>0</v>
      </c>
      <c r="G7" s="429">
        <f>G6+F7</f>
        <v>0</v>
      </c>
      <c r="H7" s="429">
        <f>H6+G7</f>
        <v>0</v>
      </c>
      <c r="I7" s="435">
        <f>SUM(E6,I6)</f>
        <v>0</v>
      </c>
      <c r="J7" s="429">
        <f>J6</f>
        <v>0</v>
      </c>
      <c r="K7" s="429">
        <f>K6+J7</f>
        <v>0</v>
      </c>
      <c r="L7" s="429">
        <f>L6+K7</f>
        <v>0</v>
      </c>
      <c r="M7" s="435">
        <f>SUM(E6,I6,M6)</f>
        <v>0</v>
      </c>
      <c r="N7" s="429">
        <f>N6</f>
        <v>0</v>
      </c>
      <c r="O7" s="429">
        <f>O6+N7</f>
        <v>0</v>
      </c>
      <c r="P7" s="429">
        <f>P6+O7</f>
        <v>0</v>
      </c>
      <c r="Q7" s="458"/>
      <c r="R7" s="604">
        <f>R3-R4</f>
        <v>-4200</v>
      </c>
    </row>
    <row r="8" spans="1:19" s="11" customFormat="1" ht="15" customHeight="1">
      <c r="A8" s="85" t="s">
        <v>200</v>
      </c>
      <c r="B8" s="67" t="e">
        <f t="shared" ref="B8:D9" si="0">B6/B4</f>
        <v>#DIV/0!</v>
      </c>
      <c r="C8" s="67" t="e">
        <f t="shared" si="0"/>
        <v>#DIV/0!</v>
      </c>
      <c r="D8" s="67" t="e">
        <f t="shared" si="0"/>
        <v>#DIV/0!</v>
      </c>
      <c r="E8" s="458"/>
      <c r="F8" s="67" t="e">
        <f t="shared" ref="F8:H9" si="1">F6/F4</f>
        <v>#DIV/0!</v>
      </c>
      <c r="G8" s="73" t="e">
        <f t="shared" si="1"/>
        <v>#DIV/0!</v>
      </c>
      <c r="H8" s="73" t="e">
        <f t="shared" si="1"/>
        <v>#DIV/0!</v>
      </c>
      <c r="I8" s="155" t="e">
        <f>I7/I3-1</f>
        <v>#DIV/0!</v>
      </c>
      <c r="J8" s="73" t="e">
        <f t="shared" ref="J8:L9" si="2">J6/J4</f>
        <v>#DIV/0!</v>
      </c>
      <c r="K8" s="73" t="e">
        <f t="shared" si="2"/>
        <v>#DIV/0!</v>
      </c>
      <c r="L8" s="73" t="e">
        <f t="shared" si="2"/>
        <v>#DIV/0!</v>
      </c>
      <c r="M8" s="155" t="e">
        <f>M7/M3-1</f>
        <v>#DIV/0!</v>
      </c>
      <c r="N8" s="73" t="e">
        <f t="shared" ref="N8:P9" si="3">N6/N4</f>
        <v>#DIV/0!</v>
      </c>
      <c r="O8" s="73">
        <f t="shared" si="3"/>
        <v>0</v>
      </c>
      <c r="P8" s="73">
        <f t="shared" si="3"/>
        <v>0</v>
      </c>
      <c r="Q8" s="733" t="e">
        <f>R6/Q3-1</f>
        <v>#DIV/0!</v>
      </c>
      <c r="R8" s="609" t="e">
        <f>R7*100/R3</f>
        <v>#DIV/0!</v>
      </c>
    </row>
    <row r="9" spans="1:19" s="25" customFormat="1" ht="15" customHeight="1">
      <c r="A9" s="85" t="s">
        <v>201</v>
      </c>
      <c r="B9" s="580" t="e">
        <f t="shared" si="0"/>
        <v>#DIV/0!</v>
      </c>
      <c r="C9" s="580" t="e">
        <f t="shared" si="0"/>
        <v>#DIV/0!</v>
      </c>
      <c r="D9" s="580" t="e">
        <f t="shared" si="0"/>
        <v>#DIV/0!</v>
      </c>
      <c r="E9" s="581"/>
      <c r="F9" s="580" t="e">
        <f t="shared" si="1"/>
        <v>#DIV/0!</v>
      </c>
      <c r="G9" s="580" t="e">
        <f t="shared" si="1"/>
        <v>#DIV/0!</v>
      </c>
      <c r="H9" s="580" t="e">
        <f t="shared" si="1"/>
        <v>#DIV/0!</v>
      </c>
      <c r="I9" s="719">
        <f>I7-I3</f>
        <v>0</v>
      </c>
      <c r="J9" s="580" t="e">
        <f t="shared" si="2"/>
        <v>#DIV/0!</v>
      </c>
      <c r="K9" s="580" t="e">
        <f t="shared" si="2"/>
        <v>#DIV/0!</v>
      </c>
      <c r="L9" s="580" t="e">
        <f t="shared" si="2"/>
        <v>#DIV/0!</v>
      </c>
      <c r="M9" s="719">
        <f>M7-M3</f>
        <v>0</v>
      </c>
      <c r="N9" s="580" t="e">
        <f t="shared" si="3"/>
        <v>#DIV/0!</v>
      </c>
      <c r="O9" s="580">
        <f t="shared" si="3"/>
        <v>0</v>
      </c>
      <c r="P9" s="580">
        <f t="shared" si="3"/>
        <v>0</v>
      </c>
      <c r="Q9" s="732">
        <f>R6-Q3</f>
        <v>0</v>
      </c>
      <c r="R9" s="582"/>
      <c r="S9" s="13"/>
    </row>
    <row r="10" spans="1:19" s="36" customFormat="1" ht="15" customHeight="1">
      <c r="A10" s="85" t="s">
        <v>202</v>
      </c>
      <c r="B10" s="426">
        <f>B7-B5</f>
        <v>0</v>
      </c>
      <c r="C10" s="428">
        <f>C7-C5</f>
        <v>0</v>
      </c>
      <c r="D10" s="428">
        <f>D7-D5</f>
        <v>0</v>
      </c>
      <c r="E10" s="458"/>
      <c r="F10" s="426">
        <f>F7-F5</f>
        <v>0</v>
      </c>
      <c r="G10" s="428">
        <f>G7-G5</f>
        <v>0</v>
      </c>
      <c r="H10" s="428">
        <f>H7-H5</f>
        <v>0</v>
      </c>
      <c r="I10" s="458"/>
      <c r="J10" s="428">
        <f>J7-J5</f>
        <v>0</v>
      </c>
      <c r="K10" s="428">
        <f>K7-K5</f>
        <v>0</v>
      </c>
      <c r="L10" s="428">
        <f>L7-L5</f>
        <v>0</v>
      </c>
      <c r="M10" s="458"/>
      <c r="N10" s="428">
        <f>N7-N5</f>
        <v>0</v>
      </c>
      <c r="O10" s="428">
        <f>O7-O5</f>
        <v>-2100</v>
      </c>
      <c r="P10" s="428">
        <f>P7-P5</f>
        <v>-4200</v>
      </c>
      <c r="Q10" s="458"/>
      <c r="R10" s="86"/>
    </row>
    <row r="11" spans="1:19" s="11" customFormat="1" ht="15" customHeight="1">
      <c r="A11" s="87" t="s">
        <v>177</v>
      </c>
      <c r="B11" s="176">
        <f>SUMIF(I!A:A,$A$1,I!G:G)</f>
        <v>0</v>
      </c>
      <c r="C11" s="175">
        <f>SUMIF(II!A:A,$A$1,II!G:G)</f>
        <v>0</v>
      </c>
      <c r="D11" s="175">
        <f>SUMIF(III!A:A,$A$1,III!G:G)</f>
        <v>0</v>
      </c>
      <c r="E11" s="458">
        <f>SUM(B11:D11)</f>
        <v>0</v>
      </c>
      <c r="F11" s="175">
        <f>SUMIF(IV!A:A,$A$1,IV!G:G)</f>
        <v>0</v>
      </c>
      <c r="G11" s="175">
        <f>SUMIF(V!A:A,$A$1,V!G:G)</f>
        <v>0</v>
      </c>
      <c r="H11" s="175">
        <f>SUMIF(VI!A:A,$A$1,VI!G:G)</f>
        <v>0</v>
      </c>
      <c r="I11" s="458">
        <f>SUM(F11:H11)</f>
        <v>0</v>
      </c>
      <c r="J11" s="175">
        <f>SUMIF(VII!A:A,$A$1,VII!G:G)</f>
        <v>0</v>
      </c>
      <c r="K11" s="175">
        <f>SUMIF(VIII!A:A,$A$1,VIII!G:G)</f>
        <v>0</v>
      </c>
      <c r="L11" s="175">
        <f>SUMIF(IX!A:A,$A$1,IX!G:G)</f>
        <v>0</v>
      </c>
      <c r="M11" s="458">
        <f>SUM(J11:L11)</f>
        <v>0</v>
      </c>
      <c r="N11" s="175">
        <f>SUMIF(X!A:A,$A$1,X!G:G)</f>
        <v>0</v>
      </c>
      <c r="O11" s="175">
        <f>SUMIF(XI!A:A,$A$1,XI!G:G)</f>
        <v>0</v>
      </c>
      <c r="P11" s="175">
        <f>SUMIF(XII!A:A,$A$1,XII!G:G)</f>
        <v>0</v>
      </c>
      <c r="Q11" s="458">
        <f>SUM(N11:P11)</f>
        <v>0</v>
      </c>
      <c r="R11" s="84">
        <f>E11+I11+M11+Q11</f>
        <v>0</v>
      </c>
      <c r="S11" s="13"/>
    </row>
    <row r="12" spans="1:19" customFormat="1" ht="13.2">
      <c r="A12" s="85" t="s">
        <v>178</v>
      </c>
      <c r="B12" s="426">
        <f>B11</f>
        <v>0</v>
      </c>
      <c r="C12" s="429">
        <f>C11+B12</f>
        <v>0</v>
      </c>
      <c r="D12" s="429">
        <f>D11+C12</f>
        <v>0</v>
      </c>
      <c r="E12" s="435"/>
      <c r="F12" s="426">
        <f>F11</f>
        <v>0</v>
      </c>
      <c r="G12" s="429">
        <f>G11+F12</f>
        <v>0</v>
      </c>
      <c r="H12" s="429">
        <f>H11+G12</f>
        <v>0</v>
      </c>
      <c r="I12" s="435"/>
      <c r="J12" s="429">
        <f>J11</f>
        <v>0</v>
      </c>
      <c r="K12" s="429">
        <f>K11+J12</f>
        <v>0</v>
      </c>
      <c r="L12" s="429">
        <f>L11+K12</f>
        <v>0</v>
      </c>
      <c r="M12" s="435"/>
      <c r="N12" s="429">
        <f>N11</f>
        <v>0</v>
      </c>
      <c r="O12" s="429">
        <f>O11+N12</f>
        <v>0</v>
      </c>
      <c r="P12" s="429">
        <f>P11+O12</f>
        <v>0</v>
      </c>
      <c r="Q12" s="435"/>
      <c r="R12" s="86"/>
    </row>
    <row r="13" spans="1:19" s="27" customFormat="1" ht="15" customHeight="1">
      <c r="A13" s="92" t="s">
        <v>188</v>
      </c>
      <c r="B13" s="69" t="e">
        <f t="shared" ref="B13:D14" si="4">B6/B11</f>
        <v>#DIV/0!</v>
      </c>
      <c r="C13" s="430" t="e">
        <f t="shared" si="4"/>
        <v>#DIV/0!</v>
      </c>
      <c r="D13" s="430" t="e">
        <f t="shared" si="4"/>
        <v>#DIV/0!</v>
      </c>
      <c r="E13" s="156"/>
      <c r="F13" s="69" t="e">
        <f t="shared" ref="F13:H14" si="5">F6/F11</f>
        <v>#DIV/0!</v>
      </c>
      <c r="G13" s="430" t="e">
        <f t="shared" si="5"/>
        <v>#DIV/0!</v>
      </c>
      <c r="H13" s="430" t="e">
        <f t="shared" si="5"/>
        <v>#DIV/0!</v>
      </c>
      <c r="I13" s="156"/>
      <c r="J13" s="430" t="e">
        <f t="shared" ref="J13:L14" si="6">J6/J11</f>
        <v>#DIV/0!</v>
      </c>
      <c r="K13" s="430" t="e">
        <f t="shared" si="6"/>
        <v>#DIV/0!</v>
      </c>
      <c r="L13" s="430" t="e">
        <f t="shared" si="6"/>
        <v>#DIV/0!</v>
      </c>
      <c r="M13" s="156"/>
      <c r="N13" s="430" t="e">
        <f t="shared" ref="N13:P14" si="7">N6/N11</f>
        <v>#DIV/0!</v>
      </c>
      <c r="O13" s="430" t="e">
        <f t="shared" si="7"/>
        <v>#DIV/0!</v>
      </c>
      <c r="P13" s="430" t="e">
        <f t="shared" si="7"/>
        <v>#DIV/0!</v>
      </c>
      <c r="Q13" s="156"/>
      <c r="R13" s="93"/>
      <c r="S13" s="13"/>
    </row>
    <row r="14" spans="1:19" s="11" customFormat="1" ht="15" customHeight="1">
      <c r="A14" s="92" t="s">
        <v>189</v>
      </c>
      <c r="B14" s="69" t="e">
        <f t="shared" si="4"/>
        <v>#DIV/0!</v>
      </c>
      <c r="C14" s="430" t="e">
        <f t="shared" si="4"/>
        <v>#DIV/0!</v>
      </c>
      <c r="D14" s="430" t="e">
        <f t="shared" si="4"/>
        <v>#DIV/0!</v>
      </c>
      <c r="E14" s="156"/>
      <c r="F14" s="69" t="e">
        <f t="shared" si="5"/>
        <v>#DIV/0!</v>
      </c>
      <c r="G14" s="430" t="e">
        <f t="shared" si="5"/>
        <v>#DIV/0!</v>
      </c>
      <c r="H14" s="430" t="e">
        <f t="shared" si="5"/>
        <v>#DIV/0!</v>
      </c>
      <c r="I14" s="156"/>
      <c r="J14" s="430" t="e">
        <f t="shared" si="6"/>
        <v>#DIV/0!</v>
      </c>
      <c r="K14" s="430" t="e">
        <f t="shared" si="6"/>
        <v>#DIV/0!</v>
      </c>
      <c r="L14" s="430" t="e">
        <f t="shared" si="6"/>
        <v>#DIV/0!</v>
      </c>
      <c r="M14" s="156"/>
      <c r="N14" s="430" t="e">
        <f t="shared" si="7"/>
        <v>#DIV/0!</v>
      </c>
      <c r="O14" s="430" t="e">
        <f t="shared" si="7"/>
        <v>#DIV/0!</v>
      </c>
      <c r="P14" s="430" t="e">
        <f t="shared" si="7"/>
        <v>#DIV/0!</v>
      </c>
      <c r="Q14" s="156"/>
      <c r="R14" s="93"/>
    </row>
    <row r="15" spans="1:19" s="52" customFormat="1" ht="15" customHeight="1">
      <c r="A15" s="95"/>
      <c r="B15" s="76"/>
      <c r="C15" s="76"/>
      <c r="D15" s="76"/>
      <c r="E15" s="157"/>
      <c r="F15" s="76"/>
      <c r="G15" s="76"/>
      <c r="H15" s="76"/>
      <c r="I15" s="157"/>
      <c r="J15" s="76"/>
      <c r="K15" s="76"/>
      <c r="L15" s="76"/>
      <c r="M15" s="157"/>
      <c r="N15" s="76"/>
      <c r="O15" s="76"/>
      <c r="P15" s="76"/>
      <c r="Q15" s="157"/>
      <c r="R15" s="94"/>
      <c r="S15" s="51"/>
    </row>
    <row r="16" spans="1:19" s="11" customFormat="1" ht="15" customHeight="1">
      <c r="A16" s="142" t="s">
        <v>26</v>
      </c>
      <c r="B16" s="705" t="s">
        <v>26</v>
      </c>
      <c r="C16" s="706"/>
      <c r="D16" s="706"/>
      <c r="E16" s="706"/>
      <c r="F16" s="434"/>
      <c r="G16" s="434"/>
      <c r="H16" s="434"/>
      <c r="I16" s="434"/>
      <c r="J16" s="434"/>
      <c r="K16" s="434"/>
      <c r="L16" s="434"/>
      <c r="M16" s="434"/>
      <c r="N16" s="434"/>
      <c r="O16" s="434"/>
      <c r="P16" s="434"/>
      <c r="Q16" s="434"/>
      <c r="R16" s="174"/>
    </row>
    <row r="17" spans="1:19" s="11" customFormat="1" ht="15" customHeight="1">
      <c r="A17" s="54" t="s">
        <v>74</v>
      </c>
      <c r="B17" s="62">
        <f>Target!P33</f>
        <v>0</v>
      </c>
      <c r="C17" s="62">
        <f>Target!P33</f>
        <v>0</v>
      </c>
      <c r="D17" s="62">
        <f>Target!P33</f>
        <v>0</v>
      </c>
      <c r="E17" s="159"/>
      <c r="F17" s="62">
        <f>Target!P42</f>
        <v>6800</v>
      </c>
      <c r="G17" s="62">
        <f>Target!P42</f>
        <v>6800</v>
      </c>
      <c r="H17" s="62">
        <f>Target!P42</f>
        <v>6800</v>
      </c>
      <c r="I17" s="159"/>
      <c r="J17" s="62">
        <f>Target!P52</f>
        <v>6800</v>
      </c>
      <c r="K17" s="62">
        <f>Target!P52</f>
        <v>6800</v>
      </c>
      <c r="L17" s="62">
        <f>Target!P52</f>
        <v>6800</v>
      </c>
      <c r="M17" s="159"/>
      <c r="N17" s="62">
        <f>Target!P61</f>
        <v>6800</v>
      </c>
      <c r="O17" s="62">
        <f>Target!P61</f>
        <v>6800</v>
      </c>
      <c r="P17" s="62">
        <f>Target!P61</f>
        <v>6800</v>
      </c>
      <c r="Q17" s="159"/>
      <c r="R17" s="98"/>
    </row>
    <row r="18" spans="1:19" s="14" customFormat="1" ht="15" customHeight="1">
      <c r="A18" s="680" t="s">
        <v>203</v>
      </c>
      <c r="B18" s="425">
        <f>Target!O40</f>
        <v>10266.666666666666</v>
      </c>
      <c r="C18" s="425">
        <f>Target!O40</f>
        <v>10266.666666666666</v>
      </c>
      <c r="D18" s="425">
        <f>Target!O40</f>
        <v>10266.666666666666</v>
      </c>
      <c r="E18" s="681"/>
      <c r="F18" s="425">
        <f>Target!O40</f>
        <v>10266.666666666666</v>
      </c>
      <c r="G18" s="425">
        <f>Target!O40</f>
        <v>10266.666666666666</v>
      </c>
      <c r="H18" s="425">
        <f>Target!O40</f>
        <v>10266.666666666666</v>
      </c>
      <c r="I18" s="681"/>
      <c r="J18" s="425">
        <f>Target!O50</f>
        <v>7000</v>
      </c>
      <c r="K18" s="425">
        <f>Target!O50</f>
        <v>7000</v>
      </c>
      <c r="L18" s="425">
        <f>Target!O50</f>
        <v>7000</v>
      </c>
      <c r="M18" s="681"/>
      <c r="N18" s="425">
        <f>Target!O59</f>
        <v>7000</v>
      </c>
      <c r="O18" s="425">
        <f>Target!O59</f>
        <v>7000</v>
      </c>
      <c r="P18" s="425">
        <f>Target!O59</f>
        <v>7000</v>
      </c>
      <c r="Q18" s="681"/>
      <c r="R18" s="98"/>
      <c r="S18" s="18"/>
    </row>
    <row r="19" spans="1:19" s="14" customFormat="1" ht="15" customHeight="1">
      <c r="A19" s="680" t="s">
        <v>208</v>
      </c>
      <c r="B19" s="707">
        <f>Target!J33</f>
        <v>0</v>
      </c>
      <c r="C19" s="707">
        <f>Target!J33</f>
        <v>0</v>
      </c>
      <c r="D19" s="707">
        <f>Target!J33</f>
        <v>0</v>
      </c>
      <c r="E19" s="681"/>
      <c r="F19" s="707">
        <f>Target!J42</f>
        <v>0</v>
      </c>
      <c r="G19" s="707">
        <f>Target!J42</f>
        <v>0</v>
      </c>
      <c r="H19" s="707">
        <f>Target!J42</f>
        <v>0</v>
      </c>
      <c r="I19" s="681"/>
      <c r="J19" s="707">
        <f>Target!J52</f>
        <v>0</v>
      </c>
      <c r="K19" s="707">
        <f>Target!J52</f>
        <v>0</v>
      </c>
      <c r="L19" s="707">
        <f>Target!J52</f>
        <v>0</v>
      </c>
      <c r="M19" s="681"/>
      <c r="N19" s="707">
        <f>Target!J61</f>
        <v>0</v>
      </c>
      <c r="O19" s="707">
        <f>Target!J61</f>
        <v>0</v>
      </c>
      <c r="P19" s="707">
        <f>Target!J61</f>
        <v>0</v>
      </c>
      <c r="Q19" s="681"/>
      <c r="R19" s="98"/>
      <c r="S19" s="18"/>
    </row>
    <row r="20" spans="1:19" s="14" customFormat="1" ht="15" customHeight="1">
      <c r="A20" s="690" t="s">
        <v>204</v>
      </c>
      <c r="B20" s="691">
        <f>Target!N33</f>
        <v>0</v>
      </c>
      <c r="C20" s="691">
        <f>Target!N33</f>
        <v>0</v>
      </c>
      <c r="D20" s="691">
        <f>Target!N33</f>
        <v>0</v>
      </c>
      <c r="E20" s="692"/>
      <c r="F20" s="691">
        <f>Target!N42</f>
        <v>0</v>
      </c>
      <c r="G20" s="691">
        <f>Target!N42</f>
        <v>0</v>
      </c>
      <c r="H20" s="691">
        <f>Target!N42</f>
        <v>0</v>
      </c>
      <c r="I20" s="692"/>
      <c r="J20" s="691">
        <f>Target!N52</f>
        <v>0</v>
      </c>
      <c r="K20" s="691">
        <f>Target!N52</f>
        <v>0</v>
      </c>
      <c r="L20" s="691">
        <f>Target!N52</f>
        <v>0</v>
      </c>
      <c r="M20" s="692"/>
      <c r="N20" s="691">
        <f>Target!N61</f>
        <v>0</v>
      </c>
      <c r="O20" s="691">
        <f>Target!N61</f>
        <v>0</v>
      </c>
      <c r="P20" s="691">
        <f>Target!N61</f>
        <v>0</v>
      </c>
      <c r="Q20" s="692"/>
      <c r="R20" s="98"/>
      <c r="S20" s="18"/>
    </row>
    <row r="21" spans="1:19" s="11" customFormat="1" ht="15" customHeight="1">
      <c r="A21" s="17" t="s">
        <v>209</v>
      </c>
      <c r="B21" s="57">
        <f>B5</f>
        <v>0</v>
      </c>
      <c r="C21" s="57">
        <f>C5</f>
        <v>0</v>
      </c>
      <c r="D21" s="57">
        <f>D5</f>
        <v>0</v>
      </c>
      <c r="E21" s="160"/>
      <c r="F21" s="57">
        <f>F5</f>
        <v>0</v>
      </c>
      <c r="G21" s="57">
        <f>G5</f>
        <v>0</v>
      </c>
      <c r="H21" s="57">
        <f>H5</f>
        <v>0</v>
      </c>
      <c r="I21" s="160"/>
      <c r="J21" s="57">
        <f>J5</f>
        <v>0</v>
      </c>
      <c r="K21" s="57">
        <f>K5</f>
        <v>0</v>
      </c>
      <c r="L21" s="57">
        <f>L5</f>
        <v>0</v>
      </c>
      <c r="M21" s="160"/>
      <c r="N21" s="57">
        <f>N5</f>
        <v>0</v>
      </c>
      <c r="O21" s="57">
        <f>O5</f>
        <v>2100</v>
      </c>
      <c r="P21" s="57">
        <f>P5</f>
        <v>4200</v>
      </c>
      <c r="Q21" s="160"/>
      <c r="R21" s="100"/>
    </row>
    <row r="22" spans="1:19" s="11" customFormat="1" ht="15" customHeight="1">
      <c r="A22" s="699" t="s">
        <v>37</v>
      </c>
      <c r="B22" s="702">
        <f>B7</f>
        <v>0</v>
      </c>
      <c r="C22" s="702">
        <f>C7</f>
        <v>0</v>
      </c>
      <c r="D22" s="702">
        <f>D7</f>
        <v>0</v>
      </c>
      <c r="E22" s="703"/>
      <c r="F22" s="702">
        <f>F7</f>
        <v>0</v>
      </c>
      <c r="G22" s="702">
        <f>G7</f>
        <v>0</v>
      </c>
      <c r="H22" s="702">
        <f>H7</f>
        <v>0</v>
      </c>
      <c r="I22" s="703"/>
      <c r="J22" s="702">
        <f>J7</f>
        <v>0</v>
      </c>
      <c r="K22" s="702">
        <f>K7</f>
        <v>0</v>
      </c>
      <c r="L22" s="702">
        <f>L7</f>
        <v>0</v>
      </c>
      <c r="M22" s="703"/>
      <c r="N22" s="702">
        <f>N7</f>
        <v>0</v>
      </c>
      <c r="O22" s="702">
        <f>O7</f>
        <v>0</v>
      </c>
      <c r="P22" s="702">
        <f>P7</f>
        <v>0</v>
      </c>
      <c r="Q22" s="703"/>
      <c r="R22" s="105"/>
    </row>
    <row r="23" spans="1:19" s="11" customFormat="1" ht="15" customHeight="1">
      <c r="A23" s="17" t="s">
        <v>201</v>
      </c>
      <c r="B23" s="695" t="e">
        <f>B22/B21</f>
        <v>#DIV/0!</v>
      </c>
      <c r="C23" s="695" t="e">
        <f>C22/C21</f>
        <v>#DIV/0!</v>
      </c>
      <c r="D23" s="695" t="e">
        <f>D22/D21</f>
        <v>#DIV/0!</v>
      </c>
      <c r="E23" s="696"/>
      <c r="F23" s="695" t="e">
        <f>F22/F21</f>
        <v>#DIV/0!</v>
      </c>
      <c r="G23" s="695" t="e">
        <f>G22/G21</f>
        <v>#DIV/0!</v>
      </c>
      <c r="H23" s="695" t="e">
        <f>H22/H21</f>
        <v>#DIV/0!</v>
      </c>
      <c r="I23" s="696"/>
      <c r="J23" s="695" t="e">
        <f>J22/J21</f>
        <v>#DIV/0!</v>
      </c>
      <c r="K23" s="695" t="e">
        <f>K22/K21</f>
        <v>#DIV/0!</v>
      </c>
      <c r="L23" s="695" t="e">
        <f>L22/L21</f>
        <v>#DIV/0!</v>
      </c>
      <c r="M23" s="696"/>
      <c r="N23" s="695" t="e">
        <f>N22/N21</f>
        <v>#DIV/0!</v>
      </c>
      <c r="O23" s="695">
        <f>O22/O21</f>
        <v>0</v>
      </c>
      <c r="P23" s="695">
        <f>P22/P21</f>
        <v>0</v>
      </c>
      <c r="Q23" s="696"/>
      <c r="R23" s="105"/>
    </row>
    <row r="24" spans="1:19" s="15" customFormat="1" ht="15" customHeight="1">
      <c r="A24" s="697" t="s">
        <v>60</v>
      </c>
      <c r="B24" s="698">
        <f>B20*0.35</f>
        <v>0</v>
      </c>
      <c r="C24" s="698">
        <f>C20*0.35</f>
        <v>0</v>
      </c>
      <c r="D24" s="698">
        <f>D20*0.35</f>
        <v>0</v>
      </c>
      <c r="E24" s="458"/>
      <c r="F24" s="698">
        <f>F20*0.35</f>
        <v>0</v>
      </c>
      <c r="G24" s="698">
        <f>G20*0.35</f>
        <v>0</v>
      </c>
      <c r="H24" s="698">
        <f>H20*0.35</f>
        <v>0</v>
      </c>
      <c r="I24" s="458"/>
      <c r="J24" s="698">
        <f>J20*0.35</f>
        <v>0</v>
      </c>
      <c r="K24" s="698">
        <f>K20*0.35</f>
        <v>0</v>
      </c>
      <c r="L24" s="698">
        <f>L20*0.35</f>
        <v>0</v>
      </c>
      <c r="M24" s="458"/>
      <c r="N24" s="698">
        <f>N20*0.35</f>
        <v>0</v>
      </c>
      <c r="O24" s="698">
        <f>O20*0.35</f>
        <v>0</v>
      </c>
      <c r="P24" s="698">
        <f>P20*0.35</f>
        <v>0</v>
      </c>
      <c r="Q24" s="458"/>
      <c r="R24" s="693"/>
      <c r="S24" s="11"/>
    </row>
    <row r="25" spans="1:19" s="11" customFormat="1" ht="15" customHeight="1">
      <c r="A25" s="17" t="s">
        <v>53</v>
      </c>
      <c r="B25" s="57" t="e">
        <f>IF(B23&lt;80%,0,IF(B23&lt;90%,0.5,IF(B23&lt;95%,0.75,1)))</f>
        <v>#DIV/0!</v>
      </c>
      <c r="C25" s="57" t="e">
        <f>IF(C23&lt;80%,0,IF(C23&lt;90%,0.5,IF(C23&lt;95%,0.75,1)))</f>
        <v>#DIV/0!</v>
      </c>
      <c r="D25" s="57" t="e">
        <f>IF(D23&lt;80%,0,IF(D23&lt;90%,0.5,IF(D23&lt;95%,0.75,1)))</f>
        <v>#DIV/0!</v>
      </c>
      <c r="E25" s="160"/>
      <c r="F25" s="57" t="e">
        <f>IF(F23&lt;80%,0,IF(F23&lt;90%,0.5,IF(F23&lt;95%,0.75,1)))</f>
        <v>#DIV/0!</v>
      </c>
      <c r="G25" s="57" t="e">
        <f>IF(G23&lt;80%,0,IF(G23&lt;90%,0.5,IF(G23&lt;95%,0.75,1)))</f>
        <v>#DIV/0!</v>
      </c>
      <c r="H25" s="57" t="e">
        <f>IF(H23&lt;80%,0,IF(H23&lt;90%,0.5,IF(H23&lt;95%,0.75,1)))</f>
        <v>#DIV/0!</v>
      </c>
      <c r="I25" s="160"/>
      <c r="J25" s="57" t="e">
        <f>IF(J23&lt;80%,0,IF(J23&lt;90%,0.5,IF(J23&lt;95%,0.75,1)))</f>
        <v>#DIV/0!</v>
      </c>
      <c r="K25" s="57" t="e">
        <f>IF(K23&lt;80%,0,IF(K23&lt;90%,0.5,IF(K23&lt;95%,0.75,1)))</f>
        <v>#DIV/0!</v>
      </c>
      <c r="L25" s="57" t="e">
        <f>IF(L23&lt;80%,0,IF(L23&lt;90%,0.5,IF(L23&lt;95%,0.75,1)))</f>
        <v>#DIV/0!</v>
      </c>
      <c r="M25" s="160"/>
      <c r="N25" s="57" t="e">
        <f>IF(N23&lt;80%,0,IF(N23&lt;90%,0.5,IF(N23&lt;95%,0.75,1)))</f>
        <v>#DIV/0!</v>
      </c>
      <c r="O25" s="57">
        <f>IF(O23&lt;80%,0,IF(O23&lt;90%,0.5,IF(O23&lt;95%,0.75,1)))</f>
        <v>0</v>
      </c>
      <c r="P25" s="57">
        <f>IF(P23&lt;80%,0,IF(P23&lt;90%,0.5,IF(P23&lt;95%,0.75,1)))</f>
        <v>0</v>
      </c>
      <c r="Q25" s="160"/>
      <c r="R25" s="105"/>
    </row>
    <row r="26" spans="1:19" s="11" customFormat="1" ht="15" customHeight="1">
      <c r="A26" s="43" t="s">
        <v>54</v>
      </c>
      <c r="B26" s="58" t="e">
        <f>B25*B24</f>
        <v>#DIV/0!</v>
      </c>
      <c r="C26" s="58" t="e">
        <f>C25*C24</f>
        <v>#DIV/0!</v>
      </c>
      <c r="D26" s="58" t="e">
        <f>D25*D24</f>
        <v>#DIV/0!</v>
      </c>
      <c r="E26" s="164"/>
      <c r="F26" s="58" t="e">
        <f>F25*F24</f>
        <v>#DIV/0!</v>
      </c>
      <c r="G26" s="58" t="e">
        <f>G25*G24</f>
        <v>#DIV/0!</v>
      </c>
      <c r="H26" s="58" t="e">
        <f>H25*H24</f>
        <v>#DIV/0!</v>
      </c>
      <c r="I26" s="164"/>
      <c r="J26" s="58" t="e">
        <f>J25*J24</f>
        <v>#DIV/0!</v>
      </c>
      <c r="K26" s="58" t="e">
        <f>K25*K24</f>
        <v>#DIV/0!</v>
      </c>
      <c r="L26" s="58" t="e">
        <f>L25*L24</f>
        <v>#DIV/0!</v>
      </c>
      <c r="M26" s="164"/>
      <c r="N26" s="58" t="e">
        <f>N25*N24</f>
        <v>#DIV/0!</v>
      </c>
      <c r="O26" s="58">
        <f>O25*O24</f>
        <v>0</v>
      </c>
      <c r="P26" s="58">
        <f>P25*P24</f>
        <v>0</v>
      </c>
      <c r="Q26" s="164"/>
      <c r="R26" s="104"/>
      <c r="S26" s="13"/>
    </row>
    <row r="27" spans="1:19" s="15" customFormat="1" ht="15" customHeight="1">
      <c r="A27" s="697" t="s">
        <v>59</v>
      </c>
      <c r="B27" s="698">
        <f>B18*0.05</f>
        <v>513.33333333333337</v>
      </c>
      <c r="C27" s="698">
        <f>C18*0.05</f>
        <v>513.33333333333337</v>
      </c>
      <c r="D27" s="698">
        <f>D18*0.05</f>
        <v>513.33333333333337</v>
      </c>
      <c r="E27" s="458"/>
      <c r="F27" s="698">
        <f>F18*0.05</f>
        <v>513.33333333333337</v>
      </c>
      <c r="G27" s="698">
        <f>G18*0.05</f>
        <v>513.33333333333337</v>
      </c>
      <c r="H27" s="698">
        <f>H18*0.05</f>
        <v>513.33333333333337</v>
      </c>
      <c r="I27" s="458"/>
      <c r="J27" s="698">
        <f>J18*0.05</f>
        <v>350</v>
      </c>
      <c r="K27" s="698">
        <f>K18*0.05</f>
        <v>350</v>
      </c>
      <c r="L27" s="698">
        <f>L18*0.05</f>
        <v>350</v>
      </c>
      <c r="M27" s="458"/>
      <c r="N27" s="698">
        <f>N18*0.05</f>
        <v>350</v>
      </c>
      <c r="O27" s="698">
        <f>O18*0.05</f>
        <v>350</v>
      </c>
      <c r="P27" s="698">
        <f>P18*0.05</f>
        <v>350</v>
      </c>
      <c r="Q27" s="458"/>
      <c r="R27" s="693"/>
    </row>
    <row r="28" spans="1:19" s="11" customFormat="1" ht="15" customHeight="1">
      <c r="A28" s="17" t="s">
        <v>62</v>
      </c>
      <c r="B28" s="57"/>
      <c r="C28" s="57"/>
      <c r="D28" s="57"/>
      <c r="E28" s="160"/>
      <c r="F28" s="57"/>
      <c r="G28" s="57"/>
      <c r="H28" s="57"/>
      <c r="I28" s="160"/>
      <c r="J28" s="57"/>
      <c r="K28" s="57"/>
      <c r="L28" s="57"/>
      <c r="M28" s="160"/>
      <c r="N28" s="57"/>
      <c r="O28" s="57"/>
      <c r="P28" s="57"/>
      <c r="Q28" s="160"/>
      <c r="R28" s="105"/>
    </row>
    <row r="29" spans="1:19" s="19" customFormat="1" ht="15" customHeight="1">
      <c r="A29" s="48" t="s">
        <v>63</v>
      </c>
      <c r="B29" s="58">
        <f>B28*B27</f>
        <v>0</v>
      </c>
      <c r="C29" s="58">
        <f>C28*C27</f>
        <v>0</v>
      </c>
      <c r="D29" s="58">
        <f>D28*D27</f>
        <v>0</v>
      </c>
      <c r="E29" s="164"/>
      <c r="F29" s="58">
        <f>F28*F27</f>
        <v>0</v>
      </c>
      <c r="G29" s="58">
        <f>G28*G27</f>
        <v>0</v>
      </c>
      <c r="H29" s="58">
        <f>H28*H27</f>
        <v>0</v>
      </c>
      <c r="I29" s="164"/>
      <c r="J29" s="58">
        <f>J28*J27</f>
        <v>0</v>
      </c>
      <c r="K29" s="58">
        <f>K28*K27</f>
        <v>0</v>
      </c>
      <c r="L29" s="58">
        <f>L28*L27</f>
        <v>0</v>
      </c>
      <c r="M29" s="164"/>
      <c r="N29" s="58">
        <f>N28*N27</f>
        <v>0</v>
      </c>
      <c r="O29" s="58">
        <f>O28*O27</f>
        <v>0</v>
      </c>
      <c r="P29" s="58">
        <f>P28*P27</f>
        <v>0</v>
      </c>
      <c r="Q29" s="164"/>
      <c r="R29" s="107"/>
      <c r="S29" s="13"/>
    </row>
    <row r="30" spans="1:19" s="35" customFormat="1" ht="15" customHeight="1">
      <c r="A30" s="41" t="s">
        <v>67</v>
      </c>
      <c r="B30" s="61" t="e">
        <f>B26+B29</f>
        <v>#DIV/0!</v>
      </c>
      <c r="C30" s="61" t="e">
        <f>C26+C29</f>
        <v>#DIV/0!</v>
      </c>
      <c r="D30" s="61" t="e">
        <f>D26+D29</f>
        <v>#DIV/0!</v>
      </c>
      <c r="E30" s="166"/>
      <c r="F30" s="61" t="e">
        <f>F26+F29</f>
        <v>#DIV/0!</v>
      </c>
      <c r="G30" s="61" t="e">
        <f>G26+G29</f>
        <v>#DIV/0!</v>
      </c>
      <c r="H30" s="61" t="e">
        <f>H26+H29</f>
        <v>#DIV/0!</v>
      </c>
      <c r="I30" s="166"/>
      <c r="J30" s="61" t="e">
        <f>J26+J29</f>
        <v>#DIV/0!</v>
      </c>
      <c r="K30" s="61" t="e">
        <f>K26+K29</f>
        <v>#DIV/0!</v>
      </c>
      <c r="L30" s="61" t="e">
        <f>L26+L29</f>
        <v>#DIV/0!</v>
      </c>
      <c r="M30" s="166"/>
      <c r="N30" s="61" t="e">
        <f>N26+N29</f>
        <v>#DIV/0!</v>
      </c>
      <c r="O30" s="61">
        <f>O26+O29</f>
        <v>0</v>
      </c>
      <c r="P30" s="61">
        <f>P26+P29</f>
        <v>0</v>
      </c>
      <c r="Q30" s="166"/>
      <c r="R30" s="108"/>
      <c r="S30" s="15"/>
    </row>
    <row r="31" spans="1:19" s="11" customFormat="1" ht="15" customHeight="1">
      <c r="A31" s="99" t="s">
        <v>115</v>
      </c>
      <c r="B31" s="774">
        <f>D5</f>
        <v>0</v>
      </c>
      <c r="C31" s="775"/>
      <c r="D31" s="775"/>
      <c r="E31" s="776"/>
      <c r="F31" s="774">
        <f>H5</f>
        <v>0</v>
      </c>
      <c r="G31" s="775"/>
      <c r="H31" s="775"/>
      <c r="I31" s="776"/>
      <c r="J31" s="774">
        <f>L5</f>
        <v>0</v>
      </c>
      <c r="K31" s="775"/>
      <c r="L31" s="775"/>
      <c r="M31" s="776"/>
      <c r="N31" s="774">
        <f>P5</f>
        <v>4200</v>
      </c>
      <c r="O31" s="775"/>
      <c r="P31" s="775"/>
      <c r="Q31" s="776"/>
      <c r="R31" s="693"/>
    </row>
    <row r="32" spans="1:19" s="11" customFormat="1" ht="15" customHeight="1">
      <c r="A32" s="99" t="s">
        <v>69</v>
      </c>
      <c r="B32" s="774">
        <f>D7</f>
        <v>0</v>
      </c>
      <c r="C32" s="775"/>
      <c r="D32" s="775"/>
      <c r="E32" s="776"/>
      <c r="F32" s="774">
        <f>H7</f>
        <v>0</v>
      </c>
      <c r="G32" s="775"/>
      <c r="H32" s="775"/>
      <c r="I32" s="776"/>
      <c r="J32" s="774">
        <f>L7</f>
        <v>0</v>
      </c>
      <c r="K32" s="775"/>
      <c r="L32" s="775"/>
      <c r="M32" s="776"/>
      <c r="N32" s="774">
        <f>P7</f>
        <v>0</v>
      </c>
      <c r="O32" s="775"/>
      <c r="P32" s="775"/>
      <c r="Q32" s="776"/>
      <c r="R32" s="693"/>
    </row>
    <row r="33" spans="1:19" s="11" customFormat="1" ht="15" customHeight="1">
      <c r="A33" s="99" t="s">
        <v>68</v>
      </c>
      <c r="B33" s="783" t="e">
        <f>B32/B31</f>
        <v>#DIV/0!</v>
      </c>
      <c r="C33" s="784"/>
      <c r="D33" s="784"/>
      <c r="E33" s="776"/>
      <c r="F33" s="783" t="e">
        <f>F32/F31</f>
        <v>#DIV/0!</v>
      </c>
      <c r="G33" s="784"/>
      <c r="H33" s="784"/>
      <c r="I33" s="776"/>
      <c r="J33" s="783" t="e">
        <f>J32/J31</f>
        <v>#DIV/0!</v>
      </c>
      <c r="K33" s="784"/>
      <c r="L33" s="784"/>
      <c r="M33" s="776"/>
      <c r="N33" s="783">
        <f>N32/N31</f>
        <v>0</v>
      </c>
      <c r="O33" s="784"/>
      <c r="P33" s="784"/>
      <c r="Q33" s="776"/>
      <c r="R33" s="693"/>
    </row>
    <row r="34" spans="1:19" s="11" customFormat="1" ht="15" customHeight="1">
      <c r="A34" s="99" t="s">
        <v>65</v>
      </c>
      <c r="B34" s="774">
        <f>D17</f>
        <v>0</v>
      </c>
      <c r="C34" s="775"/>
      <c r="D34" s="775"/>
      <c r="E34" s="776"/>
      <c r="F34" s="774">
        <f>H18</f>
        <v>10266.666666666666</v>
      </c>
      <c r="G34" s="775"/>
      <c r="H34" s="775"/>
      <c r="I34" s="776"/>
      <c r="J34" s="774">
        <f>L18</f>
        <v>7000</v>
      </c>
      <c r="K34" s="775"/>
      <c r="L34" s="775"/>
      <c r="M34" s="776"/>
      <c r="N34" s="774">
        <f>P18</f>
        <v>7000</v>
      </c>
      <c r="O34" s="775"/>
      <c r="P34" s="775"/>
      <c r="Q34" s="776"/>
      <c r="R34" s="693"/>
    </row>
    <row r="35" spans="1:19" s="11" customFormat="1" ht="15" customHeight="1">
      <c r="A35" s="694" t="s">
        <v>66</v>
      </c>
      <c r="B35" s="774" t="e">
        <f>IF(B33&lt;100%,0,IF(B33&lt;105%,0.5,IF(B33&lt;110%,0.7,1)))</f>
        <v>#DIV/0!</v>
      </c>
      <c r="C35" s="775"/>
      <c r="D35" s="775"/>
      <c r="E35" s="776"/>
      <c r="F35" s="774" t="e">
        <f>IF(F33&lt;100%,0,IF(F33&lt;105%,0.5,IF(F33&lt;110%,0.7,1)))</f>
        <v>#DIV/0!</v>
      </c>
      <c r="G35" s="775"/>
      <c r="H35" s="775"/>
      <c r="I35" s="776"/>
      <c r="J35" s="774" t="e">
        <f>IF(J33&lt;100%,0,IF(J33&lt;105%,0.5,IF(J33&lt;110%,0.7,1)))</f>
        <v>#DIV/0!</v>
      </c>
      <c r="K35" s="775"/>
      <c r="L35" s="775"/>
      <c r="M35" s="776"/>
      <c r="N35" s="774">
        <f>IF(N33&lt;100%,0,IF(N33&lt;105%,0.5,IF(N33&lt;110%,0.7,1)))</f>
        <v>0</v>
      </c>
      <c r="O35" s="775"/>
      <c r="P35" s="775"/>
      <c r="Q35" s="776"/>
      <c r="R35" s="693"/>
    </row>
    <row r="36" spans="1:19" s="11" customFormat="1" ht="15" customHeight="1">
      <c r="A36" s="694" t="s">
        <v>64</v>
      </c>
      <c r="B36" s="774" t="e">
        <f>B35*B34</f>
        <v>#DIV/0!</v>
      </c>
      <c r="C36" s="775"/>
      <c r="D36" s="775"/>
      <c r="E36" s="776"/>
      <c r="F36" s="774" t="e">
        <f>F35*F34</f>
        <v>#DIV/0!</v>
      </c>
      <c r="G36" s="775"/>
      <c r="H36" s="775"/>
      <c r="I36" s="776"/>
      <c r="J36" s="774" t="e">
        <f>J35*J34</f>
        <v>#DIV/0!</v>
      </c>
      <c r="K36" s="775"/>
      <c r="L36" s="775"/>
      <c r="M36" s="776"/>
      <c r="N36" s="774">
        <f>N35*N34</f>
        <v>0</v>
      </c>
      <c r="O36" s="775"/>
      <c r="P36" s="775"/>
      <c r="Q36" s="776"/>
      <c r="R36" s="693"/>
    </row>
    <row r="37" spans="1:19" s="11" customFormat="1" ht="15" customHeight="1" thickBot="1">
      <c r="A37" s="46"/>
      <c r="B37" s="47"/>
      <c r="C37" s="47"/>
      <c r="D37" s="47"/>
      <c r="E37" s="113"/>
      <c r="F37" s="47"/>
      <c r="G37" s="47"/>
      <c r="H37" s="47"/>
      <c r="I37" s="113"/>
      <c r="J37" s="47"/>
      <c r="K37" s="47"/>
      <c r="L37" s="47"/>
      <c r="M37" s="113"/>
      <c r="N37" s="47"/>
      <c r="O37" s="47"/>
      <c r="P37" s="47"/>
      <c r="Q37" s="113"/>
      <c r="R37" s="114"/>
    </row>
    <row r="38" spans="1:19" ht="13.5" customHeight="1" thickBot="1">
      <c r="A38" s="272" t="s">
        <v>91</v>
      </c>
      <c r="B38" s="283" t="s">
        <v>1</v>
      </c>
      <c r="C38" s="283" t="s">
        <v>2</v>
      </c>
      <c r="D38" s="283" t="s">
        <v>3</v>
      </c>
      <c r="E38" s="281" t="s">
        <v>93</v>
      </c>
      <c r="F38" s="283" t="s">
        <v>4</v>
      </c>
      <c r="G38" s="283" t="s">
        <v>5</v>
      </c>
      <c r="H38" s="283" t="s">
        <v>6</v>
      </c>
      <c r="I38" s="281" t="s">
        <v>93</v>
      </c>
      <c r="J38" s="283" t="s">
        <v>7</v>
      </c>
      <c r="K38" s="283" t="s">
        <v>8</v>
      </c>
      <c r="L38" s="283" t="s">
        <v>9</v>
      </c>
      <c r="M38" s="281" t="s">
        <v>93</v>
      </c>
      <c r="N38" s="283" t="s">
        <v>92</v>
      </c>
      <c r="O38" s="283" t="s">
        <v>11</v>
      </c>
      <c r="P38" s="283" t="s">
        <v>12</v>
      </c>
      <c r="Q38" s="281" t="s">
        <v>93</v>
      </c>
      <c r="R38" s="281" t="s">
        <v>93</v>
      </c>
    </row>
    <row r="39" spans="1:19" ht="13.5" customHeight="1" thickTop="1">
      <c r="A39" s="273" t="s">
        <v>94</v>
      </c>
      <c r="B39" s="129"/>
      <c r="C39" s="129"/>
      <c r="D39" s="129"/>
      <c r="E39" s="282">
        <f>SUM(B39:D39)</f>
        <v>0</v>
      </c>
      <c r="F39" s="129"/>
      <c r="G39" s="667"/>
      <c r="H39" s="129"/>
      <c r="I39" s="282">
        <f>SUM(F39:H39)</f>
        <v>0</v>
      </c>
      <c r="J39" s="129"/>
      <c r="K39" s="129"/>
      <c r="L39" s="129"/>
      <c r="M39" s="282">
        <f>SUM(J39:L39)</f>
        <v>0</v>
      </c>
      <c r="N39" s="129"/>
      <c r="O39" s="129"/>
      <c r="P39" s="383"/>
      <c r="Q39" s="282">
        <f>SUM(N39:P39)</f>
        <v>0</v>
      </c>
      <c r="R39" s="282">
        <f>I39+M39+Q39+E39</f>
        <v>0</v>
      </c>
      <c r="S39" s="50"/>
    </row>
    <row r="40" spans="1:19" ht="13.5" customHeight="1">
      <c r="A40" s="274" t="s">
        <v>95</v>
      </c>
      <c r="B40" s="130"/>
      <c r="C40" s="130"/>
      <c r="D40" s="130"/>
      <c r="E40" s="170"/>
      <c r="F40" s="130"/>
      <c r="G40" s="666"/>
      <c r="H40" s="130"/>
      <c r="I40" s="170"/>
      <c r="J40" s="130"/>
      <c r="K40" s="130"/>
      <c r="L40" s="130"/>
      <c r="M40" s="170"/>
      <c r="N40" s="130"/>
      <c r="O40" s="130"/>
      <c r="P40" s="380"/>
      <c r="Q40" s="170"/>
      <c r="R40" s="170"/>
      <c r="S40" s="50"/>
    </row>
    <row r="41" spans="1:19" ht="13.5" customHeight="1">
      <c r="A41" s="274" t="s">
        <v>96</v>
      </c>
      <c r="B41" s="130"/>
      <c r="C41" s="130"/>
      <c r="D41" s="130"/>
      <c r="E41" s="170"/>
      <c r="F41" s="130"/>
      <c r="G41" s="666"/>
      <c r="H41" s="130"/>
      <c r="I41" s="170"/>
      <c r="J41" s="130"/>
      <c r="K41" s="130"/>
      <c r="L41" s="130"/>
      <c r="M41" s="170"/>
      <c r="N41" s="130"/>
      <c r="O41" s="130"/>
      <c r="P41" s="380"/>
      <c r="Q41" s="170"/>
      <c r="R41" s="170"/>
      <c r="S41" s="50"/>
    </row>
    <row r="42" spans="1:19" ht="13.5" customHeight="1">
      <c r="A42" s="274" t="s">
        <v>125</v>
      </c>
      <c r="B42" s="130"/>
      <c r="C42" s="130"/>
      <c r="D42" s="130"/>
      <c r="E42" s="170"/>
      <c r="F42" s="130"/>
      <c r="G42" s="666"/>
      <c r="H42" s="130"/>
      <c r="I42" s="170"/>
      <c r="J42" s="130"/>
      <c r="K42" s="130"/>
      <c r="L42" s="130"/>
      <c r="M42" s="170"/>
      <c r="N42" s="130"/>
      <c r="O42" s="130"/>
      <c r="P42" s="380"/>
      <c r="Q42" s="170"/>
      <c r="R42" s="170"/>
      <c r="S42" s="50"/>
    </row>
    <row r="43" spans="1:19" ht="13.5" customHeight="1">
      <c r="A43" s="274" t="s">
        <v>97</v>
      </c>
      <c r="B43" s="324"/>
      <c r="C43" s="324"/>
      <c r="D43" s="324"/>
      <c r="E43" s="171"/>
      <c r="F43" s="324"/>
      <c r="G43" s="674"/>
      <c r="H43" s="324"/>
      <c r="I43" s="171"/>
      <c r="J43" s="324"/>
      <c r="K43" s="324"/>
      <c r="L43" s="324"/>
      <c r="M43" s="171"/>
      <c r="N43" s="324"/>
      <c r="O43" s="324"/>
      <c r="P43" s="389"/>
      <c r="Q43" s="171"/>
      <c r="R43" s="171"/>
      <c r="S43" s="50"/>
    </row>
    <row r="44" spans="1:19" ht="13.5" customHeight="1" thickBot="1">
      <c r="A44" s="275" t="s">
        <v>98</v>
      </c>
      <c r="B44" s="131"/>
      <c r="C44" s="131"/>
      <c r="D44" s="131"/>
      <c r="E44" s="282">
        <f t="shared" ref="E44:E45" si="8">SUM(B44:D44)</f>
        <v>0</v>
      </c>
      <c r="F44" s="131"/>
      <c r="G44" s="668"/>
      <c r="H44" s="131"/>
      <c r="I44" s="282">
        <f t="shared" ref="I44:I45" si="9">SUM(F44:H44)</f>
        <v>0</v>
      </c>
      <c r="J44" s="131"/>
      <c r="K44" s="131"/>
      <c r="L44" s="131"/>
      <c r="M44" s="282">
        <f t="shared" ref="M44:M45" si="10">SUM(J44:L44)</f>
        <v>0</v>
      </c>
      <c r="N44" s="131"/>
      <c r="O44" s="131"/>
      <c r="P44" s="384"/>
      <c r="Q44" s="282">
        <f t="shared" ref="Q44:Q45" si="11">SUM(N44:P44)</f>
        <v>0</v>
      </c>
      <c r="R44" s="282">
        <f>I44+M44+Q44+E44</f>
        <v>0</v>
      </c>
      <c r="S44" s="50"/>
    </row>
    <row r="45" spans="1:19" ht="13.5" customHeight="1" thickTop="1">
      <c r="A45" s="276" t="s">
        <v>126</v>
      </c>
      <c r="B45" s="132"/>
      <c r="C45" s="132"/>
      <c r="D45" s="132"/>
      <c r="E45" s="282">
        <f t="shared" si="8"/>
        <v>0</v>
      </c>
      <c r="F45" s="132"/>
      <c r="G45" s="669"/>
      <c r="H45" s="132"/>
      <c r="I45" s="282">
        <f t="shared" si="9"/>
        <v>0</v>
      </c>
      <c r="J45" s="132"/>
      <c r="K45" s="132"/>
      <c r="L45" s="132"/>
      <c r="M45" s="282">
        <f t="shared" si="10"/>
        <v>0</v>
      </c>
      <c r="N45" s="132"/>
      <c r="O45" s="132"/>
      <c r="P45" s="385"/>
      <c r="Q45" s="282">
        <f t="shared" si="11"/>
        <v>0</v>
      </c>
      <c r="R45" s="282">
        <f>I45+M45+Q45+E45</f>
        <v>0</v>
      </c>
      <c r="S45" s="50"/>
    </row>
    <row r="46" spans="1:19" ht="13.5" customHeight="1">
      <c r="A46" s="274" t="s">
        <v>99</v>
      </c>
      <c r="B46" s="130"/>
      <c r="C46" s="130"/>
      <c r="D46" s="130"/>
      <c r="E46" s="172"/>
      <c r="F46" s="130"/>
      <c r="G46" s="666"/>
      <c r="H46" s="130"/>
      <c r="I46" s="172"/>
      <c r="J46" s="130"/>
      <c r="K46" s="130"/>
      <c r="L46" s="130"/>
      <c r="M46" s="172"/>
      <c r="N46" s="130"/>
      <c r="O46" s="130"/>
      <c r="P46" s="380"/>
      <c r="Q46" s="172"/>
      <c r="R46" s="172"/>
      <c r="S46" s="50"/>
    </row>
    <row r="47" spans="1:19" ht="13.5" customHeight="1">
      <c r="A47" s="274" t="s">
        <v>100</v>
      </c>
      <c r="B47" s="130"/>
      <c r="C47" s="130"/>
      <c r="D47" s="130"/>
      <c r="E47" s="282">
        <f t="shared" ref="E47:E51" si="12">SUM(B47:D47)</f>
        <v>0</v>
      </c>
      <c r="F47" s="130"/>
      <c r="G47" s="666"/>
      <c r="H47" s="130"/>
      <c r="I47" s="282">
        <f t="shared" ref="I47:I51" si="13">SUM(F47:H47)</f>
        <v>0</v>
      </c>
      <c r="J47" s="130"/>
      <c r="K47" s="130"/>
      <c r="L47" s="130"/>
      <c r="M47" s="282">
        <f t="shared" ref="M47:M51" si="14">SUM(J47:L47)</f>
        <v>0</v>
      </c>
      <c r="N47" s="130"/>
      <c r="O47" s="130"/>
      <c r="P47" s="380"/>
      <c r="Q47" s="282">
        <f t="shared" ref="Q47:Q51" si="15">SUM(N47:P47)</f>
        <v>0</v>
      </c>
      <c r="R47" s="282">
        <f>I47+M47+Q47+E47</f>
        <v>0</v>
      </c>
      <c r="S47" s="50"/>
    </row>
    <row r="48" spans="1:19" ht="13.5" customHeight="1" thickBot="1">
      <c r="A48" s="277" t="s">
        <v>101</v>
      </c>
      <c r="B48" s="133"/>
      <c r="C48" s="133"/>
      <c r="D48" s="133"/>
      <c r="E48" s="282">
        <f t="shared" si="12"/>
        <v>0</v>
      </c>
      <c r="F48" s="133"/>
      <c r="G48" s="670"/>
      <c r="H48" s="133"/>
      <c r="I48" s="282">
        <f t="shared" si="13"/>
        <v>0</v>
      </c>
      <c r="J48" s="133"/>
      <c r="K48" s="133"/>
      <c r="L48" s="133"/>
      <c r="M48" s="282">
        <f t="shared" si="14"/>
        <v>0</v>
      </c>
      <c r="N48" s="133"/>
      <c r="O48" s="133"/>
      <c r="P48" s="386"/>
      <c r="Q48" s="282">
        <f t="shared" si="15"/>
        <v>0</v>
      </c>
      <c r="R48" s="282">
        <f>I48+M48+Q48+E48</f>
        <v>0</v>
      </c>
      <c r="S48" s="50"/>
    </row>
    <row r="49" spans="1:19" ht="13.5" customHeight="1" thickTop="1">
      <c r="A49" s="273" t="s">
        <v>173</v>
      </c>
      <c r="B49" s="129"/>
      <c r="C49" s="129"/>
      <c r="D49" s="129"/>
      <c r="E49" s="282">
        <f t="shared" si="12"/>
        <v>0</v>
      </c>
      <c r="F49" s="129"/>
      <c r="G49" s="667"/>
      <c r="H49" s="129"/>
      <c r="I49" s="282">
        <f t="shared" si="13"/>
        <v>0</v>
      </c>
      <c r="J49" s="129"/>
      <c r="K49" s="129"/>
      <c r="L49" s="129"/>
      <c r="M49" s="282">
        <f t="shared" si="14"/>
        <v>0</v>
      </c>
      <c r="N49" s="129"/>
      <c r="O49" s="129"/>
      <c r="P49" s="383"/>
      <c r="Q49" s="282">
        <f t="shared" si="15"/>
        <v>0</v>
      </c>
      <c r="R49" s="282">
        <f>I49+M49+Q49+E49</f>
        <v>0</v>
      </c>
      <c r="S49" s="50"/>
    </row>
    <row r="50" spans="1:19" ht="13.5" customHeight="1" thickBot="1">
      <c r="A50" s="275" t="s">
        <v>102</v>
      </c>
      <c r="B50" s="131"/>
      <c r="C50" s="131"/>
      <c r="D50" s="131"/>
      <c r="E50" s="282">
        <f t="shared" si="12"/>
        <v>0</v>
      </c>
      <c r="F50" s="131"/>
      <c r="G50" s="668"/>
      <c r="H50" s="131"/>
      <c r="I50" s="282">
        <f t="shared" si="13"/>
        <v>0</v>
      </c>
      <c r="J50" s="131"/>
      <c r="K50" s="131"/>
      <c r="L50" s="131"/>
      <c r="M50" s="282">
        <f t="shared" si="14"/>
        <v>0</v>
      </c>
      <c r="N50" s="131"/>
      <c r="O50" s="131"/>
      <c r="P50" s="384"/>
      <c r="Q50" s="282">
        <f t="shared" si="15"/>
        <v>0</v>
      </c>
      <c r="R50" s="282">
        <f>I50+M50+Q50+E50</f>
        <v>0</v>
      </c>
      <c r="S50" s="50"/>
    </row>
    <row r="51" spans="1:19" ht="13.5" customHeight="1" thickTop="1" thickBot="1">
      <c r="A51" s="275" t="s">
        <v>103</v>
      </c>
      <c r="B51" s="131"/>
      <c r="C51" s="131"/>
      <c r="D51" s="131"/>
      <c r="E51" s="282">
        <f t="shared" si="12"/>
        <v>0</v>
      </c>
      <c r="F51" s="131"/>
      <c r="G51" s="668"/>
      <c r="H51" s="131"/>
      <c r="I51" s="282">
        <f t="shared" si="13"/>
        <v>0</v>
      </c>
      <c r="J51" s="131"/>
      <c r="K51" s="131"/>
      <c r="L51" s="131"/>
      <c r="M51" s="282">
        <f t="shared" si="14"/>
        <v>0</v>
      </c>
      <c r="N51" s="131"/>
      <c r="O51" s="131"/>
      <c r="P51" s="384"/>
      <c r="Q51" s="282">
        <f t="shared" si="15"/>
        <v>0</v>
      </c>
      <c r="R51" s="282">
        <f>I51+M51+Q51+E51</f>
        <v>0</v>
      </c>
      <c r="S51" s="50"/>
    </row>
    <row r="52" spans="1:19" ht="13.5" customHeight="1" thickTop="1">
      <c r="A52" s="278" t="s">
        <v>104</v>
      </c>
      <c r="B52" s="135"/>
      <c r="C52" s="135"/>
      <c r="D52" s="135"/>
      <c r="E52" s="128"/>
      <c r="F52" s="135"/>
      <c r="G52" s="671"/>
      <c r="H52" s="135"/>
      <c r="I52" s="128"/>
      <c r="J52" s="135"/>
      <c r="K52" s="135"/>
      <c r="L52" s="168"/>
      <c r="M52" s="128"/>
      <c r="N52" s="135"/>
      <c r="O52" s="135"/>
      <c r="P52" s="387"/>
      <c r="Q52" s="128"/>
      <c r="R52" s="128"/>
      <c r="S52" s="50"/>
    </row>
    <row r="53" spans="1:19" ht="13.5" customHeight="1">
      <c r="A53" s="279" t="s">
        <v>105</v>
      </c>
      <c r="B53" s="136"/>
      <c r="C53" s="136"/>
      <c r="D53" s="136"/>
      <c r="E53" s="282">
        <f t="shared" ref="E53:E55" si="16">SUM(B53:D53)</f>
        <v>0</v>
      </c>
      <c r="F53" s="136"/>
      <c r="G53" s="672"/>
      <c r="H53" s="136"/>
      <c r="I53" s="282">
        <f t="shared" ref="I53:I55" si="17">SUM(F53:H53)</f>
        <v>0</v>
      </c>
      <c r="J53" s="136"/>
      <c r="K53" s="136"/>
      <c r="L53" s="169"/>
      <c r="M53" s="282">
        <f t="shared" ref="M53:M55" si="18">SUM(J53:L53)</f>
        <v>0</v>
      </c>
      <c r="N53" s="136"/>
      <c r="O53" s="136"/>
      <c r="P53" s="388"/>
      <c r="Q53" s="282">
        <f t="shared" ref="Q53:Q55" si="19">SUM(N53:P53)</f>
        <v>0</v>
      </c>
      <c r="R53" s="282">
        <f>I53+M53+Q53+E53</f>
        <v>0</v>
      </c>
      <c r="S53" s="50"/>
    </row>
    <row r="54" spans="1:19" ht="13.5" customHeight="1">
      <c r="A54" s="279" t="s">
        <v>106</v>
      </c>
      <c r="B54" s="136"/>
      <c r="C54" s="136"/>
      <c r="D54" s="136"/>
      <c r="E54" s="282">
        <f t="shared" si="16"/>
        <v>0</v>
      </c>
      <c r="F54" s="136"/>
      <c r="G54" s="672"/>
      <c r="H54" s="136"/>
      <c r="I54" s="282">
        <f t="shared" si="17"/>
        <v>0</v>
      </c>
      <c r="J54" s="136"/>
      <c r="K54" s="136"/>
      <c r="L54" s="169"/>
      <c r="M54" s="282">
        <f t="shared" si="18"/>
        <v>0</v>
      </c>
      <c r="N54" s="136"/>
      <c r="O54" s="308"/>
      <c r="P54" s="382"/>
      <c r="Q54" s="282">
        <f t="shared" si="19"/>
        <v>0</v>
      </c>
      <c r="R54" s="282">
        <f>I54+M54+Q54+E54</f>
        <v>0</v>
      </c>
      <c r="S54" s="50"/>
    </row>
    <row r="55" spans="1:19" ht="13.5" customHeight="1">
      <c r="A55" s="279" t="s">
        <v>107</v>
      </c>
      <c r="B55" s="136"/>
      <c r="C55" s="136"/>
      <c r="D55" s="136"/>
      <c r="E55" s="282">
        <f t="shared" si="16"/>
        <v>0</v>
      </c>
      <c r="F55" s="136"/>
      <c r="G55" s="672"/>
      <c r="H55" s="136"/>
      <c r="I55" s="282">
        <f t="shared" si="17"/>
        <v>0</v>
      </c>
      <c r="J55" s="136"/>
      <c r="K55" s="136"/>
      <c r="L55" s="169"/>
      <c r="M55" s="282">
        <f t="shared" si="18"/>
        <v>0</v>
      </c>
      <c r="N55" s="136"/>
      <c r="O55" s="308"/>
      <c r="P55" s="382"/>
      <c r="Q55" s="282">
        <f t="shared" si="19"/>
        <v>0</v>
      </c>
      <c r="R55" s="282">
        <f>I55+M55+Q55+E55</f>
        <v>0</v>
      </c>
      <c r="S55" s="50"/>
    </row>
    <row r="56" spans="1:19" ht="13.5" customHeight="1" thickBot="1">
      <c r="A56" s="280" t="s">
        <v>108</v>
      </c>
      <c r="B56" s="287"/>
      <c r="C56" s="287"/>
      <c r="D56" s="287"/>
      <c r="E56" s="173"/>
      <c r="F56" s="287"/>
      <c r="G56" s="673"/>
      <c r="H56" s="287"/>
      <c r="I56" s="173"/>
      <c r="J56" s="287"/>
      <c r="K56" s="287"/>
      <c r="L56" s="289"/>
      <c r="M56" s="173"/>
      <c r="N56" s="287"/>
      <c r="O56" s="309"/>
      <c r="P56" s="381"/>
      <c r="Q56" s="173"/>
      <c r="R56" s="173"/>
      <c r="S56" s="50"/>
    </row>
    <row r="57" spans="1:19" ht="13.8" thickTop="1">
      <c r="A57"/>
      <c r="B57" s="379"/>
      <c r="C57" s="379"/>
      <c r="D57" s="379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134"/>
      <c r="Q57" s="50"/>
      <c r="R57" s="50"/>
      <c r="S57" s="12"/>
    </row>
  </sheetData>
  <mergeCells count="28">
    <mergeCell ref="F36:I36"/>
    <mergeCell ref="J35:M35"/>
    <mergeCell ref="B34:E34"/>
    <mergeCell ref="N35:Q35"/>
    <mergeCell ref="B35:E35"/>
    <mergeCell ref="F35:I35"/>
    <mergeCell ref="F34:I34"/>
    <mergeCell ref="N34:Q34"/>
    <mergeCell ref="J34:M34"/>
    <mergeCell ref="J36:M36"/>
    <mergeCell ref="N36:Q36"/>
    <mergeCell ref="B36:E36"/>
    <mergeCell ref="N1:Q1"/>
    <mergeCell ref="B1:E1"/>
    <mergeCell ref="B31:E31"/>
    <mergeCell ref="F31:I31"/>
    <mergeCell ref="J31:M31"/>
    <mergeCell ref="J1:M1"/>
    <mergeCell ref="F1:I1"/>
    <mergeCell ref="N31:Q31"/>
    <mergeCell ref="B33:E33"/>
    <mergeCell ref="F33:I33"/>
    <mergeCell ref="J33:M33"/>
    <mergeCell ref="N33:Q33"/>
    <mergeCell ref="B32:E32"/>
    <mergeCell ref="F32:I32"/>
    <mergeCell ref="J32:M32"/>
    <mergeCell ref="N32:Q32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regulamin</vt:lpstr>
      <vt:lpstr>Arkusz1</vt:lpstr>
      <vt:lpstr>BARTEK</vt:lpstr>
      <vt:lpstr>regulamin!OLE_LINK3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2026-03-17T12:19:32Z</cp:lastPrinted>
  <dcterms:created xsi:type="dcterms:W3CDTF">2009-01-30T23:10:02Z</dcterms:created>
  <dcterms:modified xsi:type="dcterms:W3CDTF">2026-03-17T13:26:07Z</dcterms:modified>
</cp:coreProperties>
</file>