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U:\Moje dokumenty\Basia\PITy\"/>
    </mc:Choice>
  </mc:AlternateContent>
  <xr:revisionPtr revIDLastSave="0" documentId="13_ncr:1_{521AF31B-A36C-4EA7-87E5-405768FEFC06}" xr6:coauthVersionLast="47" xr6:coauthVersionMax="47" xr10:uidLastSave="{00000000-0000-0000-0000-000000000000}"/>
  <bookViews>
    <workbookView xWindow="-108" yWindow="-108" windowWidth="23256" windowHeight="12456" xr2:uid="{D7C86A0B-1A34-4D24-B00C-3A0E35C285BE}"/>
  </bookViews>
  <sheets>
    <sheet name="Jamborscy za 2023" sheetId="5" r:id="rId1"/>
    <sheet name="Jamborscy za 2022" sheetId="2" r:id="rId2"/>
    <sheet name="Jamborscy za2021" sheetId="3" r:id="rId3"/>
    <sheet name="Jamborscy za2020" sheetId="4" r:id="rId4"/>
    <sheet name="Jamborscy za2018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5" l="1"/>
  <c r="B29" i="5"/>
  <c r="G31" i="5"/>
  <c r="G32" i="5" s="1"/>
  <c r="C29" i="5"/>
  <c r="D13" i="5"/>
  <c r="I12" i="5"/>
  <c r="D11" i="5"/>
  <c r="D9" i="5"/>
  <c r="I8" i="5"/>
  <c r="D7" i="5"/>
  <c r="I6" i="5"/>
  <c r="D6" i="5"/>
  <c r="D4" i="5"/>
  <c r="I3" i="5"/>
  <c r="I15" i="5" s="1"/>
  <c r="B7" i="4"/>
  <c r="C7" i="4" s="1"/>
  <c r="D7" i="4" s="1"/>
  <c r="G7" i="4"/>
  <c r="H7" i="4" s="1"/>
  <c r="I7" i="4" s="1"/>
  <c r="B8" i="4"/>
  <c r="C8" i="4" s="1"/>
  <c r="D8" i="4" s="1"/>
  <c r="H8" i="4"/>
  <c r="I8" i="4"/>
  <c r="B9" i="4"/>
  <c r="C9" i="4" s="1"/>
  <c r="D9" i="4" s="1"/>
  <c r="G9" i="4"/>
  <c r="H9" i="4" s="1"/>
  <c r="I9" i="4" s="1"/>
  <c r="B10" i="4"/>
  <c r="C10" i="4"/>
  <c r="D10" i="4"/>
  <c r="H10" i="4"/>
  <c r="I10" i="4"/>
  <c r="B11" i="4"/>
  <c r="C11" i="4" s="1"/>
  <c r="D11" i="4" s="1"/>
  <c r="G11" i="4"/>
  <c r="H11" i="4"/>
  <c r="I11" i="4"/>
  <c r="B12" i="4"/>
  <c r="C12" i="4"/>
  <c r="D12" i="4" s="1"/>
  <c r="G12" i="4"/>
  <c r="H12" i="4"/>
  <c r="I12" i="4"/>
  <c r="D15" i="4"/>
  <c r="I15" i="4"/>
  <c r="H21" i="4"/>
  <c r="H22" i="4"/>
  <c r="H23" i="4"/>
  <c r="H24" i="4"/>
  <c r="G25" i="4"/>
  <c r="H25" i="4"/>
  <c r="B52" i="4"/>
  <c r="B53" i="4" s="1"/>
  <c r="C52" i="4"/>
  <c r="B7" i="3"/>
  <c r="C7" i="3"/>
  <c r="D7" i="3" s="1"/>
  <c r="G7" i="3"/>
  <c r="H7" i="3"/>
  <c r="I7" i="3"/>
  <c r="B8" i="3"/>
  <c r="C8" i="3" s="1"/>
  <c r="D8" i="3" s="1"/>
  <c r="G8" i="3"/>
  <c r="H8" i="3" s="1"/>
  <c r="I8" i="3" s="1"/>
  <c r="B9" i="3"/>
  <c r="C9" i="3"/>
  <c r="D9" i="3" s="1"/>
  <c r="H9" i="3"/>
  <c r="I9" i="3"/>
  <c r="B10" i="3"/>
  <c r="C10" i="3" s="1"/>
  <c r="D10" i="3" s="1"/>
  <c r="B11" i="3"/>
  <c r="C11" i="3"/>
  <c r="D11" i="3" s="1"/>
  <c r="B12" i="3"/>
  <c r="C12" i="3"/>
  <c r="D12" i="3"/>
  <c r="B13" i="3"/>
  <c r="C13" i="3"/>
  <c r="D13" i="3"/>
  <c r="H20" i="3"/>
  <c r="H23" i="3"/>
  <c r="H24" i="3"/>
  <c r="H25" i="3"/>
  <c r="G26" i="3"/>
  <c r="H26" i="3"/>
  <c r="B30" i="3"/>
  <c r="B31" i="3" s="1"/>
  <c r="C30" i="3"/>
  <c r="H3" i="2"/>
  <c r="I3" i="2" s="1"/>
  <c r="C4" i="2"/>
  <c r="D4" i="2"/>
  <c r="C6" i="2"/>
  <c r="D6" i="2"/>
  <c r="I6" i="2"/>
  <c r="C7" i="2"/>
  <c r="D7" i="2" s="1"/>
  <c r="H8" i="2"/>
  <c r="I8" i="2"/>
  <c r="C9" i="2"/>
  <c r="D9" i="2" s="1"/>
  <c r="C11" i="2"/>
  <c r="D11" i="2"/>
  <c r="H12" i="2"/>
  <c r="I12" i="2" s="1"/>
  <c r="C13" i="2"/>
  <c r="D13" i="2"/>
  <c r="C19" i="2"/>
  <c r="C29" i="2" s="1"/>
  <c r="C20" i="2"/>
  <c r="C21" i="2"/>
  <c r="C22" i="2"/>
  <c r="G22" i="2"/>
  <c r="C23" i="2"/>
  <c r="C24" i="2"/>
  <c r="C25" i="2"/>
  <c r="C26" i="2"/>
  <c r="G26" i="2"/>
  <c r="G31" i="2" s="1"/>
  <c r="G32" i="2" s="1"/>
  <c r="C27" i="2"/>
  <c r="B29" i="2"/>
  <c r="G30" i="2"/>
  <c r="H31" i="2"/>
  <c r="C3" i="1"/>
  <c r="D3" i="1" s="1"/>
  <c r="H3" i="1"/>
  <c r="I3" i="1"/>
  <c r="H4" i="1"/>
  <c r="I4" i="1"/>
  <c r="B5" i="1"/>
  <c r="C5" i="1"/>
  <c r="D5" i="1" s="1"/>
  <c r="H5" i="1"/>
  <c r="I5" i="1" s="1"/>
  <c r="C6" i="1"/>
  <c r="D6" i="1"/>
  <c r="B7" i="1"/>
  <c r="C7" i="1"/>
  <c r="D7" i="1"/>
  <c r="H7" i="1"/>
  <c r="I7" i="1"/>
  <c r="C8" i="1"/>
  <c r="D8" i="1" s="1"/>
  <c r="B9" i="1"/>
  <c r="C9" i="1"/>
  <c r="D9" i="1"/>
  <c r="H9" i="1"/>
  <c r="I9" i="1" s="1"/>
  <c r="H10" i="1"/>
  <c r="I10" i="1"/>
  <c r="B11" i="1"/>
  <c r="C10" i="1" s="1"/>
  <c r="D10" i="1" s="1"/>
  <c r="C12" i="1"/>
  <c r="D12" i="1"/>
  <c r="C22" i="1"/>
  <c r="C23" i="1"/>
  <c r="C24" i="1"/>
  <c r="C29" i="1" s="1"/>
  <c r="C25" i="1"/>
  <c r="C26" i="1"/>
  <c r="C27" i="1"/>
  <c r="C28" i="1"/>
  <c r="B29" i="1"/>
  <c r="G31" i="1"/>
  <c r="H31" i="1"/>
  <c r="G32" i="1"/>
  <c r="G34" i="1" s="1"/>
  <c r="G33" i="1"/>
  <c r="G33" i="5" l="1"/>
  <c r="G34" i="5" s="1"/>
  <c r="D33" i="5" s="1"/>
  <c r="D15" i="5"/>
  <c r="B33" i="5" s="1"/>
  <c r="I13" i="4"/>
  <c r="D13" i="4"/>
  <c r="B3" i="4" s="1"/>
  <c r="B54" i="4"/>
  <c r="I14" i="3"/>
  <c r="D14" i="3"/>
  <c r="B3" i="3" s="1"/>
  <c r="B32" i="3"/>
  <c r="D15" i="2"/>
  <c r="G33" i="2"/>
  <c r="G34" i="2"/>
  <c r="I15" i="2"/>
  <c r="D33" i="2" s="1"/>
  <c r="I15" i="1"/>
  <c r="D33" i="1" s="1"/>
  <c r="D15" i="1"/>
  <c r="B33" i="1" s="1"/>
  <c r="G3" i="4" l="1"/>
  <c r="G3" i="3"/>
  <c r="B33" i="2"/>
</calcChain>
</file>

<file path=xl/sharedStrings.xml><?xml version="1.0" encoding="utf-8"?>
<sst xmlns="http://schemas.openxmlformats.org/spreadsheetml/2006/main" count="308" uniqueCount="61">
  <si>
    <t>ZJ</t>
  </si>
  <si>
    <t>CzJ</t>
  </si>
  <si>
    <t>odliczenie</t>
  </si>
  <si>
    <t>podział</t>
  </si>
  <si>
    <t>Zofia Jamborska</t>
  </si>
  <si>
    <t>Czesław Jamborski</t>
  </si>
  <si>
    <t>Razem</t>
  </si>
  <si>
    <t>inne</t>
  </si>
  <si>
    <t>paliwo</t>
  </si>
  <si>
    <t>data</t>
  </si>
  <si>
    <t>nadwyżka</t>
  </si>
  <si>
    <t>kwota dojazdy</t>
  </si>
  <si>
    <t>kwota REH</t>
  </si>
  <si>
    <t>Koszty KVU6213</t>
  </si>
  <si>
    <t>REHABILITACJA Jamborska Zofia</t>
  </si>
  <si>
    <t>suma m-sc</t>
  </si>
  <si>
    <t>kwota</t>
  </si>
  <si>
    <t>LEKI Jamborska Zofia</t>
  </si>
  <si>
    <t>LEKI Jamborski Czesław</t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</si>
  <si>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</si>
  <si>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</si>
  <si>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</si>
  <si>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</si>
  <si>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</si>
  <si>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</si>
  <si>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</si>
  <si>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</si>
  <si>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</si>
  <si>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</si>
  <si>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</si>
  <si>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>styczeń</t>
  </si>
  <si>
    <t>odliczenie termo</t>
  </si>
  <si>
    <t>ON</t>
  </si>
  <si>
    <t>12.2021</t>
  </si>
  <si>
    <t>11.2021</t>
  </si>
  <si>
    <t>09.2021</t>
  </si>
  <si>
    <t>07.2021</t>
  </si>
  <si>
    <t>02.2021</t>
  </si>
  <si>
    <t>01.2021</t>
  </si>
  <si>
    <t xml:space="preserve">REHABILITACJA </t>
  </si>
  <si>
    <t>PALIWO</t>
  </si>
  <si>
    <t>FOTOWOLTAIKA</t>
  </si>
  <si>
    <t>10.2021</t>
  </si>
  <si>
    <t>08.2021</t>
  </si>
  <si>
    <t>05.2021</t>
  </si>
  <si>
    <t>03.2021</t>
  </si>
  <si>
    <t xml:space="preserve">LEKI </t>
  </si>
  <si>
    <t>et</t>
  </si>
  <si>
    <t>12.2020</t>
  </si>
  <si>
    <t>09.2020</t>
  </si>
  <si>
    <t>02.2020</t>
  </si>
  <si>
    <t>01.2020</t>
  </si>
  <si>
    <t>ZAOPATRZENIE MEDYCZNE</t>
  </si>
  <si>
    <t>SANATORIUM</t>
  </si>
  <si>
    <t>11.2020</t>
  </si>
  <si>
    <t>10.2020</t>
  </si>
  <si>
    <t>08.2020</t>
  </si>
  <si>
    <t>07.2020</t>
  </si>
  <si>
    <t>06.2020</t>
  </si>
  <si>
    <t>05.2020</t>
  </si>
  <si>
    <t>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</si>
</sst>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00\ &quot;zł&quot;"/>
  </numFmts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64" fontId="2" fillId="0" borderId="1" xfId="0" applyNumberFormat="1" applyFont="1" applyBorder="1"/>
    <xf numFmtId="14" fontId="0" fillId="0" borderId="1" xfId="0" applyNumberFormat="1" applyBorder="1"/>
    <xf numFmtId="14" fontId="2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164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 vertical="center"/>
    </xf>
    <xf numFmtId="49" fontId="0" fillId="0" borderId="1" xfId="0" applyNumberForma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5" fontId="1" fillId="0" borderId="0" xfId="0" applyNumberFormat="1" applyFont="1"/>
    <xf numFmtId="164" fontId="2" fillId="0" borderId="0" xfId="0" applyNumberFormat="1" applyFont="1"/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2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2EC2B-0901-49FB-A638-2AF94955CED3}">
  <dimension ref="A1:L34"/>
  <sheetViews>
    <sheetView tabSelected="1" topLeftCell="A12" workbookViewId="0">
      <selection activeCell="G20" sqref="G20:H30"/>
    </sheetView>
  </sheetViews>
  <sheetFormatPr defaultRowHeight="13.8"/>
  <cols>
    <col min="1" max="1" width="10.09765625" bestFit="1" customWidth="1"/>
    <col min="2" max="2" width="10" style="1" bestFit="1" customWidth="1"/>
    <col min="3" max="3" width="10.19921875" style="2" bestFit="1" customWidth="1"/>
    <col min="4" max="4" width="10.5" style="1" bestFit="1" customWidth="1"/>
    <col min="6" max="6" width="10.09765625" bestFit="1" customWidth="1"/>
    <col min="7" max="7" width="9.8984375" bestFit="1" customWidth="1"/>
    <col min="9" max="9" width="9.8984375" bestFit="1" customWidth="1"/>
    <col min="11" max="11" width="14.3984375" bestFit="1" customWidth="1"/>
    <col min="12" max="12" width="9.69921875" bestFit="1" customWidth="1"/>
  </cols>
  <sheetData>
    <row r="1" spans="1:12">
      <c r="A1" s="29" t="s">
        <v>18</v>
      </c>
      <c r="B1" s="29"/>
      <c r="C1" s="29"/>
      <c r="D1" s="12">
        <v>100</v>
      </c>
      <c r="F1" s="29" t="s">
        <v>17</v>
      </c>
      <c r="G1" s="29"/>
      <c r="H1" s="29"/>
      <c r="I1" s="12">
        <v>100</v>
      </c>
      <c r="L1" t="s">
        <v>0</v>
      </c>
    </row>
    <row r="2" spans="1:12">
      <c r="A2" s="5" t="s">
        <v>9</v>
      </c>
      <c r="B2" s="12"/>
      <c r="C2" s="4" t="s">
        <v>15</v>
      </c>
      <c r="D2" s="12" t="s">
        <v>10</v>
      </c>
      <c r="F2" s="5" t="s">
        <v>9</v>
      </c>
      <c r="G2" s="12"/>
      <c r="H2" s="4" t="s">
        <v>15</v>
      </c>
      <c r="I2" s="12" t="s">
        <v>10</v>
      </c>
      <c r="K2" t="s">
        <v>31</v>
      </c>
      <c r="L2">
        <v>1271.5</v>
      </c>
    </row>
    <row r="3" spans="1:12">
      <c r="A3" s="10" t="s">
        <v>30</v>
      </c>
      <c r="B3" s="12"/>
      <c r="C3" s="13"/>
      <c r="D3" s="13"/>
      <c r="F3" s="10" t="s">
        <v>30</v>
      </c>
      <c r="G3" s="12"/>
      <c r="H3" s="13"/>
      <c r="I3" s="13">
        <f>H3-$I$1</f>
        <v>-100</v>
      </c>
    </row>
    <row r="4" spans="1:12">
      <c r="A4" s="10" t="s">
        <v>29</v>
      </c>
      <c r="B4" s="12"/>
      <c r="C4" s="13"/>
      <c r="D4" s="13">
        <f>C4-$D$1</f>
        <v>-100</v>
      </c>
      <c r="F4" s="10" t="s">
        <v>29</v>
      </c>
      <c r="G4" s="12"/>
      <c r="H4" s="13"/>
      <c r="I4" s="13"/>
    </row>
    <row r="5" spans="1:12">
      <c r="A5" s="10" t="s">
        <v>28</v>
      </c>
      <c r="B5" s="12"/>
      <c r="C5" s="13"/>
      <c r="D5" s="13"/>
      <c r="F5" s="10" t="s">
        <v>28</v>
      </c>
      <c r="G5" s="12"/>
      <c r="H5" s="13"/>
      <c r="I5" s="13"/>
    </row>
    <row r="6" spans="1:12">
      <c r="A6" s="10" t="s">
        <v>27</v>
      </c>
      <c r="B6" s="12"/>
      <c r="C6" s="13"/>
      <c r="D6" s="13">
        <f>C6-$D$1</f>
        <v>-100</v>
      </c>
      <c r="F6" s="10" t="s">
        <v>27</v>
      </c>
      <c r="G6" s="12"/>
      <c r="H6" s="13"/>
      <c r="I6" s="13">
        <f>H6-$I$1</f>
        <v>-100</v>
      </c>
    </row>
    <row r="7" spans="1:12">
      <c r="A7" s="10" t="s">
        <v>26</v>
      </c>
      <c r="B7" s="12"/>
      <c r="C7" s="13"/>
      <c r="D7" s="13">
        <f>C7-$D$1</f>
        <v>-100</v>
      </c>
      <c r="F7" s="10" t="s">
        <v>26</v>
      </c>
      <c r="G7" s="12"/>
      <c r="H7" s="13"/>
      <c r="I7" s="13"/>
    </row>
    <row r="8" spans="1:12">
      <c r="A8" s="10" t="s">
        <v>25</v>
      </c>
      <c r="B8" s="12"/>
      <c r="C8" s="13"/>
      <c r="D8" s="13"/>
      <c r="F8" s="10" t="s">
        <v>25</v>
      </c>
      <c r="G8" s="12"/>
      <c r="H8" s="13"/>
      <c r="I8" s="13">
        <f>H8-$I$1</f>
        <v>-100</v>
      </c>
    </row>
    <row r="9" spans="1:12">
      <c r="A9" s="10" t="s">
        <v>24</v>
      </c>
      <c r="B9" s="12"/>
      <c r="C9" s="13"/>
      <c r="D9" s="13">
        <f>C9-$D$1</f>
        <v>-100</v>
      </c>
      <c r="F9" s="10" t="s">
        <v>24</v>
      </c>
      <c r="G9" s="12"/>
      <c r="H9" s="13"/>
      <c r="I9" s="13"/>
    </row>
    <row r="10" spans="1:12">
      <c r="A10" s="10" t="s">
        <v>23</v>
      </c>
      <c r="B10" s="12"/>
      <c r="C10" s="13"/>
      <c r="D10" s="13"/>
      <c r="F10" s="10" t="s">
        <v>23</v>
      </c>
      <c r="G10" s="12"/>
      <c r="H10" s="13"/>
      <c r="I10" s="13"/>
    </row>
    <row r="11" spans="1:12">
      <c r="A11" s="10" t="s">
        <v>22</v>
      </c>
      <c r="B11" s="12"/>
      <c r="C11" s="13"/>
      <c r="D11" s="13">
        <f>C11-$D$1</f>
        <v>-100</v>
      </c>
      <c r="F11" s="10" t="s">
        <v>22</v>
      </c>
      <c r="G11" s="12"/>
      <c r="H11" s="13"/>
      <c r="I11" s="13"/>
    </row>
    <row r="12" spans="1:12">
      <c r="A12" s="10" t="s">
        <v>21</v>
      </c>
      <c r="B12" s="12"/>
      <c r="C12" s="13"/>
      <c r="D12" s="13"/>
      <c r="F12" s="10" t="s">
        <v>21</v>
      </c>
      <c r="G12" s="12"/>
      <c r="H12" s="13"/>
      <c r="I12" s="13">
        <f>H12-$I$1</f>
        <v>-100</v>
      </c>
    </row>
    <row r="13" spans="1:12">
      <c r="A13" s="10" t="s">
        <v>20</v>
      </c>
      <c r="B13" s="12"/>
      <c r="C13" s="13"/>
      <c r="D13" s="13">
        <f>C13-$D$1</f>
        <v>-100</v>
      </c>
      <c r="F13" s="10" t="s">
        <v>20</v>
      </c>
      <c r="G13" s="12"/>
      <c r="H13" s="13"/>
      <c r="I13" s="13"/>
    </row>
    <row r="14" spans="1:12">
      <c r="A14" s="10" t="s">
        <v>19</v>
      </c>
      <c r="B14" s="12"/>
      <c r="C14" s="13"/>
      <c r="D14" s="13"/>
      <c r="F14" s="10" t="s">
        <v>19</v>
      </c>
      <c r="G14" s="12"/>
      <c r="H14" s="13"/>
      <c r="I14" s="13"/>
    </row>
    <row r="15" spans="1:12">
      <c r="A15" s="5"/>
      <c r="B15" s="12"/>
      <c r="C15" s="15" t="s">
        <v>6</v>
      </c>
      <c r="D15" s="7">
        <f>SUM(D3:D14)</f>
        <v>-600</v>
      </c>
      <c r="F15" s="5"/>
      <c r="G15" s="12"/>
      <c r="H15" s="15" t="s">
        <v>6</v>
      </c>
      <c r="I15" s="7">
        <f>SUM(I3:I14)</f>
        <v>-400</v>
      </c>
    </row>
    <row r="17" spans="1:12">
      <c r="A17" s="29" t="s">
        <v>14</v>
      </c>
      <c r="B17" s="29"/>
      <c r="C17" s="29"/>
      <c r="F17" s="29" t="s">
        <v>13</v>
      </c>
      <c r="G17" s="29"/>
      <c r="H17" s="29"/>
    </row>
    <row r="18" spans="1:12">
      <c r="A18" s="5" t="s">
        <v>9</v>
      </c>
      <c r="B18" s="12" t="s">
        <v>12</v>
      </c>
      <c r="C18" s="12" t="s">
        <v>11</v>
      </c>
      <c r="D18" s="1" t="s">
        <v>10</v>
      </c>
      <c r="F18" s="5" t="s">
        <v>9</v>
      </c>
      <c r="G18" s="12" t="s">
        <v>8</v>
      </c>
      <c r="H18" s="12" t="s">
        <v>7</v>
      </c>
    </row>
    <row r="19" spans="1:12">
      <c r="A19" s="10" t="s">
        <v>30</v>
      </c>
      <c r="B19" s="12"/>
      <c r="C19" s="13"/>
      <c r="D19" s="14"/>
      <c r="F19" s="10" t="s">
        <v>30</v>
      </c>
      <c r="G19" s="12"/>
      <c r="H19" s="13"/>
    </row>
    <row r="20" spans="1:12">
      <c r="A20" s="10" t="s">
        <v>29</v>
      </c>
      <c r="B20" s="12"/>
      <c r="C20" s="13"/>
      <c r="D20" s="14"/>
      <c r="F20" s="10" t="s">
        <v>29</v>
      </c>
      <c r="H20" s="13"/>
    </row>
    <row r="21" spans="1:12">
      <c r="A21" s="10" t="s">
        <v>28</v>
      </c>
      <c r="B21" s="12"/>
      <c r="C21" s="13"/>
      <c r="D21" s="14"/>
      <c r="F21" s="10" t="s">
        <v>28</v>
      </c>
      <c r="G21" s="12"/>
      <c r="H21" s="12"/>
    </row>
    <row r="22" spans="1:12">
      <c r="A22" s="10" t="s">
        <v>27</v>
      </c>
      <c r="B22" s="12"/>
      <c r="C22" s="13"/>
      <c r="D22" s="14"/>
      <c r="F22" s="10" t="s">
        <v>27</v>
      </c>
      <c r="G22" s="12"/>
      <c r="H22" s="13"/>
    </row>
    <row r="23" spans="1:12">
      <c r="A23" s="10" t="s">
        <v>26</v>
      </c>
      <c r="B23" s="12"/>
      <c r="C23" s="13"/>
      <c r="D23" s="14"/>
      <c r="F23" s="10" t="s">
        <v>26</v>
      </c>
      <c r="G23" s="12"/>
      <c r="H23" s="13"/>
    </row>
    <row r="24" spans="1:12">
      <c r="A24" s="10" t="s">
        <v>25</v>
      </c>
      <c r="B24" s="12"/>
      <c r="C24" s="13"/>
      <c r="F24" s="10" t="s">
        <v>25</v>
      </c>
      <c r="G24" s="12"/>
      <c r="H24" s="4"/>
    </row>
    <row r="25" spans="1:12">
      <c r="A25" s="10" t="s">
        <v>23</v>
      </c>
      <c r="B25" s="12"/>
      <c r="C25" s="13"/>
      <c r="F25" s="10" t="s">
        <v>24</v>
      </c>
      <c r="G25" s="12"/>
      <c r="H25" s="4"/>
    </row>
    <row r="26" spans="1:12">
      <c r="A26" s="10" t="s">
        <v>21</v>
      </c>
      <c r="B26" s="12"/>
      <c r="C26" s="13"/>
      <c r="F26" s="10" t="s">
        <v>23</v>
      </c>
      <c r="G26" s="12"/>
      <c r="H26" s="4"/>
    </row>
    <row r="27" spans="1:12">
      <c r="A27" s="10" t="s">
        <v>20</v>
      </c>
      <c r="B27" s="12"/>
      <c r="C27" s="13"/>
      <c r="F27" s="10" t="s">
        <v>22</v>
      </c>
      <c r="G27" s="12"/>
      <c r="H27" s="4"/>
    </row>
    <row r="28" spans="1:12">
      <c r="A28" s="10"/>
      <c r="B28" s="12"/>
      <c r="C28" s="4"/>
      <c r="F28" s="10" t="s">
        <v>21</v>
      </c>
      <c r="G28" s="12"/>
      <c r="H28" s="4"/>
    </row>
    <row r="29" spans="1:12">
      <c r="A29" s="8" t="s">
        <v>6</v>
      </c>
      <c r="B29" s="7">
        <f>SUM(B19:B28)</f>
        <v>0</v>
      </c>
      <c r="C29" s="7">
        <f>SUM(C19:C28)</f>
        <v>0</v>
      </c>
      <c r="F29" s="10" t="s">
        <v>20</v>
      </c>
      <c r="G29" s="9"/>
      <c r="H29" s="7"/>
    </row>
    <row r="30" spans="1:12">
      <c r="F30" s="10" t="s">
        <v>19</v>
      </c>
      <c r="G30" s="9"/>
      <c r="H30" s="5"/>
    </row>
    <row r="31" spans="1:12">
      <c r="F31" s="8" t="s">
        <v>6</v>
      </c>
      <c r="G31" s="7">
        <f>SUM(G19:G30)</f>
        <v>0</v>
      </c>
      <c r="H31" s="7">
        <f>SUM(H19:H30)</f>
        <v>0</v>
      </c>
      <c r="L31" s="1"/>
    </row>
    <row r="32" spans="1:12">
      <c r="A32" s="6"/>
      <c r="B32" s="30" t="s">
        <v>5</v>
      </c>
      <c r="C32" s="31"/>
      <c r="D32" s="30" t="s">
        <v>4</v>
      </c>
      <c r="E32" s="31"/>
      <c r="F32" s="5" t="s">
        <v>3</v>
      </c>
      <c r="G32" s="27">
        <f>G31+H31</f>
        <v>0</v>
      </c>
      <c r="H32" s="28"/>
      <c r="L32" s="1"/>
    </row>
    <row r="33" spans="1:9">
      <c r="A33" s="6" t="s">
        <v>2</v>
      </c>
      <c r="B33" s="30">
        <f>D15+G33</f>
        <v>-600</v>
      </c>
      <c r="C33" s="31"/>
      <c r="D33" s="30">
        <f>I15+B29+C29+G34</f>
        <v>-400</v>
      </c>
      <c r="E33" s="31"/>
      <c r="F33" s="5" t="s">
        <v>1</v>
      </c>
      <c r="G33" s="27">
        <f>G32/2</f>
        <v>0</v>
      </c>
      <c r="H33" s="28"/>
      <c r="I33" s="1"/>
    </row>
    <row r="34" spans="1:9">
      <c r="F34" s="5" t="s">
        <v>0</v>
      </c>
      <c r="G34" s="27">
        <f>G32-G33</f>
        <v>0</v>
      </c>
      <c r="H34" s="28"/>
    </row>
  </sheetData>
  <mergeCells count="11">
    <mergeCell ref="B33:C33"/>
    <mergeCell ref="D33:E33"/>
    <mergeCell ref="G33:H33"/>
    <mergeCell ref="G34:H34"/>
    <mergeCell ref="A1:C1"/>
    <mergeCell ref="F1:H1"/>
    <mergeCell ref="A17:C17"/>
    <mergeCell ref="F17:H17"/>
    <mergeCell ref="B32:C32"/>
    <mergeCell ref="D32:E32"/>
    <mergeCell ref="G32:H3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580B-2695-4332-9842-F3E0C376E031}">
  <sheetPr codeName="Arkusz2"/>
  <dimension ref="A1:L34"/>
  <sheetViews>
    <sheetView workbookViewId="0">
      <selection activeCell="L2" sqref="L2"/>
    </sheetView>
  </sheetViews>
  <sheetFormatPr defaultRowHeight="13.8"/>
  <cols>
    <col min="1" max="1" width="10.09765625" bestFit="1" customWidth="1"/>
    <col min="2" max="2" width="10" style="1" bestFit="1" customWidth="1"/>
    <col min="3" max="3" width="10.19921875" style="2" bestFit="1" customWidth="1"/>
    <col min="4" max="4" width="10.5" style="1" bestFit="1" customWidth="1"/>
    <col min="6" max="6" width="10.09765625" bestFit="1" customWidth="1"/>
    <col min="7" max="7" width="9.8984375" bestFit="1" customWidth="1"/>
    <col min="9" max="9" width="9.8984375" bestFit="1" customWidth="1"/>
    <col min="11" max="11" width="14.3984375" bestFit="1" customWidth="1"/>
    <col min="12" max="12" width="9.69921875" bestFit="1" customWidth="1"/>
  </cols>
  <sheetData>
    <row r="1" spans="1:12">
      <c r="A1" s="29" t="s">
        <v>18</v>
      </c>
      <c r="B1" s="29"/>
      <c r="C1" s="29"/>
      <c r="D1" s="12">
        <v>100</v>
      </c>
      <c r="F1" s="29" t="s">
        <v>17</v>
      </c>
      <c r="G1" s="29"/>
      <c r="H1" s="29"/>
      <c r="I1" s="12">
        <v>100</v>
      </c>
      <c r="L1" t="s">
        <v>0</v>
      </c>
    </row>
    <row r="2" spans="1:12">
      <c r="A2" s="5" t="s">
        <v>9</v>
      </c>
      <c r="B2" s="12"/>
      <c r="C2" s="4" t="s">
        <v>15</v>
      </c>
      <c r="D2" s="12" t="s">
        <v>10</v>
      </c>
      <c r="F2" s="5" t="s">
        <v>9</v>
      </c>
      <c r="G2" s="12"/>
      <c r="H2" s="4" t="s">
        <v>15</v>
      </c>
      <c r="I2" s="12" t="s">
        <v>10</v>
      </c>
      <c r="K2" t="s">
        <v>31</v>
      </c>
      <c r="L2">
        <v>1271.5</v>
      </c>
    </row>
    <row r="3" spans="1:12">
      <c r="A3" s="10" t="s">
        <v>30</v>
      </c>
      <c r="B3" s="12"/>
      <c r="C3" s="13"/>
      <c r="D3" s="13"/>
      <c r="F3" s="10" t="s">
        <v>30</v>
      </c>
      <c r="G3" s="12"/>
      <c r="H3" s="13">
        <f>71.85+77.95+51.96</f>
        <v>201.76000000000002</v>
      </c>
      <c r="I3" s="13">
        <f>H3-$I$1</f>
        <v>101.76000000000002</v>
      </c>
    </row>
    <row r="4" spans="1:12">
      <c r="A4" s="10" t="s">
        <v>29</v>
      </c>
      <c r="B4" s="12"/>
      <c r="C4" s="13">
        <f>155.78-0.6+54+74.68+92.88</f>
        <v>376.74</v>
      </c>
      <c r="D4" s="13">
        <f>C4-$D$1</f>
        <v>276.74</v>
      </c>
      <c r="F4" s="10" t="s">
        <v>29</v>
      </c>
      <c r="G4" s="12"/>
      <c r="H4" s="13"/>
      <c r="I4" s="13"/>
    </row>
    <row r="5" spans="1:12">
      <c r="A5" s="10" t="s">
        <v>28</v>
      </c>
      <c r="B5" s="12"/>
      <c r="C5" s="13"/>
      <c r="D5" s="13"/>
      <c r="F5" s="10" t="s">
        <v>28</v>
      </c>
      <c r="G5" s="12"/>
      <c r="H5" s="13"/>
      <c r="I5" s="13"/>
    </row>
    <row r="6" spans="1:12">
      <c r="A6" s="10" t="s">
        <v>27</v>
      </c>
      <c r="B6" s="12"/>
      <c r="C6" s="13">
        <f>22.78+237.01</f>
        <v>259.78999999999996</v>
      </c>
      <c r="D6" s="13">
        <f>C6-$D$1</f>
        <v>159.78999999999996</v>
      </c>
      <c r="F6" s="10" t="s">
        <v>27</v>
      </c>
      <c r="G6" s="12"/>
      <c r="H6" s="13">
        <v>127.75</v>
      </c>
      <c r="I6" s="13">
        <f>H6-$I$1</f>
        <v>27.75</v>
      </c>
    </row>
    <row r="7" spans="1:12">
      <c r="A7" s="10" t="s">
        <v>26</v>
      </c>
      <c r="B7" s="12"/>
      <c r="C7" s="13">
        <f>31.22+279.63</f>
        <v>310.85000000000002</v>
      </c>
      <c r="D7" s="13">
        <f>C7-$D$1</f>
        <v>210.85000000000002</v>
      </c>
      <c r="F7" s="10" t="s">
        <v>26</v>
      </c>
      <c r="G7" s="12"/>
      <c r="H7" s="13"/>
      <c r="I7" s="13"/>
    </row>
    <row r="8" spans="1:12">
      <c r="A8" s="10" t="s">
        <v>25</v>
      </c>
      <c r="B8" s="12"/>
      <c r="C8" s="13"/>
      <c r="D8" s="13"/>
      <c r="F8" s="10" t="s">
        <v>25</v>
      </c>
      <c r="G8" s="12"/>
      <c r="H8" s="13">
        <f>81.27+50.75</f>
        <v>132.01999999999998</v>
      </c>
      <c r="I8" s="13">
        <f>H8-$I$1</f>
        <v>32.019999999999982</v>
      </c>
    </row>
    <row r="9" spans="1:12">
      <c r="A9" s="10" t="s">
        <v>24</v>
      </c>
      <c r="B9" s="12"/>
      <c r="C9" s="13">
        <f>109.48-0.6+253.83-0.6</f>
        <v>362.11</v>
      </c>
      <c r="D9" s="13">
        <f>C9-$D$1</f>
        <v>262.11</v>
      </c>
      <c r="F9" s="10" t="s">
        <v>24</v>
      </c>
      <c r="G9" s="12"/>
      <c r="H9" s="13"/>
      <c r="I9" s="13"/>
    </row>
    <row r="10" spans="1:12">
      <c r="A10" s="10" t="s">
        <v>23</v>
      </c>
      <c r="B10" s="12"/>
      <c r="C10" s="13"/>
      <c r="D10" s="13"/>
      <c r="F10" s="10" t="s">
        <v>23</v>
      </c>
      <c r="G10" s="12"/>
      <c r="H10" s="13"/>
      <c r="I10" s="13"/>
    </row>
    <row r="11" spans="1:12">
      <c r="A11" s="10" t="s">
        <v>22</v>
      </c>
      <c r="B11" s="12"/>
      <c r="C11" s="13">
        <f>279.62</f>
        <v>279.62</v>
      </c>
      <c r="D11" s="13">
        <f>C11-$D$1</f>
        <v>179.62</v>
      </c>
      <c r="F11" s="10" t="s">
        <v>22</v>
      </c>
      <c r="G11" s="12"/>
      <c r="H11" s="13"/>
      <c r="I11" s="13"/>
    </row>
    <row r="12" spans="1:12">
      <c r="A12" s="10" t="s">
        <v>21</v>
      </c>
      <c r="B12" s="12"/>
      <c r="C12" s="13"/>
      <c r="D12" s="13"/>
      <c r="F12" s="10" t="s">
        <v>21</v>
      </c>
      <c r="G12" s="12"/>
      <c r="H12" s="13">
        <f>79.95+140.28</f>
        <v>220.23000000000002</v>
      </c>
      <c r="I12" s="13">
        <f>H12-$I$1</f>
        <v>120.23000000000002</v>
      </c>
    </row>
    <row r="13" spans="1:12">
      <c r="A13" s="10" t="s">
        <v>20</v>
      </c>
      <c r="B13" s="12"/>
      <c r="C13" s="13">
        <f>43.97+284.17</f>
        <v>328.14</v>
      </c>
      <c r="D13" s="13">
        <f>C13-$D$1</f>
        <v>228.14</v>
      </c>
      <c r="F13" s="10" t="s">
        <v>20</v>
      </c>
      <c r="G13" s="12"/>
      <c r="H13" s="13"/>
      <c r="I13" s="13"/>
    </row>
    <row r="14" spans="1:12">
      <c r="A14" s="10" t="s">
        <v>19</v>
      </c>
      <c r="B14" s="12"/>
      <c r="C14" s="13"/>
      <c r="D14" s="13"/>
      <c r="F14" s="10" t="s">
        <v>19</v>
      </c>
      <c r="G14" s="12"/>
      <c r="H14" s="13"/>
      <c r="I14" s="13"/>
    </row>
    <row r="15" spans="1:12">
      <c r="A15" s="5"/>
      <c r="B15" s="12"/>
      <c r="C15" s="15" t="s">
        <v>6</v>
      </c>
      <c r="D15" s="7">
        <f>SUM(D3:D14)</f>
        <v>1317.25</v>
      </c>
      <c r="F15" s="5"/>
      <c r="G15" s="12"/>
      <c r="H15" s="15" t="s">
        <v>6</v>
      </c>
      <c r="I15" s="7">
        <f>SUM(I3:I14)</f>
        <v>281.76</v>
      </c>
    </row>
    <row r="17" spans="1:12">
      <c r="A17" s="29" t="s">
        <v>14</v>
      </c>
      <c r="B17" s="29"/>
      <c r="C17" s="29"/>
      <c r="F17" s="29" t="s">
        <v>13</v>
      </c>
      <c r="G17" s="29"/>
      <c r="H17" s="29"/>
    </row>
    <row r="18" spans="1:12">
      <c r="A18" s="5" t="s">
        <v>9</v>
      </c>
      <c r="B18" s="12" t="s">
        <v>12</v>
      </c>
      <c r="C18" s="12" t="s">
        <v>11</v>
      </c>
      <c r="D18" s="1" t="s">
        <v>10</v>
      </c>
      <c r="F18" s="5" t="s">
        <v>9</v>
      </c>
      <c r="G18" s="12" t="s">
        <v>8</v>
      </c>
      <c r="H18" s="12" t="s">
        <v>7</v>
      </c>
    </row>
    <row r="19" spans="1:12">
      <c r="A19" s="10" t="s">
        <v>30</v>
      </c>
      <c r="B19" s="12">
        <v>130</v>
      </c>
      <c r="C19" s="13">
        <f>5+2.25+2.45</f>
        <v>9.6999999999999993</v>
      </c>
      <c r="D19" s="14"/>
      <c r="F19" s="10" t="s">
        <v>30</v>
      </c>
      <c r="G19" s="12"/>
      <c r="H19" s="13"/>
    </row>
    <row r="20" spans="1:12">
      <c r="A20" s="10" t="s">
        <v>29</v>
      </c>
      <c r="B20" s="12">
        <v>130</v>
      </c>
      <c r="C20" s="13">
        <f>5+2.25+2.45</f>
        <v>9.6999999999999993</v>
      </c>
      <c r="D20" s="14"/>
      <c r="F20" s="10" t="s">
        <v>29</v>
      </c>
      <c r="G20" s="12">
        <v>220.26</v>
      </c>
      <c r="H20" s="13">
        <v>557</v>
      </c>
    </row>
    <row r="21" spans="1:12">
      <c r="A21" s="10" t="s">
        <v>28</v>
      </c>
      <c r="B21" s="12">
        <v>130</v>
      </c>
      <c r="C21" s="13">
        <f>2.25*2+5</f>
        <v>9.5</v>
      </c>
      <c r="D21" s="14"/>
      <c r="F21" s="10" t="s">
        <v>28</v>
      </c>
      <c r="G21" s="12">
        <v>100.19</v>
      </c>
      <c r="H21" s="13"/>
    </row>
    <row r="22" spans="1:12">
      <c r="A22" s="10" t="s">
        <v>27</v>
      </c>
      <c r="B22" s="12">
        <v>130</v>
      </c>
      <c r="C22" s="13">
        <f>2.45*2+5</f>
        <v>9.9</v>
      </c>
      <c r="D22" s="14"/>
      <c r="F22" s="10" t="s">
        <v>27</v>
      </c>
      <c r="G22" s="12">
        <f>320.07+145.58</f>
        <v>465.65</v>
      </c>
      <c r="H22" s="13"/>
    </row>
    <row r="23" spans="1:12">
      <c r="A23" s="10" t="s">
        <v>26</v>
      </c>
      <c r="B23" s="12">
        <v>150</v>
      </c>
      <c r="C23" s="13">
        <f>2.45+2.25+4</f>
        <v>8.6999999999999993</v>
      </c>
      <c r="D23" s="14"/>
      <c r="F23" s="10" t="s">
        <v>26</v>
      </c>
      <c r="G23" s="12">
        <v>300.92</v>
      </c>
      <c r="H23" s="13"/>
    </row>
    <row r="24" spans="1:12">
      <c r="A24" s="10" t="s">
        <v>25</v>
      </c>
      <c r="B24" s="12">
        <v>150</v>
      </c>
      <c r="C24" s="13">
        <f>2.45*2+4</f>
        <v>8.9</v>
      </c>
      <c r="F24" s="10" t="s">
        <v>25</v>
      </c>
      <c r="G24" s="12"/>
      <c r="H24" s="4"/>
    </row>
    <row r="25" spans="1:12">
      <c r="A25" s="10" t="s">
        <v>23</v>
      </c>
      <c r="B25" s="12">
        <v>150</v>
      </c>
      <c r="C25" s="13">
        <f>2.25+2.8+4</f>
        <v>9.0500000000000007</v>
      </c>
      <c r="F25" s="10" t="s">
        <v>24</v>
      </c>
      <c r="G25" s="12">
        <v>315.02999999999997</v>
      </c>
      <c r="H25" s="4"/>
    </row>
    <row r="26" spans="1:12">
      <c r="A26" s="10" t="s">
        <v>21</v>
      </c>
      <c r="B26" s="12">
        <v>150</v>
      </c>
      <c r="C26" s="13">
        <f>2.25*2+5</f>
        <v>9.5</v>
      </c>
      <c r="F26" s="10" t="s">
        <v>23</v>
      </c>
      <c r="G26" s="12">
        <f>165.72+331.38</f>
        <v>497.1</v>
      </c>
      <c r="H26" s="4">
        <v>280</v>
      </c>
    </row>
    <row r="27" spans="1:12">
      <c r="A27" s="10" t="s">
        <v>20</v>
      </c>
      <c r="B27" s="12">
        <v>150</v>
      </c>
      <c r="C27" s="13">
        <f>2.8*2+4</f>
        <v>9.6</v>
      </c>
      <c r="F27" s="10" t="s">
        <v>22</v>
      </c>
      <c r="G27" s="12"/>
      <c r="H27" s="4"/>
    </row>
    <row r="28" spans="1:12">
      <c r="A28" s="10"/>
      <c r="B28" s="12"/>
      <c r="C28" s="4"/>
      <c r="F28" s="10" t="s">
        <v>21</v>
      </c>
      <c r="G28" s="12">
        <v>301.23</v>
      </c>
      <c r="H28" s="4"/>
    </row>
    <row r="29" spans="1:12">
      <c r="A29" s="8" t="s">
        <v>6</v>
      </c>
      <c r="B29" s="7">
        <f>SUM(B19:B28)</f>
        <v>1270</v>
      </c>
      <c r="C29" s="7">
        <f>SUM(C19:C28)</f>
        <v>84.55</v>
      </c>
      <c r="F29" s="10" t="s">
        <v>20</v>
      </c>
      <c r="G29" s="9"/>
      <c r="H29" s="7"/>
    </row>
    <row r="30" spans="1:12">
      <c r="F30" s="10" t="s">
        <v>19</v>
      </c>
      <c r="G30" s="9">
        <f>400.33+300.46</f>
        <v>700.79</v>
      </c>
      <c r="H30" s="5"/>
    </row>
    <row r="31" spans="1:12">
      <c r="F31" s="8" t="s">
        <v>6</v>
      </c>
      <c r="G31" s="7">
        <f>SUM(G19:G30)</f>
        <v>2901.17</v>
      </c>
      <c r="H31" s="7">
        <f>SUM(H19:H30)</f>
        <v>837</v>
      </c>
      <c r="L31" s="1"/>
    </row>
    <row r="32" spans="1:12">
      <c r="A32" s="6"/>
      <c r="B32" s="30" t="s">
        <v>5</v>
      </c>
      <c r="C32" s="31"/>
      <c r="D32" s="30" t="s">
        <v>4</v>
      </c>
      <c r="E32" s="31"/>
      <c r="F32" s="5" t="s">
        <v>3</v>
      </c>
      <c r="G32" s="27">
        <f>G31+H31</f>
        <v>3738.17</v>
      </c>
      <c r="H32" s="28"/>
      <c r="L32" s="1"/>
    </row>
    <row r="33" spans="1:9">
      <c r="A33" s="6" t="s">
        <v>2</v>
      </c>
      <c r="B33" s="30">
        <f>D15+G33</f>
        <v>3186.335</v>
      </c>
      <c r="C33" s="31"/>
      <c r="D33" s="30">
        <f>I15+B29+C29+G34</f>
        <v>3505.395</v>
      </c>
      <c r="E33" s="31"/>
      <c r="F33" s="5" t="s">
        <v>1</v>
      </c>
      <c r="G33" s="27">
        <f>G32/2</f>
        <v>1869.085</v>
      </c>
      <c r="H33" s="28"/>
      <c r="I33" s="1"/>
    </row>
    <row r="34" spans="1:9">
      <c r="F34" s="5" t="s">
        <v>0</v>
      </c>
      <c r="G34" s="27">
        <f>G32-G33</f>
        <v>1869.085</v>
      </c>
      <c r="H34" s="28"/>
    </row>
  </sheetData>
  <mergeCells count="11">
    <mergeCell ref="G33:H33"/>
    <mergeCell ref="A1:C1"/>
    <mergeCell ref="F1:H1"/>
    <mergeCell ref="G34:H34"/>
    <mergeCell ref="A17:C17"/>
    <mergeCell ref="F17:H17"/>
    <mergeCell ref="B32:C32"/>
    <mergeCell ref="D32:E32"/>
    <mergeCell ref="G32:H32"/>
    <mergeCell ref="B33:C33"/>
    <mergeCell ref="D33:E3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C2A0-0933-436B-8F62-1578493B1DB8}">
  <sheetPr codeName="Arkusz3"/>
  <dimension ref="A1:N33"/>
  <sheetViews>
    <sheetView topLeftCell="A4" workbookViewId="0">
      <selection activeCell="A16" sqref="A16:C16"/>
    </sheetView>
  </sheetViews>
  <sheetFormatPr defaultRowHeight="13.8"/>
  <cols>
    <col min="1" max="1" width="10.09765625" bestFit="1" customWidth="1"/>
    <col min="2" max="2" width="10" style="1" bestFit="1" customWidth="1"/>
    <col min="3" max="3" width="10.19921875" style="2" bestFit="1" customWidth="1"/>
    <col min="4" max="4" width="10.69921875" style="1" bestFit="1" customWidth="1"/>
    <col min="5" max="5" width="8.796875" style="17"/>
    <col min="6" max="6" width="10.09765625" bestFit="1" customWidth="1"/>
    <col min="7" max="7" width="9.8984375" bestFit="1" customWidth="1"/>
    <col min="8" max="8" width="10.8984375" bestFit="1" customWidth="1"/>
    <col min="9" max="9" width="9.69921875" bestFit="1" customWidth="1"/>
    <col min="12" max="13" width="9.69921875" bestFit="1" customWidth="1"/>
  </cols>
  <sheetData>
    <row r="1" spans="1:13">
      <c r="A1" s="32" t="s">
        <v>5</v>
      </c>
      <c r="B1" s="32"/>
      <c r="C1" s="32"/>
      <c r="D1" s="32"/>
      <c r="E1" s="24"/>
      <c r="F1" s="32" t="s">
        <v>4</v>
      </c>
      <c r="G1" s="32"/>
      <c r="H1" s="32"/>
      <c r="I1" s="32"/>
    </row>
    <row r="2" spans="1:13">
      <c r="A2" s="23"/>
      <c r="B2" s="23"/>
      <c r="C2" s="23"/>
      <c r="D2" s="23"/>
      <c r="E2" s="24"/>
      <c r="F2" s="23"/>
      <c r="G2" s="23"/>
      <c r="H2" s="23"/>
      <c r="I2" s="23"/>
    </row>
    <row r="3" spans="1:13">
      <c r="A3" s="23"/>
      <c r="B3" s="33">
        <f>D14+B31</f>
        <v>2211.37</v>
      </c>
      <c r="C3" s="32"/>
      <c r="D3" s="22"/>
      <c r="E3" s="24"/>
      <c r="F3" s="23"/>
      <c r="G3" s="33">
        <f>I14+I16+I18+G26+H26+B32</f>
        <v>1948.45</v>
      </c>
      <c r="H3" s="32"/>
      <c r="I3" s="22"/>
    </row>
    <row r="5" spans="1:13">
      <c r="A5" s="29" t="s">
        <v>46</v>
      </c>
      <c r="B5" s="29"/>
      <c r="C5" s="29"/>
      <c r="D5" s="12">
        <v>100</v>
      </c>
      <c r="F5" s="29" t="s">
        <v>46</v>
      </c>
      <c r="G5" s="29"/>
      <c r="H5" s="29"/>
      <c r="I5" s="12">
        <v>100</v>
      </c>
    </row>
    <row r="6" spans="1:13">
      <c r="A6" s="5" t="s">
        <v>9</v>
      </c>
      <c r="B6" s="12" t="s">
        <v>16</v>
      </c>
      <c r="C6" s="4" t="s">
        <v>15</v>
      </c>
      <c r="D6" s="12" t="s">
        <v>10</v>
      </c>
      <c r="F6" s="5" t="s">
        <v>9</v>
      </c>
      <c r="G6" s="12" t="s">
        <v>16</v>
      </c>
      <c r="H6" s="4" t="s">
        <v>15</v>
      </c>
      <c r="I6" s="12" t="s">
        <v>10</v>
      </c>
    </row>
    <row r="7" spans="1:13">
      <c r="A7" s="21" t="s">
        <v>38</v>
      </c>
      <c r="B7" s="12">
        <f>77.58+105.78</f>
        <v>183.36</v>
      </c>
      <c r="C7" s="12">
        <f t="shared" ref="C7:C12" si="0">B7</f>
        <v>183.36</v>
      </c>
      <c r="D7" s="12">
        <f>C7-D5</f>
        <v>83.360000000000014</v>
      </c>
      <c r="F7" s="21" t="s">
        <v>45</v>
      </c>
      <c r="G7" s="12">
        <f>27.45+129.91+7.13</f>
        <v>164.48999999999998</v>
      </c>
      <c r="H7" s="13">
        <f>G7</f>
        <v>164.48999999999998</v>
      </c>
      <c r="I7" s="12">
        <f>H7-I5</f>
        <v>64.489999999999981</v>
      </c>
    </row>
    <row r="8" spans="1:13">
      <c r="A8" s="10" t="s">
        <v>45</v>
      </c>
      <c r="B8" s="12">
        <f>51.35+118.17-0.5-11.67+49.28</f>
        <v>206.63000000000002</v>
      </c>
      <c r="C8" s="12">
        <f t="shared" si="0"/>
        <v>206.63000000000002</v>
      </c>
      <c r="D8" s="12">
        <f>C8-D5</f>
        <v>106.63000000000002</v>
      </c>
      <c r="F8" s="10" t="s">
        <v>44</v>
      </c>
      <c r="G8" s="12">
        <f>71.8-0.4+33.97</f>
        <v>105.36999999999999</v>
      </c>
      <c r="H8" s="4">
        <f>G8</f>
        <v>105.36999999999999</v>
      </c>
      <c r="I8" s="12">
        <f>H8-I5</f>
        <v>5.3699999999999903</v>
      </c>
    </row>
    <row r="9" spans="1:13">
      <c r="A9" s="10" t="s">
        <v>44</v>
      </c>
      <c r="B9" s="12">
        <f>230.41+27.97</f>
        <v>258.38</v>
      </c>
      <c r="C9" s="13">
        <f t="shared" si="0"/>
        <v>258.38</v>
      </c>
      <c r="D9" s="13">
        <f>C9-D5</f>
        <v>158.38</v>
      </c>
      <c r="F9" s="10" t="s">
        <v>42</v>
      </c>
      <c r="G9" s="12">
        <v>113.95</v>
      </c>
      <c r="H9" s="12">
        <f>G9</f>
        <v>113.95</v>
      </c>
      <c r="I9" s="13">
        <f>H9-I5</f>
        <v>13.950000000000003</v>
      </c>
    </row>
    <row r="10" spans="1:13">
      <c r="A10" s="10" t="s">
        <v>36</v>
      </c>
      <c r="B10" s="12">
        <f>127.71-0.5</f>
        <v>127.21</v>
      </c>
      <c r="C10" s="13">
        <f t="shared" si="0"/>
        <v>127.21</v>
      </c>
      <c r="D10" s="13">
        <f>C10-D5</f>
        <v>27.209999999999994</v>
      </c>
      <c r="F10" s="10"/>
      <c r="G10" s="12"/>
      <c r="H10" s="12"/>
      <c r="I10" s="13"/>
    </row>
    <row r="11" spans="1:13">
      <c r="A11" s="10" t="s">
        <v>43</v>
      </c>
      <c r="B11" s="12">
        <f>21.99+284.98-0.5</f>
        <v>306.47000000000003</v>
      </c>
      <c r="C11" s="13">
        <f t="shared" si="0"/>
        <v>306.47000000000003</v>
      </c>
      <c r="D11" s="13">
        <f>C11-D5</f>
        <v>206.47000000000003</v>
      </c>
      <c r="F11" s="10"/>
      <c r="G11" s="12"/>
      <c r="H11" s="12"/>
      <c r="I11" s="13"/>
    </row>
    <row r="12" spans="1:13">
      <c r="A12" s="10" t="s">
        <v>42</v>
      </c>
      <c r="B12" s="12">
        <f>158.28+328.67</f>
        <v>486.95000000000005</v>
      </c>
      <c r="C12" s="13">
        <f t="shared" si="0"/>
        <v>486.95000000000005</v>
      </c>
      <c r="D12" s="13">
        <f>C12-D5</f>
        <v>386.95000000000005</v>
      </c>
      <c r="F12" s="10"/>
      <c r="G12" s="12"/>
      <c r="H12" s="12"/>
      <c r="I12" s="13"/>
    </row>
    <row r="13" spans="1:13">
      <c r="A13" s="10" t="s">
        <v>33</v>
      </c>
      <c r="B13" s="12">
        <f>279.53-0.6-3.6-3.6</f>
        <v>271.7299999999999</v>
      </c>
      <c r="C13" s="13">
        <f>SUM(B13)</f>
        <v>271.7299999999999</v>
      </c>
      <c r="D13" s="13">
        <f>C13-$D$5</f>
        <v>171.7299999999999</v>
      </c>
      <c r="F13" s="10"/>
      <c r="G13" s="12"/>
      <c r="H13" s="12"/>
      <c r="I13" s="13"/>
    </row>
    <row r="14" spans="1:13">
      <c r="A14" s="5"/>
      <c r="B14" s="12"/>
      <c r="C14" s="15" t="s">
        <v>6</v>
      </c>
      <c r="D14" s="7">
        <f>SUM(D7:D13)</f>
        <v>1140.73</v>
      </c>
      <c r="F14" s="5"/>
      <c r="G14" s="12"/>
      <c r="H14" s="15" t="s">
        <v>6</v>
      </c>
      <c r="I14" s="7">
        <f>SUM(I7:I13)</f>
        <v>83.809999999999974</v>
      </c>
      <c r="M14" s="1"/>
    </row>
    <row r="15" spans="1:13">
      <c r="C15" s="20"/>
      <c r="D15" s="18"/>
      <c r="G15" s="1"/>
      <c r="H15" s="20"/>
      <c r="I15" s="18"/>
      <c r="M15" s="1"/>
    </row>
    <row r="16" spans="1:13">
      <c r="A16" s="29" t="s">
        <v>41</v>
      </c>
      <c r="B16" s="29"/>
      <c r="C16" s="29"/>
      <c r="D16" s="12">
        <v>26000</v>
      </c>
      <c r="G16" s="1"/>
    </row>
    <row r="17" spans="1:14">
      <c r="C17" s="20"/>
      <c r="D17" s="18"/>
      <c r="G17" s="1"/>
      <c r="N17" s="1"/>
    </row>
    <row r="18" spans="1:14">
      <c r="A18" s="29" t="s">
        <v>40</v>
      </c>
      <c r="B18" s="29"/>
      <c r="C18" s="29"/>
      <c r="D18" s="18"/>
      <c r="F18" s="34" t="s">
        <v>39</v>
      </c>
      <c r="G18" s="35"/>
      <c r="H18" s="36"/>
      <c r="N18" s="1"/>
    </row>
    <row r="19" spans="1:14">
      <c r="A19" s="5" t="s">
        <v>9</v>
      </c>
      <c r="B19" s="12" t="s">
        <v>8</v>
      </c>
      <c r="C19" s="12" t="s">
        <v>7</v>
      </c>
      <c r="D19" s="18"/>
      <c r="F19" s="10" t="s">
        <v>9</v>
      </c>
      <c r="G19" s="12" t="s">
        <v>12</v>
      </c>
      <c r="H19" s="13" t="s">
        <v>11</v>
      </c>
      <c r="I19" s="1"/>
    </row>
    <row r="20" spans="1:14">
      <c r="A20" s="10">
        <v>44493</v>
      </c>
      <c r="B20" s="12">
        <v>290.02</v>
      </c>
      <c r="C20" s="13" t="s">
        <v>32</v>
      </c>
      <c r="D20" s="18"/>
      <c r="F20" s="10" t="s">
        <v>38</v>
      </c>
      <c r="G20" s="12">
        <v>120</v>
      </c>
      <c r="H20" s="13">
        <f>2.25*2+1.7+2.3</f>
        <v>8.5</v>
      </c>
      <c r="I20" s="1"/>
    </row>
    <row r="21" spans="1:14">
      <c r="A21" s="10">
        <v>44417</v>
      </c>
      <c r="B21" s="12">
        <v>138.75</v>
      </c>
      <c r="C21" s="13" t="s">
        <v>32</v>
      </c>
      <c r="D21" s="18"/>
      <c r="F21" s="10" t="s">
        <v>37</v>
      </c>
      <c r="G21" s="12">
        <v>120</v>
      </c>
      <c r="H21" s="13"/>
      <c r="I21" s="1"/>
    </row>
    <row r="22" spans="1:14">
      <c r="A22" s="10">
        <v>44299</v>
      </c>
      <c r="B22" s="12">
        <v>99.9</v>
      </c>
      <c r="C22" s="13" t="s">
        <v>32</v>
      </c>
      <c r="D22" s="18"/>
      <c r="F22" s="10" t="s">
        <v>36</v>
      </c>
      <c r="G22" s="12">
        <v>130</v>
      </c>
      <c r="H22" s="13"/>
      <c r="I22" s="1"/>
    </row>
    <row r="23" spans="1:14">
      <c r="A23" s="10">
        <v>44289</v>
      </c>
      <c r="B23" s="12">
        <v>230.05</v>
      </c>
      <c r="C23" s="13" t="s">
        <v>32</v>
      </c>
      <c r="D23" s="18"/>
      <c r="F23" s="10" t="s">
        <v>35</v>
      </c>
      <c r="G23" s="12">
        <v>130</v>
      </c>
      <c r="H23" s="13">
        <f>2.25*2+4</f>
        <v>8.5</v>
      </c>
      <c r="I23" s="1"/>
    </row>
    <row r="24" spans="1:14">
      <c r="A24" s="10">
        <v>44404</v>
      </c>
      <c r="B24" s="12">
        <v>270</v>
      </c>
      <c r="C24" s="13" t="s">
        <v>32</v>
      </c>
      <c r="D24" s="18"/>
      <c r="F24" s="10" t="s">
        <v>34</v>
      </c>
      <c r="G24" s="12">
        <v>130</v>
      </c>
      <c r="H24" s="13">
        <f>2.25*2+4</f>
        <v>8.5</v>
      </c>
      <c r="I24" s="1"/>
    </row>
    <row r="25" spans="1:14">
      <c r="A25" s="10">
        <v>44230</v>
      </c>
      <c r="B25" s="12">
        <v>200</v>
      </c>
      <c r="C25" s="13" t="s">
        <v>32</v>
      </c>
      <c r="D25" s="18"/>
      <c r="F25" s="10" t="s">
        <v>33</v>
      </c>
      <c r="G25" s="12">
        <v>130</v>
      </c>
      <c r="H25" s="13">
        <f>2.25*2+4</f>
        <v>8.5</v>
      </c>
      <c r="I25" s="1"/>
    </row>
    <row r="26" spans="1:14">
      <c r="A26" s="10">
        <v>44352</v>
      </c>
      <c r="B26" s="12">
        <v>279.43</v>
      </c>
      <c r="C26" s="13" t="s">
        <v>32</v>
      </c>
      <c r="D26" s="18"/>
      <c r="F26" s="8" t="s">
        <v>6</v>
      </c>
      <c r="G26" s="7">
        <f>SUM(G20:G25)</f>
        <v>760</v>
      </c>
      <c r="H26" s="7">
        <f>SUM(H20:H25)</f>
        <v>34</v>
      </c>
      <c r="I26" s="18"/>
    </row>
    <row r="27" spans="1:14">
      <c r="A27" s="10">
        <v>44450</v>
      </c>
      <c r="B27" s="12">
        <v>299.99</v>
      </c>
      <c r="C27" s="13" t="s">
        <v>32</v>
      </c>
      <c r="D27" s="18"/>
      <c r="F27" s="19"/>
      <c r="G27" s="18"/>
      <c r="H27" s="18"/>
      <c r="I27" s="18"/>
    </row>
    <row r="28" spans="1:14">
      <c r="A28" s="10">
        <v>44467</v>
      </c>
      <c r="B28" s="12">
        <v>63.03</v>
      </c>
      <c r="C28" s="13" t="s">
        <v>32</v>
      </c>
      <c r="D28" s="18"/>
      <c r="F28" s="19"/>
      <c r="G28" s="18"/>
      <c r="H28" s="18"/>
      <c r="I28" s="18"/>
    </row>
    <row r="29" spans="1:14">
      <c r="A29" s="10">
        <v>44553</v>
      </c>
      <c r="B29" s="12">
        <v>270.11</v>
      </c>
      <c r="C29" s="13" t="s">
        <v>32</v>
      </c>
      <c r="D29" s="18"/>
      <c r="F29" s="19"/>
      <c r="G29" s="18"/>
      <c r="H29" s="18"/>
      <c r="I29" s="18"/>
    </row>
    <row r="30" spans="1:14" s="17" customFormat="1">
      <c r="A30" s="8" t="s">
        <v>6</v>
      </c>
      <c r="B30" s="7">
        <f>SUM(B20:B29)</f>
        <v>2141.2800000000002</v>
      </c>
      <c r="C30" s="7">
        <f>SUM(C20:C29)</f>
        <v>0</v>
      </c>
      <c r="D30" s="14"/>
      <c r="F30"/>
      <c r="G30"/>
      <c r="H30"/>
      <c r="I30"/>
      <c r="J30"/>
      <c r="K30"/>
      <c r="L30"/>
      <c r="M30"/>
    </row>
    <row r="31" spans="1:14" s="17" customFormat="1">
      <c r="A31" s="5" t="s">
        <v>1</v>
      </c>
      <c r="B31" s="27">
        <f>IF((B30/2&gt;2280),2280,(B30/2))</f>
        <v>1070.6400000000001</v>
      </c>
      <c r="C31" s="28"/>
      <c r="D31" s="14"/>
      <c r="F31"/>
      <c r="G31"/>
      <c r="H31"/>
      <c r="I31"/>
      <c r="J31"/>
      <c r="K31"/>
      <c r="L31"/>
      <c r="M31"/>
    </row>
    <row r="32" spans="1:14" s="17" customFormat="1">
      <c r="A32" s="5" t="s">
        <v>0</v>
      </c>
      <c r="B32" s="27">
        <f>IF((B30/2&gt;2280),2280,(B30/2))</f>
        <v>1070.6400000000001</v>
      </c>
      <c r="C32" s="28"/>
      <c r="D32" s="14"/>
      <c r="F32"/>
      <c r="G32"/>
      <c r="H32"/>
      <c r="I32"/>
      <c r="J32"/>
      <c r="K32"/>
      <c r="L32"/>
      <c r="M32"/>
    </row>
    <row r="33" spans="1:13" s="17" customFormat="1">
      <c r="A33"/>
      <c r="B33"/>
      <c r="C33"/>
      <c r="D33" s="1"/>
      <c r="F33"/>
      <c r="G33"/>
      <c r="H33"/>
      <c r="I33"/>
      <c r="J33"/>
      <c r="K33"/>
      <c r="L33"/>
      <c r="M33"/>
    </row>
  </sheetData>
  <mergeCells count="11">
    <mergeCell ref="B32:C32"/>
    <mergeCell ref="A16:C16"/>
    <mergeCell ref="A18:C18"/>
    <mergeCell ref="F18:H18"/>
    <mergeCell ref="B31:C31"/>
    <mergeCell ref="A1:D1"/>
    <mergeCell ref="F1:I1"/>
    <mergeCell ref="B3:C3"/>
    <mergeCell ref="G3:H3"/>
    <mergeCell ref="A5:C5"/>
    <mergeCell ref="F5:H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246B-4703-4184-8490-DAB5E3892EEE}">
  <sheetPr codeName="Arkusz4"/>
  <dimension ref="A1:M55"/>
  <sheetViews>
    <sheetView topLeftCell="A5" workbookViewId="0">
      <selection activeCell="D34" sqref="D34"/>
    </sheetView>
  </sheetViews>
  <sheetFormatPr defaultRowHeight="13.8"/>
  <cols>
    <col min="1" max="1" width="10.09765625" bestFit="1" customWidth="1"/>
    <col min="2" max="2" width="10" style="1" bestFit="1" customWidth="1"/>
    <col min="3" max="3" width="10.19921875" style="2" bestFit="1" customWidth="1"/>
    <col min="4" max="4" width="9.8984375" style="1" bestFit="1" customWidth="1"/>
    <col min="5" max="5" width="8.796875" style="17"/>
    <col min="6" max="6" width="10.09765625" bestFit="1" customWidth="1"/>
    <col min="7" max="7" width="9.8984375" bestFit="1" customWidth="1"/>
    <col min="8" max="8" width="10.8984375" bestFit="1" customWidth="1"/>
    <col min="9" max="9" width="9.69921875" bestFit="1" customWidth="1"/>
    <col min="12" max="13" width="9.69921875" bestFit="1" customWidth="1"/>
  </cols>
  <sheetData>
    <row r="1" spans="1:13">
      <c r="A1" s="32" t="s">
        <v>5</v>
      </c>
      <c r="B1" s="32"/>
      <c r="C1" s="32"/>
      <c r="D1" s="32"/>
      <c r="E1" s="24"/>
      <c r="F1" s="32" t="s">
        <v>4</v>
      </c>
      <c r="G1" s="32"/>
      <c r="H1" s="32"/>
      <c r="I1" s="32"/>
    </row>
    <row r="2" spans="1:13">
      <c r="A2" s="23"/>
      <c r="B2" s="23"/>
      <c r="C2" s="23"/>
      <c r="D2" s="23"/>
      <c r="E2" s="24"/>
      <c r="F2" s="23"/>
      <c r="G2" s="23"/>
      <c r="H2" s="23"/>
      <c r="I2" s="23"/>
    </row>
    <row r="3" spans="1:13">
      <c r="A3" s="23"/>
      <c r="B3" s="33">
        <f>D13+D15+B53</f>
        <v>2925.46</v>
      </c>
      <c r="C3" s="32"/>
      <c r="D3" s="22"/>
      <c r="E3" s="24"/>
      <c r="F3" s="23"/>
      <c r="G3" s="33">
        <f>I13+I15+I17+G25+H25+B54</f>
        <v>3727.33</v>
      </c>
      <c r="H3" s="32"/>
      <c r="I3" s="22"/>
    </row>
    <row r="5" spans="1:13">
      <c r="A5" s="29" t="s">
        <v>46</v>
      </c>
      <c r="B5" s="29"/>
      <c r="C5" s="29"/>
      <c r="D5" s="12">
        <v>100</v>
      </c>
      <c r="F5" s="29" t="s">
        <v>46</v>
      </c>
      <c r="G5" s="29"/>
      <c r="H5" s="29"/>
      <c r="I5" s="12">
        <v>100</v>
      </c>
    </row>
    <row r="6" spans="1:13">
      <c r="A6" s="5" t="s">
        <v>9</v>
      </c>
      <c r="B6" s="12" t="s">
        <v>16</v>
      </c>
      <c r="C6" s="4" t="s">
        <v>15</v>
      </c>
      <c r="D6" s="12" t="s">
        <v>10</v>
      </c>
      <c r="F6" s="5" t="s">
        <v>9</v>
      </c>
      <c r="G6" s="12" t="s">
        <v>16</v>
      </c>
      <c r="H6" s="4" t="s">
        <v>15</v>
      </c>
      <c r="I6" s="12" t="s">
        <v>10</v>
      </c>
    </row>
    <row r="7" spans="1:13">
      <c r="A7" s="21" t="s">
        <v>51</v>
      </c>
      <c r="B7" s="12">
        <f>149.45-3.99-7.98</f>
        <v>137.47999999999999</v>
      </c>
      <c r="C7" s="12">
        <f>B7</f>
        <v>137.47999999999999</v>
      </c>
      <c r="D7" s="12">
        <f>C7-D5</f>
        <v>37.47999999999999</v>
      </c>
      <c r="F7" s="21" t="s">
        <v>51</v>
      </c>
      <c r="G7" s="12">
        <f>160.44</f>
        <v>160.44</v>
      </c>
      <c r="H7" s="13">
        <f t="shared" ref="H7:H12" si="0">G7</f>
        <v>160.44</v>
      </c>
      <c r="I7" s="12">
        <f>H7-I5</f>
        <v>60.44</v>
      </c>
    </row>
    <row r="8" spans="1:13">
      <c r="A8" s="10" t="s">
        <v>60</v>
      </c>
      <c r="B8" s="12">
        <f>128.44-0.5</f>
        <v>127.94</v>
      </c>
      <c r="C8" s="12">
        <f>B8</f>
        <v>127.94</v>
      </c>
      <c r="D8" s="12">
        <f>C8-D5</f>
        <v>27.939999999999998</v>
      </c>
      <c r="F8" s="10" t="s">
        <v>59</v>
      </c>
      <c r="G8" s="12">
        <v>124.75</v>
      </c>
      <c r="H8" s="4">
        <f t="shared" si="0"/>
        <v>124.75</v>
      </c>
      <c r="I8" s="12">
        <f>H8-I5</f>
        <v>24.75</v>
      </c>
    </row>
    <row r="9" spans="1:13">
      <c r="A9" s="10" t="s">
        <v>59</v>
      </c>
      <c r="B9" s="12">
        <f>190.23-0.5</f>
        <v>189.73</v>
      </c>
      <c r="C9" s="13">
        <f>B9</f>
        <v>189.73</v>
      </c>
      <c r="D9" s="13">
        <f>C9-D5</f>
        <v>89.72999999999999</v>
      </c>
      <c r="F9" s="10" t="s">
        <v>58</v>
      </c>
      <c r="G9" s="12">
        <f>45.46+73.97</f>
        <v>119.43</v>
      </c>
      <c r="H9" s="12">
        <f t="shared" si="0"/>
        <v>119.43</v>
      </c>
      <c r="I9" s="13">
        <f>H9-I5</f>
        <v>19.430000000000007</v>
      </c>
    </row>
    <row r="10" spans="1:13">
      <c r="A10" s="10" t="s">
        <v>57</v>
      </c>
      <c r="B10" s="12">
        <f>135.06-0.5+19.99</f>
        <v>154.55000000000001</v>
      </c>
      <c r="C10" s="13">
        <f>B10</f>
        <v>154.55000000000001</v>
      </c>
      <c r="D10" s="13">
        <f>C10-D5</f>
        <v>54.550000000000011</v>
      </c>
      <c r="F10" s="10" t="s">
        <v>56</v>
      </c>
      <c r="G10" s="12">
        <v>161.41</v>
      </c>
      <c r="H10" s="12">
        <f t="shared" si="0"/>
        <v>161.41</v>
      </c>
      <c r="I10" s="13">
        <f>H10-I5</f>
        <v>61.41</v>
      </c>
    </row>
    <row r="11" spans="1:13">
      <c r="A11" s="10" t="s">
        <v>49</v>
      </c>
      <c r="B11" s="12">
        <f>170.62</f>
        <v>170.62</v>
      </c>
      <c r="C11" s="13">
        <f>B11</f>
        <v>170.62</v>
      </c>
      <c r="D11" s="13">
        <f>C11-D5</f>
        <v>70.62</v>
      </c>
      <c r="F11" s="10" t="s">
        <v>55</v>
      </c>
      <c r="G11" s="12">
        <f>188.62-0.5</f>
        <v>188.12</v>
      </c>
      <c r="H11" s="12">
        <f t="shared" si="0"/>
        <v>188.12</v>
      </c>
      <c r="I11" s="13">
        <f>H11-I5</f>
        <v>88.12</v>
      </c>
    </row>
    <row r="12" spans="1:13">
      <c r="A12" s="10" t="s">
        <v>54</v>
      </c>
      <c r="B12" s="12">
        <f>201.55+29.99</f>
        <v>231.54000000000002</v>
      </c>
      <c r="C12" s="13">
        <f>SUM(B12)</f>
        <v>231.54000000000002</v>
      </c>
      <c r="D12" s="13">
        <f>C12-$D$5</f>
        <v>131.54000000000002</v>
      </c>
      <c r="F12" s="10" t="s">
        <v>48</v>
      </c>
      <c r="G12" s="12">
        <f>71.78+62.7</f>
        <v>134.48000000000002</v>
      </c>
      <c r="H12" s="12">
        <f t="shared" si="0"/>
        <v>134.48000000000002</v>
      </c>
      <c r="I12" s="13">
        <f>H12-$D$5</f>
        <v>34.480000000000018</v>
      </c>
    </row>
    <row r="13" spans="1:13">
      <c r="A13" s="5"/>
      <c r="B13" s="12"/>
      <c r="C13" s="15" t="s">
        <v>6</v>
      </c>
      <c r="D13" s="7">
        <f>SUM(D7:D12)</f>
        <v>411.86</v>
      </c>
      <c r="F13" s="5"/>
      <c r="G13" s="12"/>
      <c r="H13" s="15" t="s">
        <v>6</v>
      </c>
      <c r="I13" s="7">
        <f>SUM(I7:I12)</f>
        <v>288.63</v>
      </c>
      <c r="M13" s="1"/>
    </row>
    <row r="14" spans="1:13">
      <c r="C14" s="20"/>
      <c r="D14" s="18"/>
      <c r="G14" s="1"/>
      <c r="H14" s="20"/>
      <c r="I14" s="18"/>
      <c r="M14" s="1"/>
    </row>
    <row r="15" spans="1:13">
      <c r="A15" s="29" t="s">
        <v>53</v>
      </c>
      <c r="B15" s="29"/>
      <c r="C15" s="29"/>
      <c r="D15" s="12">
        <f>306.6-73</f>
        <v>233.60000000000002</v>
      </c>
      <c r="F15" s="29" t="s">
        <v>53</v>
      </c>
      <c r="G15" s="29"/>
      <c r="H15" s="29"/>
      <c r="I15" s="12">
        <f>306.6-73</f>
        <v>233.60000000000002</v>
      </c>
    </row>
    <row r="16" spans="1:13">
      <c r="C16" s="20"/>
      <c r="D16" s="18"/>
      <c r="G16" s="1"/>
      <c r="H16" s="20"/>
      <c r="I16" s="18"/>
    </row>
    <row r="17" spans="1:9">
      <c r="A17" s="29" t="s">
        <v>13</v>
      </c>
      <c r="B17" s="29"/>
      <c r="C17" s="29"/>
      <c r="D17" s="18"/>
      <c r="F17" s="29" t="s">
        <v>52</v>
      </c>
      <c r="G17" s="29"/>
      <c r="H17" s="29"/>
      <c r="I17" s="12">
        <v>160</v>
      </c>
    </row>
    <row r="18" spans="1:9">
      <c r="A18" s="5" t="s">
        <v>9</v>
      </c>
      <c r="B18" s="12" t="s">
        <v>8</v>
      </c>
      <c r="C18" s="12" t="s">
        <v>7</v>
      </c>
      <c r="D18" s="18"/>
      <c r="I18" s="1"/>
    </row>
    <row r="19" spans="1:9">
      <c r="A19" s="10">
        <v>43845</v>
      </c>
      <c r="B19" s="12">
        <v>210.22</v>
      </c>
      <c r="C19" s="13" t="s">
        <v>47</v>
      </c>
      <c r="D19" s="18"/>
      <c r="F19" s="34" t="s">
        <v>39</v>
      </c>
      <c r="G19" s="35"/>
      <c r="H19" s="36"/>
      <c r="I19" s="1"/>
    </row>
    <row r="20" spans="1:9">
      <c r="A20" s="10">
        <v>43843</v>
      </c>
      <c r="B20" s="12">
        <v>158.77000000000001</v>
      </c>
      <c r="C20" s="13" t="s">
        <v>47</v>
      </c>
      <c r="D20" s="18"/>
      <c r="F20" s="5" t="s">
        <v>9</v>
      </c>
      <c r="G20" s="12" t="s">
        <v>12</v>
      </c>
      <c r="H20" s="12" t="s">
        <v>11</v>
      </c>
      <c r="I20" s="1"/>
    </row>
    <row r="21" spans="1:9">
      <c r="A21" s="10">
        <v>43832</v>
      </c>
      <c r="B21" s="12">
        <v>256.95</v>
      </c>
      <c r="C21" s="13" t="s">
        <v>47</v>
      </c>
      <c r="D21" s="18"/>
      <c r="F21" s="10" t="s">
        <v>51</v>
      </c>
      <c r="G21" s="12">
        <v>240</v>
      </c>
      <c r="H21" s="13">
        <f>2*3+2.25+1.7*4</f>
        <v>15.05</v>
      </c>
      <c r="I21" s="1"/>
    </row>
    <row r="22" spans="1:9">
      <c r="A22" s="10">
        <v>43853</v>
      </c>
      <c r="B22" s="12">
        <v>252.32</v>
      </c>
      <c r="C22" s="13" t="s">
        <v>47</v>
      </c>
      <c r="D22" s="18"/>
      <c r="F22" s="10" t="s">
        <v>50</v>
      </c>
      <c r="G22" s="12">
        <v>120</v>
      </c>
      <c r="H22" s="13">
        <f>4.25+1.7*2</f>
        <v>7.65</v>
      </c>
      <c r="I22" s="1"/>
    </row>
    <row r="23" spans="1:9">
      <c r="A23" s="10">
        <v>43881</v>
      </c>
      <c r="B23" s="12">
        <v>245.29</v>
      </c>
      <c r="C23" s="13" t="s">
        <v>47</v>
      </c>
      <c r="D23" s="18"/>
      <c r="F23" s="10" t="s">
        <v>49</v>
      </c>
      <c r="G23" s="12">
        <v>120</v>
      </c>
      <c r="H23" s="13">
        <f>4.5+1.7*2</f>
        <v>7.9</v>
      </c>
      <c r="I23" s="1"/>
    </row>
    <row r="24" spans="1:9">
      <c r="A24" s="10">
        <v>43865</v>
      </c>
      <c r="B24" s="12">
        <v>223.34</v>
      </c>
      <c r="C24" s="13" t="s">
        <v>47</v>
      </c>
      <c r="D24" s="18"/>
      <c r="F24" s="10" t="s">
        <v>48</v>
      </c>
      <c r="G24" s="12">
        <v>240</v>
      </c>
      <c r="H24" s="13">
        <f>1.7*4+3.85*2</f>
        <v>14.5</v>
      </c>
      <c r="I24" s="1"/>
    </row>
    <row r="25" spans="1:9">
      <c r="A25" s="10">
        <v>43879</v>
      </c>
      <c r="B25" s="12">
        <v>50</v>
      </c>
      <c r="C25" s="13" t="s">
        <v>47</v>
      </c>
      <c r="D25" s="18"/>
      <c r="F25" s="8" t="s">
        <v>6</v>
      </c>
      <c r="G25" s="7">
        <f>SUM(G21:G24)</f>
        <v>720</v>
      </c>
      <c r="H25" s="7">
        <f>SUM(H21:H24)</f>
        <v>45.1</v>
      </c>
      <c r="I25" s="18"/>
    </row>
    <row r="26" spans="1:9">
      <c r="A26" s="10">
        <v>43874</v>
      </c>
      <c r="B26" s="12">
        <v>245.02</v>
      </c>
      <c r="C26" s="13" t="s">
        <v>32</v>
      </c>
      <c r="D26" s="18"/>
      <c r="F26" s="19"/>
      <c r="G26" s="18"/>
      <c r="H26" s="18"/>
      <c r="I26" s="18"/>
    </row>
    <row r="27" spans="1:9">
      <c r="A27" s="10">
        <v>43878</v>
      </c>
      <c r="B27" s="12">
        <v>210.95</v>
      </c>
      <c r="C27" s="13" t="s">
        <v>47</v>
      </c>
      <c r="D27" s="18"/>
      <c r="F27" s="19"/>
      <c r="G27" s="18"/>
      <c r="H27" s="18"/>
      <c r="I27" s="18"/>
    </row>
    <row r="28" spans="1:9">
      <c r="A28" s="10">
        <v>43910</v>
      </c>
      <c r="B28" s="12">
        <v>171.53</v>
      </c>
      <c r="C28" s="13" t="s">
        <v>47</v>
      </c>
      <c r="D28" s="18"/>
      <c r="F28" s="19"/>
      <c r="G28" s="18"/>
      <c r="H28" s="18"/>
      <c r="I28" s="18"/>
    </row>
    <row r="29" spans="1:9">
      <c r="A29" s="10">
        <v>43893</v>
      </c>
      <c r="B29" s="12">
        <v>212.72</v>
      </c>
      <c r="C29" s="13" t="s">
        <v>47</v>
      </c>
      <c r="D29" s="18"/>
      <c r="F29" s="19"/>
      <c r="G29" s="18"/>
      <c r="H29" s="18"/>
      <c r="I29" s="18"/>
    </row>
    <row r="30" spans="1:9">
      <c r="A30" s="10">
        <v>43941</v>
      </c>
      <c r="B30" s="12">
        <v>96.49</v>
      </c>
      <c r="C30" s="13" t="s">
        <v>47</v>
      </c>
      <c r="D30" s="18"/>
      <c r="F30" s="19"/>
      <c r="G30" s="18"/>
      <c r="H30" s="18"/>
      <c r="I30" s="25"/>
    </row>
    <row r="31" spans="1:9">
      <c r="A31" s="10">
        <v>43928</v>
      </c>
      <c r="B31" s="12">
        <v>200.37</v>
      </c>
      <c r="C31" s="13" t="s">
        <v>47</v>
      </c>
      <c r="D31" s="18"/>
      <c r="F31" s="19"/>
      <c r="G31" s="18"/>
      <c r="H31" s="26"/>
      <c r="I31" s="25"/>
    </row>
    <row r="32" spans="1:9">
      <c r="A32" s="10">
        <v>43936</v>
      </c>
      <c r="B32" s="12">
        <v>175.93</v>
      </c>
      <c r="C32" s="13" t="s">
        <v>47</v>
      </c>
      <c r="D32" s="18"/>
      <c r="F32" s="19"/>
      <c r="G32" s="18"/>
      <c r="H32" s="18"/>
      <c r="I32" s="18"/>
    </row>
    <row r="33" spans="1:9">
      <c r="A33" s="10">
        <v>43976</v>
      </c>
      <c r="B33" s="12">
        <v>190.38</v>
      </c>
      <c r="C33" s="13" t="s">
        <v>32</v>
      </c>
      <c r="D33" s="18"/>
      <c r="F33" s="19"/>
      <c r="G33" s="18"/>
      <c r="H33" s="18"/>
      <c r="I33" s="18"/>
    </row>
    <row r="34" spans="1:9">
      <c r="A34" s="10">
        <v>43964</v>
      </c>
      <c r="B34" s="12">
        <v>128.12</v>
      </c>
      <c r="C34" s="13" t="s">
        <v>47</v>
      </c>
      <c r="D34" s="18"/>
      <c r="F34" s="19"/>
      <c r="G34" s="18"/>
      <c r="H34" s="18"/>
      <c r="I34" s="18"/>
    </row>
    <row r="35" spans="1:9">
      <c r="A35" s="10">
        <v>43978</v>
      </c>
      <c r="B35" s="12">
        <v>170</v>
      </c>
      <c r="C35" s="13" t="s">
        <v>47</v>
      </c>
      <c r="D35" s="18"/>
      <c r="F35" s="19"/>
      <c r="G35" s="18"/>
      <c r="H35" s="18"/>
      <c r="I35" s="18"/>
    </row>
    <row r="36" spans="1:9">
      <c r="A36" s="10">
        <v>44002</v>
      </c>
      <c r="B36" s="12">
        <v>116.86</v>
      </c>
      <c r="C36" s="13" t="s">
        <v>47</v>
      </c>
      <c r="D36" s="18"/>
      <c r="F36" s="19"/>
      <c r="G36" s="18"/>
      <c r="H36" s="18"/>
      <c r="I36" s="18"/>
    </row>
    <row r="37" spans="1:9">
      <c r="A37" s="10">
        <v>44033</v>
      </c>
      <c r="B37" s="12">
        <v>197.01</v>
      </c>
      <c r="C37" s="13" t="s">
        <v>32</v>
      </c>
      <c r="D37" s="18"/>
      <c r="F37" s="19"/>
      <c r="G37" s="18"/>
      <c r="H37" s="18"/>
      <c r="I37" s="18"/>
    </row>
    <row r="38" spans="1:9">
      <c r="A38" s="10">
        <v>44054</v>
      </c>
      <c r="B38" s="12">
        <v>101.33</v>
      </c>
      <c r="C38" s="13" t="s">
        <v>47</v>
      </c>
      <c r="D38" s="18"/>
      <c r="F38" s="19"/>
      <c r="G38" s="18"/>
      <c r="H38" s="18"/>
      <c r="I38" s="18"/>
    </row>
    <row r="39" spans="1:9">
      <c r="A39" s="10">
        <v>44050</v>
      </c>
      <c r="B39" s="12">
        <v>255.04</v>
      </c>
      <c r="C39" s="13" t="s">
        <v>47</v>
      </c>
      <c r="D39" s="18"/>
      <c r="F39" s="19"/>
      <c r="G39" s="18"/>
      <c r="H39" s="18"/>
      <c r="I39" s="18"/>
    </row>
    <row r="40" spans="1:9">
      <c r="A40" s="10">
        <v>44080</v>
      </c>
      <c r="B40" s="12">
        <v>180.05</v>
      </c>
      <c r="C40" s="13" t="s">
        <v>32</v>
      </c>
      <c r="D40" s="18"/>
      <c r="F40" s="19"/>
      <c r="G40" s="18"/>
      <c r="H40" s="18"/>
      <c r="I40" s="18"/>
    </row>
    <row r="41" spans="1:9">
      <c r="A41" s="10">
        <v>44077</v>
      </c>
      <c r="B41" s="12">
        <v>196.04</v>
      </c>
      <c r="C41" s="13" t="s">
        <v>47</v>
      </c>
      <c r="D41" s="18"/>
      <c r="F41" s="19"/>
      <c r="G41" s="18"/>
      <c r="H41" s="18"/>
      <c r="I41" s="18"/>
    </row>
    <row r="42" spans="1:9">
      <c r="A42" s="10">
        <v>44104</v>
      </c>
      <c r="B42" s="12">
        <v>100.02</v>
      </c>
      <c r="C42" s="13" t="s">
        <v>47</v>
      </c>
      <c r="D42" s="18"/>
      <c r="F42" s="19"/>
      <c r="G42" s="18"/>
      <c r="H42" s="18"/>
      <c r="I42" s="18"/>
    </row>
    <row r="43" spans="1:9">
      <c r="A43" s="10">
        <v>44117</v>
      </c>
      <c r="B43" s="12">
        <v>20.02</v>
      </c>
      <c r="C43" s="13" t="s">
        <v>47</v>
      </c>
      <c r="D43" s="18"/>
      <c r="G43" s="1"/>
      <c r="H43" s="20"/>
      <c r="I43" s="18"/>
    </row>
    <row r="44" spans="1:9">
      <c r="A44" s="10">
        <v>44110</v>
      </c>
      <c r="B44" s="12">
        <v>199.99</v>
      </c>
      <c r="C44" s="13" t="s">
        <v>32</v>
      </c>
      <c r="D44" s="18"/>
      <c r="G44" s="1"/>
      <c r="H44" s="20"/>
      <c r="I44" s="18"/>
    </row>
    <row r="45" spans="1:9">
      <c r="A45" s="10">
        <v>44120</v>
      </c>
      <c r="B45" s="12">
        <v>189.48</v>
      </c>
      <c r="C45" s="13" t="s">
        <v>47</v>
      </c>
      <c r="D45" s="18"/>
      <c r="G45" s="1"/>
      <c r="H45" s="20"/>
      <c r="I45" s="18"/>
    </row>
    <row r="46" spans="1:9">
      <c r="A46" s="10">
        <v>44116</v>
      </c>
      <c r="B46" s="12">
        <v>49.99</v>
      </c>
      <c r="C46" s="13" t="s">
        <v>47</v>
      </c>
      <c r="D46" s="18"/>
      <c r="G46" s="1"/>
      <c r="H46" s="20"/>
      <c r="I46" s="18"/>
    </row>
    <row r="47" spans="1:9">
      <c r="A47" s="10">
        <v>44144</v>
      </c>
      <c r="B47" s="12">
        <v>187.29</v>
      </c>
      <c r="C47" s="13" t="s">
        <v>32</v>
      </c>
      <c r="D47" s="18"/>
      <c r="G47" s="1"/>
      <c r="H47" s="20"/>
      <c r="I47" s="18"/>
    </row>
    <row r="48" spans="1:9">
      <c r="A48" s="10">
        <v>44147</v>
      </c>
      <c r="B48" s="12">
        <v>192.15</v>
      </c>
      <c r="C48" s="13" t="s">
        <v>47</v>
      </c>
    </row>
    <row r="49" spans="1:4">
      <c r="A49" s="10">
        <v>44179</v>
      </c>
      <c r="B49" s="12">
        <v>196.08</v>
      </c>
      <c r="C49" s="13" t="s">
        <v>47</v>
      </c>
    </row>
    <row r="50" spans="1:4">
      <c r="A50" s="11">
        <v>44195</v>
      </c>
      <c r="B50" s="9">
        <v>230</v>
      </c>
      <c r="C50" s="13" t="s">
        <v>47</v>
      </c>
    </row>
    <row r="51" spans="1:4">
      <c r="A51" s="10"/>
      <c r="B51" s="9"/>
      <c r="C51" s="13" t="s">
        <v>47</v>
      </c>
      <c r="D51" s="14"/>
    </row>
    <row r="52" spans="1:4">
      <c r="A52" s="8" t="s">
        <v>6</v>
      </c>
      <c r="B52" s="7">
        <f>SUM(B19:B51)</f>
        <v>5609.7499999999991</v>
      </c>
      <c r="C52" s="7">
        <f>SUM(C19:C51)</f>
        <v>0</v>
      </c>
      <c r="D52" s="14"/>
    </row>
    <row r="53" spans="1:4">
      <c r="A53" s="5" t="s">
        <v>1</v>
      </c>
      <c r="B53" s="27">
        <f>IF((B52/2&gt;2280),2280,(B52/2))</f>
        <v>2280</v>
      </c>
      <c r="C53" s="28"/>
      <c r="D53" s="14"/>
    </row>
    <row r="54" spans="1:4">
      <c r="A54" s="5" t="s">
        <v>0</v>
      </c>
      <c r="B54" s="27">
        <f>IF((B52/2&gt;2280),2280,(B52/2))</f>
        <v>2280</v>
      </c>
      <c r="C54" s="28"/>
      <c r="D54" s="14"/>
    </row>
    <row r="55" spans="1:4">
      <c r="B55"/>
      <c r="C55"/>
    </row>
  </sheetData>
  <mergeCells count="13">
    <mergeCell ref="B54:C54"/>
    <mergeCell ref="F19:H19"/>
    <mergeCell ref="A17:C17"/>
    <mergeCell ref="F17:H17"/>
    <mergeCell ref="A15:C15"/>
    <mergeCell ref="B53:C53"/>
    <mergeCell ref="A1:D1"/>
    <mergeCell ref="F1:I1"/>
    <mergeCell ref="F15:H15"/>
    <mergeCell ref="A5:C5"/>
    <mergeCell ref="F5:H5"/>
    <mergeCell ref="B3:C3"/>
    <mergeCell ref="G3:H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9DDC5-EBA7-46B3-BED3-FA4EA64B9021}">
  <sheetPr codeName="Arkusz1"/>
  <dimension ref="A1:L34"/>
  <sheetViews>
    <sheetView topLeftCell="A10" workbookViewId="0">
      <selection activeCell="B39" sqref="B39:I40"/>
    </sheetView>
  </sheetViews>
  <sheetFormatPr defaultRowHeight="13.8"/>
  <cols>
    <col min="1" max="1" width="10.09765625" bestFit="1" customWidth="1"/>
    <col min="2" max="2" width="10" style="1" bestFit="1" customWidth="1"/>
    <col min="3" max="3" width="10.19921875" style="2" bestFit="1" customWidth="1"/>
    <col min="4" max="4" width="9.8984375" style="1" bestFit="1" customWidth="1"/>
    <col min="6" max="6" width="10.09765625" bestFit="1" customWidth="1"/>
    <col min="7" max="7" width="9.8984375" bestFit="1" customWidth="1"/>
    <col min="12" max="12" width="9.69921875" bestFit="1" customWidth="1"/>
  </cols>
  <sheetData>
    <row r="1" spans="1:9">
      <c r="A1" s="29" t="s">
        <v>18</v>
      </c>
      <c r="B1" s="29"/>
      <c r="C1" s="29"/>
      <c r="D1" s="12">
        <v>100</v>
      </c>
      <c r="F1" s="29" t="s">
        <v>17</v>
      </c>
      <c r="G1" s="29"/>
      <c r="H1" s="29"/>
      <c r="I1" s="12">
        <v>100</v>
      </c>
    </row>
    <row r="2" spans="1:9">
      <c r="A2" s="5" t="s">
        <v>9</v>
      </c>
      <c r="B2" s="12" t="s">
        <v>16</v>
      </c>
      <c r="C2" s="4" t="s">
        <v>15</v>
      </c>
      <c r="D2" s="12" t="s">
        <v>10</v>
      </c>
      <c r="F2" s="5" t="s">
        <v>9</v>
      </c>
      <c r="G2" s="12" t="s">
        <v>16</v>
      </c>
      <c r="H2" s="4" t="s">
        <v>15</v>
      </c>
      <c r="I2" s="12" t="s">
        <v>10</v>
      </c>
    </row>
    <row r="3" spans="1:9">
      <c r="A3" s="10">
        <v>43132</v>
      </c>
      <c r="B3" s="12">
        <v>28.1</v>
      </c>
      <c r="C3" s="37">
        <f>B3+B4</f>
        <v>226.5</v>
      </c>
      <c r="D3" s="37">
        <f>C3-D1</f>
        <v>126.5</v>
      </c>
      <c r="F3" s="10">
        <v>43188</v>
      </c>
      <c r="G3" s="12">
        <v>146.58000000000001</v>
      </c>
      <c r="H3" s="13">
        <f>G3</f>
        <v>146.58000000000001</v>
      </c>
      <c r="I3" s="13">
        <f>H3-I1</f>
        <v>46.580000000000013</v>
      </c>
    </row>
    <row r="4" spans="1:9">
      <c r="A4" s="10">
        <v>43147</v>
      </c>
      <c r="B4" s="12">
        <v>198.4</v>
      </c>
      <c r="C4" s="28"/>
      <c r="D4" s="28"/>
      <c r="F4" s="10">
        <v>43252</v>
      </c>
      <c r="G4" s="12">
        <v>108.55</v>
      </c>
      <c r="H4" s="4">
        <f>G4</f>
        <v>108.55</v>
      </c>
      <c r="I4" s="4">
        <f>H4-I1</f>
        <v>8.5499999999999972</v>
      </c>
    </row>
    <row r="5" spans="1:9">
      <c r="A5" s="10">
        <v>43206</v>
      </c>
      <c r="B5" s="12">
        <f>268.26-5.6-5.8</f>
        <v>256.85999999999996</v>
      </c>
      <c r="C5" s="13">
        <f>B5</f>
        <v>256.85999999999996</v>
      </c>
      <c r="D5" s="13">
        <f>C5-D1</f>
        <v>156.85999999999996</v>
      </c>
      <c r="F5" s="10">
        <v>43283</v>
      </c>
      <c r="G5" s="12">
        <v>61.6</v>
      </c>
      <c r="H5" s="37">
        <f>G5+G6</f>
        <v>204.64</v>
      </c>
      <c r="I5" s="37">
        <f>H5-I1</f>
        <v>104.63999999999999</v>
      </c>
    </row>
    <row r="6" spans="1:9">
      <c r="A6" s="10">
        <v>43263</v>
      </c>
      <c r="B6" s="12">
        <v>131.63</v>
      </c>
      <c r="C6" s="13">
        <f>B6</f>
        <v>131.63</v>
      </c>
      <c r="D6" s="13">
        <f>C6-D1</f>
        <v>31.629999999999995</v>
      </c>
      <c r="F6" s="10">
        <v>43295</v>
      </c>
      <c r="G6" s="12">
        <v>143.04</v>
      </c>
      <c r="H6" s="37"/>
      <c r="I6" s="37"/>
    </row>
    <row r="7" spans="1:9">
      <c r="A7" s="10">
        <v>43284</v>
      </c>
      <c r="B7" s="12">
        <f>259.56-6.98-7.98-11.35</f>
        <v>233.25000000000003</v>
      </c>
      <c r="C7" s="13">
        <f>B7</f>
        <v>233.25000000000003</v>
      </c>
      <c r="D7" s="13">
        <f>C7-D1</f>
        <v>133.25000000000003</v>
      </c>
      <c r="F7" s="10">
        <v>43351</v>
      </c>
      <c r="G7" s="12">
        <v>302.77999999999997</v>
      </c>
      <c r="H7" s="37">
        <f>G7+G8</f>
        <v>358.55999999999995</v>
      </c>
      <c r="I7" s="37">
        <f>H7-I1</f>
        <v>258.55999999999995</v>
      </c>
    </row>
    <row r="8" spans="1:9">
      <c r="A8" s="10">
        <v>43343</v>
      </c>
      <c r="B8" s="12">
        <v>176.38</v>
      </c>
      <c r="C8" s="13">
        <f>SUM(B8)</f>
        <v>176.38</v>
      </c>
      <c r="D8" s="13">
        <f>C8-$D$1</f>
        <v>76.38</v>
      </c>
      <c r="F8" s="10">
        <v>43354</v>
      </c>
      <c r="G8" s="12">
        <v>55.78</v>
      </c>
      <c r="H8" s="37"/>
      <c r="I8" s="37"/>
    </row>
    <row r="9" spans="1:9">
      <c r="A9" s="10">
        <v>43402</v>
      </c>
      <c r="B9" s="12">
        <f>229.75-7.98-6.98-11.34</f>
        <v>203.45000000000002</v>
      </c>
      <c r="C9" s="13">
        <f>SUM(B9)</f>
        <v>203.45000000000002</v>
      </c>
      <c r="D9" s="13">
        <f>C9-D1</f>
        <v>103.45000000000002</v>
      </c>
      <c r="F9" s="10">
        <v>43425</v>
      </c>
      <c r="G9" s="12">
        <v>141.04</v>
      </c>
      <c r="H9" s="13">
        <f>SUM(G9)</f>
        <v>141.04</v>
      </c>
      <c r="I9" s="13">
        <f>H9-I1</f>
        <v>41.039999999999992</v>
      </c>
    </row>
    <row r="10" spans="1:9">
      <c r="A10" s="10">
        <v>43425</v>
      </c>
      <c r="B10" s="12">
        <v>151.37</v>
      </c>
      <c r="C10" s="37">
        <f>B10+B11</f>
        <v>186.33999999999997</v>
      </c>
      <c r="D10" s="37">
        <f>C10-D1</f>
        <v>86.339999999999975</v>
      </c>
      <c r="F10" s="10">
        <v>43455</v>
      </c>
      <c r="G10" s="12">
        <v>38</v>
      </c>
      <c r="H10" s="37">
        <f>G10+G11+G12</f>
        <v>116.25</v>
      </c>
      <c r="I10" s="37">
        <f>H10-I1</f>
        <v>16.25</v>
      </c>
    </row>
    <row r="11" spans="1:9">
      <c r="A11" s="10">
        <v>43430</v>
      </c>
      <c r="B11" s="12">
        <f>58.16-0.25-3.99-3.99-7.98-6.98</f>
        <v>34.969999999999985</v>
      </c>
      <c r="C11" s="37"/>
      <c r="D11" s="37"/>
      <c r="F11" s="10">
        <v>43457</v>
      </c>
      <c r="G11" s="12">
        <v>36.979999999999997</v>
      </c>
      <c r="H11" s="37"/>
      <c r="I11" s="37"/>
    </row>
    <row r="12" spans="1:9">
      <c r="A12" s="10">
        <v>43440</v>
      </c>
      <c r="B12" s="12">
        <v>46.88</v>
      </c>
      <c r="C12" s="37">
        <f>B12+B13+B14</f>
        <v>125.59</v>
      </c>
      <c r="D12" s="37">
        <f>C12-D1</f>
        <v>25.590000000000003</v>
      </c>
      <c r="F12" s="10">
        <v>43463</v>
      </c>
      <c r="G12" s="12">
        <v>41.27</v>
      </c>
      <c r="H12" s="38"/>
      <c r="I12" s="38"/>
    </row>
    <row r="13" spans="1:9">
      <c r="A13" s="10">
        <v>43446</v>
      </c>
      <c r="B13" s="12">
        <v>25.7</v>
      </c>
      <c r="C13" s="38"/>
      <c r="D13" s="38"/>
      <c r="F13" s="10"/>
      <c r="G13" s="12"/>
      <c r="H13" s="16"/>
      <c r="I13" s="16"/>
    </row>
    <row r="14" spans="1:9">
      <c r="A14" s="10">
        <v>43451</v>
      </c>
      <c r="B14" s="12">
        <v>53.01</v>
      </c>
      <c r="C14" s="28"/>
      <c r="D14" s="29"/>
      <c r="F14" s="10"/>
      <c r="G14" s="12"/>
      <c r="H14" s="3"/>
      <c r="I14" s="5"/>
    </row>
    <row r="15" spans="1:9">
      <c r="A15" s="5"/>
      <c r="B15" s="12"/>
      <c r="C15" s="15" t="s">
        <v>6</v>
      </c>
      <c r="D15" s="7">
        <f>SUM(D3:D14)</f>
        <v>740.00000000000011</v>
      </c>
      <c r="F15" s="5"/>
      <c r="G15" s="12"/>
      <c r="H15" s="15" t="s">
        <v>6</v>
      </c>
      <c r="I15" s="7">
        <f>SUM(I3:I14)</f>
        <v>475.61999999999989</v>
      </c>
    </row>
    <row r="17" spans="1:12">
      <c r="A17" s="29" t="s">
        <v>14</v>
      </c>
      <c r="B17" s="29"/>
      <c r="C17" s="29"/>
      <c r="F17" s="29" t="s">
        <v>13</v>
      </c>
      <c r="G17" s="29"/>
      <c r="H17" s="29"/>
    </row>
    <row r="18" spans="1:12">
      <c r="A18" s="5" t="s">
        <v>9</v>
      </c>
      <c r="B18" s="12" t="s">
        <v>12</v>
      </c>
      <c r="C18" s="12" t="s">
        <v>11</v>
      </c>
      <c r="D18" s="1" t="s">
        <v>10</v>
      </c>
      <c r="F18" s="5" t="s">
        <v>9</v>
      </c>
      <c r="G18" s="12" t="s">
        <v>8</v>
      </c>
      <c r="H18" s="12" t="s">
        <v>7</v>
      </c>
    </row>
    <row r="19" spans="1:12">
      <c r="A19" s="10">
        <v>43201</v>
      </c>
      <c r="B19" s="12">
        <v>120</v>
      </c>
      <c r="C19" s="13"/>
      <c r="D19" s="14"/>
      <c r="F19" s="10">
        <v>43119</v>
      </c>
      <c r="G19" s="12">
        <v>150.07</v>
      </c>
      <c r="H19" s="13"/>
    </row>
    <row r="20" spans="1:12">
      <c r="A20" s="10">
        <v>43208</v>
      </c>
      <c r="B20" s="12">
        <v>120</v>
      </c>
      <c r="C20" s="13"/>
      <c r="D20" s="14"/>
      <c r="F20" s="10">
        <v>43147</v>
      </c>
      <c r="G20" s="12">
        <v>172</v>
      </c>
      <c r="H20" s="13">
        <v>519</v>
      </c>
    </row>
    <row r="21" spans="1:12">
      <c r="A21" s="10">
        <v>43251</v>
      </c>
      <c r="B21" s="12">
        <v>140</v>
      </c>
      <c r="C21" s="13"/>
      <c r="D21" s="14"/>
      <c r="F21" s="10">
        <v>43169</v>
      </c>
      <c r="G21" s="12">
        <v>180.03</v>
      </c>
      <c r="H21" s="13"/>
    </row>
    <row r="22" spans="1:12">
      <c r="A22" s="10">
        <v>43280</v>
      </c>
      <c r="B22" s="12">
        <v>380</v>
      </c>
      <c r="C22" s="13">
        <f>1.4*2+2*2</f>
        <v>6.8</v>
      </c>
      <c r="D22" s="14"/>
      <c r="F22" s="10">
        <v>43222</v>
      </c>
      <c r="G22" s="12">
        <v>149.97999999999999</v>
      </c>
      <c r="H22" s="13"/>
    </row>
    <row r="23" spans="1:12">
      <c r="A23" s="10">
        <v>43312</v>
      </c>
      <c r="B23" s="12">
        <v>120</v>
      </c>
      <c r="C23" s="13">
        <f>1.4*4+4*2</f>
        <v>13.6</v>
      </c>
      <c r="D23" s="14"/>
      <c r="F23" s="10">
        <v>43277</v>
      </c>
      <c r="G23" s="12">
        <v>187.08</v>
      </c>
      <c r="H23" s="13"/>
    </row>
    <row r="24" spans="1:12">
      <c r="A24" s="10">
        <v>43343</v>
      </c>
      <c r="B24" s="12">
        <v>360</v>
      </c>
      <c r="C24" s="4">
        <f>1.4*8+2*8</f>
        <v>27.2</v>
      </c>
      <c r="F24" s="10">
        <v>43253</v>
      </c>
      <c r="G24" s="12">
        <v>180.04</v>
      </c>
      <c r="H24" s="4"/>
    </row>
    <row r="25" spans="1:12">
      <c r="A25" s="10">
        <v>43371</v>
      </c>
      <c r="B25" s="12">
        <v>120</v>
      </c>
      <c r="C25" s="4">
        <f>1.4*2+2*2</f>
        <v>6.8</v>
      </c>
      <c r="F25" s="10">
        <v>43333</v>
      </c>
      <c r="G25" s="12">
        <v>178.04</v>
      </c>
      <c r="H25" s="4"/>
    </row>
    <row r="26" spans="1:12">
      <c r="A26" s="10">
        <v>43404</v>
      </c>
      <c r="B26" s="12">
        <v>360</v>
      </c>
      <c r="C26" s="4">
        <f>1.4*6+6*2</f>
        <v>20.399999999999999</v>
      </c>
      <c r="F26" s="10">
        <v>43342</v>
      </c>
      <c r="G26" s="12">
        <v>26</v>
      </c>
      <c r="H26" s="4"/>
    </row>
    <row r="27" spans="1:12">
      <c r="A27" s="10">
        <v>43434</v>
      </c>
      <c r="B27" s="12">
        <v>240</v>
      </c>
      <c r="C27" s="4">
        <f>1.4*4+2*3</f>
        <v>11.6</v>
      </c>
      <c r="F27" s="10">
        <v>43366</v>
      </c>
      <c r="G27" s="12">
        <v>191</v>
      </c>
      <c r="H27" s="4"/>
    </row>
    <row r="28" spans="1:12">
      <c r="A28" s="10">
        <v>43465</v>
      </c>
      <c r="B28" s="12">
        <v>120</v>
      </c>
      <c r="C28" s="4">
        <f>1.4*2+2</f>
        <v>4.8</v>
      </c>
      <c r="F28" s="10">
        <v>43385</v>
      </c>
      <c r="G28" s="12">
        <v>195.04</v>
      </c>
      <c r="H28" s="4"/>
    </row>
    <row r="29" spans="1:12">
      <c r="A29" s="8" t="s">
        <v>6</v>
      </c>
      <c r="B29" s="7">
        <f>SUM(B19:B28)</f>
        <v>2080</v>
      </c>
      <c r="C29" s="7">
        <f>SUM(C19:C28)</f>
        <v>91.199999999999974</v>
      </c>
      <c r="F29" s="11">
        <v>43416</v>
      </c>
      <c r="G29" s="9">
        <v>166.03</v>
      </c>
      <c r="H29" s="7"/>
    </row>
    <row r="30" spans="1:12">
      <c r="F30" s="10">
        <v>43447</v>
      </c>
      <c r="G30" s="9">
        <v>182.98</v>
      </c>
      <c r="H30" s="5"/>
    </row>
    <row r="31" spans="1:12">
      <c r="F31" s="8" t="s">
        <v>6</v>
      </c>
      <c r="G31" s="7">
        <f>SUM(G19:G30)</f>
        <v>1958.29</v>
      </c>
      <c r="H31" s="7">
        <f>SUM(H19:H30)</f>
        <v>519</v>
      </c>
      <c r="L31" s="1"/>
    </row>
    <row r="32" spans="1:12">
      <c r="A32" s="6"/>
      <c r="B32" s="30" t="s">
        <v>5</v>
      </c>
      <c r="C32" s="31"/>
      <c r="D32" s="30" t="s">
        <v>4</v>
      </c>
      <c r="E32" s="31"/>
      <c r="F32" s="5" t="s">
        <v>3</v>
      </c>
      <c r="G32" s="27">
        <f>G31+H31</f>
        <v>2477.29</v>
      </c>
      <c r="H32" s="28"/>
      <c r="L32" s="1"/>
    </row>
    <row r="33" spans="1:9">
      <c r="A33" s="6" t="s">
        <v>2</v>
      </c>
      <c r="B33" s="30">
        <f>D15+G33</f>
        <v>2868.2799999999997</v>
      </c>
      <c r="C33" s="31"/>
      <c r="D33" s="30">
        <f>I15+B29+C29+G34</f>
        <v>2995.83</v>
      </c>
      <c r="E33" s="31"/>
      <c r="F33" s="5" t="s">
        <v>1</v>
      </c>
      <c r="G33" s="27">
        <f>SUM(G19:H28)</f>
        <v>2128.2799999999997</v>
      </c>
      <c r="H33" s="28"/>
      <c r="I33" s="1"/>
    </row>
    <row r="34" spans="1:9">
      <c r="F34" s="5" t="s">
        <v>0</v>
      </c>
      <c r="G34" s="27">
        <f>G32-G33</f>
        <v>349.01000000000022</v>
      </c>
      <c r="H34" s="28"/>
    </row>
  </sheetData>
  <mergeCells count="23">
    <mergeCell ref="B33:C33"/>
    <mergeCell ref="D33:E33"/>
    <mergeCell ref="G32:H32"/>
    <mergeCell ref="G33:H33"/>
    <mergeCell ref="G34:H34"/>
    <mergeCell ref="F1:H1"/>
    <mergeCell ref="C12:C14"/>
    <mergeCell ref="D12:D14"/>
    <mergeCell ref="B32:C32"/>
    <mergeCell ref="D32:E32"/>
    <mergeCell ref="A1:C1"/>
    <mergeCell ref="C3:C4"/>
    <mergeCell ref="D3:D4"/>
    <mergeCell ref="C10:C11"/>
    <mergeCell ref="D10:D11"/>
    <mergeCell ref="I10:I12"/>
    <mergeCell ref="A17:C17"/>
    <mergeCell ref="H5:H6"/>
    <mergeCell ref="I5:I6"/>
    <mergeCell ref="H7:H8"/>
    <mergeCell ref="I7:I8"/>
    <mergeCell ref="H10:H12"/>
    <mergeCell ref="F17:H1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Jamborscy za 2023</vt:lpstr>
      <vt:lpstr>Jamborscy za 2022</vt:lpstr>
      <vt:lpstr>Jamborscy za2021</vt:lpstr>
      <vt:lpstr>Jamborscy za2020</vt:lpstr>
      <vt:lpstr>Jamborscy za2018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basiac</dc:creator>
  <cp:lastModifiedBy>basiac</cp:lastModifiedBy>
  <dcterms:created xsi:type="dcterms:W3CDTF">2024-04-15T18:00:48Z</dcterms:created>
  <dcterms:modified xsi:type="dcterms:W3CDTF">2024-04-15T18:56:13Z</dcterms:modified>
</cp:coreProperties>
</file>